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/>
  <xr:revisionPtr revIDLastSave="0" documentId="12_ncr:500000_{26F218AB-7FF9-4005-AC30-89DD1FCC954C}" xr6:coauthVersionLast="34" xr6:coauthVersionMax="34" xr10:uidLastSave="{00000000-0000-0000-0000-000000000000}"/>
  <bookViews>
    <workbookView xWindow="0" yWindow="0" windowWidth="23040" windowHeight="9660" tabRatio="715" activeTab="2" xr2:uid="{00000000-000D-0000-FFFF-FFFF00000000}"/>
  </bookViews>
  <sheets>
    <sheet name="Données" sheetId="3" r:id="rId1"/>
    <sheet name="Test sur jour nuit" sheetId="7" state="hidden" r:id="rId2"/>
    <sheet name="Calcul indemnités mensuelles" sheetId="8" r:id="rId3"/>
    <sheet name="Paramètres" sheetId="2" r:id="rId4"/>
    <sheet name="Jours Fériés" sheetId="5" r:id="rId5"/>
  </sheets>
  <definedNames>
    <definedName name="_xlnm._FilterDatabase" localSheetId="2" hidden="1">'Calcul indemnités mensuelles'!$A$1:$B$14</definedName>
    <definedName name="DebNuit">Paramètres!$B$2</definedName>
    <definedName name="FinNuit">Paramètres!$B$1</definedName>
    <definedName name="Heures">Paramètres!$E$2:$E$1441</definedName>
    <definedName name="JF">'Jours Fériés'!$B$2:$Q$13</definedName>
    <definedName name="Motifs">Paramètres!$B$16:$B$30</definedName>
    <definedName name="réponses">Paramètres!$H$2:$H$4</definedName>
    <definedName name="TAUX1">Paramètres!$B$4</definedName>
    <definedName name="TAUX2">Paramètres!$B$5</definedName>
    <definedName name="TAUX3">Paramètres!$B$6</definedName>
    <definedName name="TAUX4">Paramètres!$B$7</definedName>
    <definedName name="véhicule">Paramètres!$B$9:$B$14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3" l="1"/>
  <c r="B59" i="3" s="1"/>
  <c r="J60" i="3"/>
  <c r="B60" i="3" s="1"/>
  <c r="K59" i="3"/>
  <c r="K60" i="3"/>
  <c r="N60" i="3" s="1"/>
  <c r="N59" i="3"/>
  <c r="U60" i="3" l="1"/>
  <c r="S60" i="3"/>
  <c r="O60" i="3"/>
  <c r="M60" i="3" s="1"/>
  <c r="O59" i="3"/>
  <c r="R60" i="3"/>
  <c r="S59" i="3"/>
  <c r="R59" i="3"/>
  <c r="AA21" i="3"/>
  <c r="Q60" i="3" l="1"/>
  <c r="Q59" i="3"/>
  <c r="X59" i="3"/>
  <c r="V59" i="3"/>
  <c r="M59" i="3"/>
  <c r="W59" i="3" s="1"/>
  <c r="X60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J57" i="3" l="1"/>
  <c r="B57" i="3" s="1"/>
  <c r="J58" i="3"/>
  <c r="B58" i="3" s="1"/>
  <c r="N57" i="3" l="1"/>
  <c r="N58" i="3"/>
  <c r="S58" i="3"/>
  <c r="U57" i="3"/>
  <c r="O57" i="3"/>
  <c r="R57" i="3"/>
  <c r="S57" i="3"/>
  <c r="R58" i="3"/>
  <c r="U58" i="3"/>
  <c r="O58" i="3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2" i="2"/>
  <c r="M57" i="3" l="1"/>
  <c r="Q58" i="3"/>
  <c r="Q57" i="3"/>
  <c r="X58" i="3"/>
  <c r="X57" i="3"/>
  <c r="M58" i="3"/>
  <c r="J54" i="3"/>
  <c r="B54" i="3" s="1"/>
  <c r="S54" i="3"/>
  <c r="N54" i="3" l="1"/>
  <c r="U54" i="3"/>
  <c r="R54" i="3"/>
  <c r="Q54" i="3" s="1"/>
  <c r="O54" i="3"/>
  <c r="J31" i="3"/>
  <c r="B31" i="3" s="1"/>
  <c r="J32" i="3"/>
  <c r="B32" i="3" s="1"/>
  <c r="J33" i="3"/>
  <c r="B33" i="3" s="1"/>
  <c r="J27" i="3"/>
  <c r="B27" i="3" s="1"/>
  <c r="J28" i="3"/>
  <c r="B28" i="3" s="1"/>
  <c r="J29" i="3"/>
  <c r="B29" i="3" s="1"/>
  <c r="J30" i="3"/>
  <c r="B30" i="3" s="1"/>
  <c r="S30" i="3"/>
  <c r="J21" i="3"/>
  <c r="B21" i="3" s="1"/>
  <c r="U21" i="3" s="1"/>
  <c r="J22" i="3"/>
  <c r="B22" i="3" s="1"/>
  <c r="U22" i="3" s="1"/>
  <c r="J23" i="3"/>
  <c r="B23" i="3" s="1"/>
  <c r="J24" i="3"/>
  <c r="B24" i="3" s="1"/>
  <c r="J25" i="3"/>
  <c r="B25" i="3" s="1"/>
  <c r="J26" i="3"/>
  <c r="B26" i="3" s="1"/>
  <c r="S21" i="3"/>
  <c r="N26" i="3"/>
  <c r="J34" i="3"/>
  <c r="B34" i="3" s="1"/>
  <c r="J35" i="3"/>
  <c r="B35" i="3" s="1"/>
  <c r="J36" i="3"/>
  <c r="B36" i="3" s="1"/>
  <c r="J37" i="3"/>
  <c r="B37" i="3" s="1"/>
  <c r="J18" i="3"/>
  <c r="B18" i="3" s="1"/>
  <c r="J19" i="3"/>
  <c r="B19" i="3" s="1"/>
  <c r="J20" i="3"/>
  <c r="B20" i="3" s="1"/>
  <c r="S34" i="3"/>
  <c r="S19" i="3"/>
  <c r="N34" i="3"/>
  <c r="N18" i="3"/>
  <c r="M54" i="3" l="1"/>
  <c r="X54" i="3"/>
  <c r="N24" i="3"/>
  <c r="N33" i="3"/>
  <c r="N23" i="3"/>
  <c r="R32" i="3"/>
  <c r="R31" i="3"/>
  <c r="S33" i="3"/>
  <c r="R29" i="3"/>
  <c r="N25" i="3"/>
  <c r="N28" i="3"/>
  <c r="O27" i="3"/>
  <c r="N32" i="3"/>
  <c r="N31" i="3"/>
  <c r="N30" i="3"/>
  <c r="N29" i="3"/>
  <c r="N27" i="3"/>
  <c r="N22" i="3"/>
  <c r="N21" i="3"/>
  <c r="N20" i="3"/>
  <c r="N19" i="3"/>
  <c r="O33" i="3"/>
  <c r="R28" i="3"/>
  <c r="O31" i="3"/>
  <c r="S31" i="3"/>
  <c r="R33" i="3"/>
  <c r="O37" i="3"/>
  <c r="O23" i="3"/>
  <c r="R23" i="3"/>
  <c r="O32" i="3"/>
  <c r="R27" i="3"/>
  <c r="S32" i="3"/>
  <c r="S29" i="3"/>
  <c r="Q29" i="3" s="1"/>
  <c r="U32" i="3"/>
  <c r="U33" i="3"/>
  <c r="U31" i="3"/>
  <c r="S28" i="3"/>
  <c r="S27" i="3"/>
  <c r="O29" i="3"/>
  <c r="O28" i="3"/>
  <c r="U30" i="3"/>
  <c r="U28" i="3"/>
  <c r="U29" i="3"/>
  <c r="U27" i="3"/>
  <c r="R30" i="3"/>
  <c r="O30" i="3"/>
  <c r="R25" i="3"/>
  <c r="O24" i="3"/>
  <c r="O22" i="3"/>
  <c r="S24" i="3"/>
  <c r="S23" i="3"/>
  <c r="S22" i="3"/>
  <c r="R20" i="3"/>
  <c r="R24" i="3"/>
  <c r="R34" i="3"/>
  <c r="Q34" i="3" s="1"/>
  <c r="S26" i="3"/>
  <c r="R19" i="3"/>
  <c r="Q19" i="3" s="1"/>
  <c r="S20" i="3"/>
  <c r="S25" i="3"/>
  <c r="O19" i="3"/>
  <c r="R21" i="3"/>
  <c r="Q21" i="3" s="1"/>
  <c r="O26" i="3"/>
  <c r="M26" i="3" s="1"/>
  <c r="R26" i="3"/>
  <c r="O25" i="3"/>
  <c r="S18" i="3"/>
  <c r="O20" i="3"/>
  <c r="O18" i="3"/>
  <c r="M18" i="3" s="1"/>
  <c r="O34" i="3"/>
  <c r="M34" i="3" s="1"/>
  <c r="V34" i="3" s="1"/>
  <c r="R22" i="3"/>
  <c r="O21" i="3"/>
  <c r="N37" i="3"/>
  <c r="N36" i="3"/>
  <c r="N35" i="3"/>
  <c r="S36" i="3"/>
  <c r="R35" i="3"/>
  <c r="S35" i="3"/>
  <c r="U19" i="3"/>
  <c r="U24" i="3"/>
  <c r="U23" i="3"/>
  <c r="U25" i="3"/>
  <c r="R37" i="3"/>
  <c r="O36" i="3"/>
  <c r="S37" i="3"/>
  <c r="R36" i="3"/>
  <c r="O35" i="3"/>
  <c r="R18" i="3"/>
  <c r="U35" i="3"/>
  <c r="U20" i="3"/>
  <c r="U37" i="3"/>
  <c r="U36" i="3"/>
  <c r="X34" i="3"/>
  <c r="J13" i="3"/>
  <c r="B13" i="3" s="1"/>
  <c r="J14" i="3"/>
  <c r="B14" i="3" s="1"/>
  <c r="J15" i="3"/>
  <c r="B15" i="3" s="1"/>
  <c r="J16" i="3"/>
  <c r="B16" i="3" s="1"/>
  <c r="J17" i="3"/>
  <c r="B17" i="3" s="1"/>
  <c r="J2" i="3"/>
  <c r="B2" i="3" s="1"/>
  <c r="J3" i="3"/>
  <c r="B3" i="3" s="1"/>
  <c r="J4" i="3"/>
  <c r="B4" i="3" s="1"/>
  <c r="N13" i="3"/>
  <c r="N2" i="3"/>
  <c r="J9" i="3"/>
  <c r="B9" i="3" s="1"/>
  <c r="J10" i="3"/>
  <c r="B10" i="3" s="1"/>
  <c r="J11" i="3"/>
  <c r="B11" i="3" s="1"/>
  <c r="J12" i="3"/>
  <c r="B12" i="3" s="1"/>
  <c r="J5" i="3"/>
  <c r="B5" i="3" s="1"/>
  <c r="J6" i="3"/>
  <c r="B6" i="3" s="1"/>
  <c r="J7" i="3"/>
  <c r="B7" i="3" s="1"/>
  <c r="J8" i="3"/>
  <c r="B8" i="3" s="1"/>
  <c r="S7" i="3"/>
  <c r="N5" i="3"/>
  <c r="B33" i="2"/>
  <c r="R2" i="3" l="1"/>
  <c r="N3" i="3"/>
  <c r="R14" i="3"/>
  <c r="M21" i="3"/>
  <c r="M24" i="3"/>
  <c r="Q32" i="3"/>
  <c r="M25" i="3"/>
  <c r="M33" i="3"/>
  <c r="M32" i="3"/>
  <c r="Q31" i="3"/>
  <c r="M23" i="3"/>
  <c r="M37" i="3"/>
  <c r="Q33" i="3"/>
  <c r="M27" i="3"/>
  <c r="X33" i="3"/>
  <c r="Q28" i="3"/>
  <c r="M29" i="3"/>
  <c r="X31" i="3"/>
  <c r="M30" i="3"/>
  <c r="M31" i="3"/>
  <c r="M22" i="3"/>
  <c r="M20" i="3"/>
  <c r="M19" i="3"/>
  <c r="X23" i="3"/>
  <c r="Q27" i="3"/>
  <c r="X28" i="3"/>
  <c r="X29" i="3"/>
  <c r="X30" i="3"/>
  <c r="X32" i="3"/>
  <c r="M28" i="3"/>
  <c r="X27" i="3"/>
  <c r="Q22" i="3"/>
  <c r="Q30" i="3"/>
  <c r="Q24" i="3"/>
  <c r="Q25" i="3"/>
  <c r="M36" i="3"/>
  <c r="Q18" i="3"/>
  <c r="V18" i="3" s="1"/>
  <c r="Q26" i="3"/>
  <c r="W26" i="3" s="1"/>
  <c r="X24" i="3"/>
  <c r="Q23" i="3"/>
  <c r="X25" i="3"/>
  <c r="X19" i="3"/>
  <c r="Q20" i="3"/>
  <c r="X26" i="3"/>
  <c r="X21" i="3"/>
  <c r="W18" i="3"/>
  <c r="X22" i="3"/>
  <c r="X20" i="3"/>
  <c r="X18" i="3"/>
  <c r="X37" i="3"/>
  <c r="Q36" i="3"/>
  <c r="M35" i="3"/>
  <c r="Q35" i="3"/>
  <c r="X36" i="3"/>
  <c r="X35" i="3"/>
  <c r="W34" i="3"/>
  <c r="Q37" i="3"/>
  <c r="N4" i="3"/>
  <c r="R3" i="3"/>
  <c r="O15" i="3"/>
  <c r="O2" i="3"/>
  <c r="M2" i="3" s="1"/>
  <c r="O3" i="3"/>
  <c r="O13" i="3"/>
  <c r="M13" i="3" s="1"/>
  <c r="S2" i="3"/>
  <c r="X2" i="3" s="1"/>
  <c r="O17" i="3"/>
  <c r="S3" i="3"/>
  <c r="O16" i="3"/>
  <c r="N17" i="3"/>
  <c r="S17" i="3"/>
  <c r="R17" i="3"/>
  <c r="S16" i="3"/>
  <c r="N16" i="3"/>
  <c r="N15" i="3"/>
  <c r="N14" i="3"/>
  <c r="R16" i="3"/>
  <c r="R15" i="3"/>
  <c r="S15" i="3"/>
  <c r="S13" i="3"/>
  <c r="S4" i="3"/>
  <c r="R4" i="3"/>
  <c r="O14" i="3"/>
  <c r="S14" i="3"/>
  <c r="R13" i="3"/>
  <c r="U3" i="3"/>
  <c r="U16" i="3"/>
  <c r="O4" i="3"/>
  <c r="N10" i="3"/>
  <c r="N11" i="3"/>
  <c r="O9" i="3"/>
  <c r="N12" i="3"/>
  <c r="N9" i="3"/>
  <c r="N8" i="3"/>
  <c r="N7" i="3"/>
  <c r="N6" i="3"/>
  <c r="W13" i="3"/>
  <c r="X13" i="3"/>
  <c r="U4" i="3"/>
  <c r="U15" i="3"/>
  <c r="U14" i="3"/>
  <c r="U17" i="3"/>
  <c r="O10" i="3"/>
  <c r="S11" i="3"/>
  <c r="O12" i="3"/>
  <c r="O11" i="3"/>
  <c r="S9" i="3"/>
  <c r="R9" i="3"/>
  <c r="R6" i="3"/>
  <c r="S6" i="3"/>
  <c r="O6" i="3"/>
  <c r="S10" i="3"/>
  <c r="R7" i="3"/>
  <c r="Q7" i="3" s="1"/>
  <c r="S5" i="3"/>
  <c r="O7" i="3"/>
  <c r="R10" i="3"/>
  <c r="R5" i="3"/>
  <c r="O5" i="3"/>
  <c r="X5" i="3" s="1"/>
  <c r="U12" i="3"/>
  <c r="U11" i="3"/>
  <c r="O8" i="3"/>
  <c r="S12" i="3"/>
  <c r="R8" i="3"/>
  <c r="R12" i="3"/>
  <c r="R11" i="3"/>
  <c r="U9" i="3"/>
  <c r="U10" i="3"/>
  <c r="U8" i="3"/>
  <c r="S8" i="3"/>
  <c r="U6" i="3"/>
  <c r="U7" i="3"/>
  <c r="M3" i="3" l="1"/>
  <c r="Q14" i="3"/>
  <c r="V26" i="3"/>
  <c r="M4" i="3"/>
  <c r="Q3" i="3"/>
  <c r="Q2" i="3"/>
  <c r="M15" i="3"/>
  <c r="X3" i="3"/>
  <c r="M16" i="3"/>
  <c r="Q5" i="3"/>
  <c r="W2" i="3"/>
  <c r="Q15" i="3"/>
  <c r="M7" i="3"/>
  <c r="Q13" i="3"/>
  <c r="V13" i="3" s="1"/>
  <c r="M17" i="3"/>
  <c r="M14" i="3"/>
  <c r="M11" i="3"/>
  <c r="X16" i="3"/>
  <c r="M12" i="3"/>
  <c r="V2" i="3"/>
  <c r="X15" i="3"/>
  <c r="X4" i="3"/>
  <c r="Q6" i="3"/>
  <c r="X17" i="3"/>
  <c r="Q17" i="3"/>
  <c r="Q16" i="3"/>
  <c r="X14" i="3"/>
  <c r="M9" i="3"/>
  <c r="Q4" i="3"/>
  <c r="M10" i="3"/>
  <c r="X7" i="3"/>
  <c r="Q10" i="3"/>
  <c r="Q9" i="3"/>
  <c r="M8" i="3"/>
  <c r="M6" i="3"/>
  <c r="X12" i="3"/>
  <c r="X11" i="3"/>
  <c r="X9" i="3"/>
  <c r="X6" i="3"/>
  <c r="M5" i="3"/>
  <c r="W5" i="3" s="1"/>
  <c r="X10" i="3"/>
  <c r="V5" i="3"/>
  <c r="Q12" i="3"/>
  <c r="Q8" i="3"/>
  <c r="Q11" i="3"/>
  <c r="X8" i="3"/>
  <c r="B50" i="3"/>
  <c r="T50" i="3" s="1"/>
  <c r="J50" i="3"/>
  <c r="N50" i="3"/>
  <c r="J51" i="3"/>
  <c r="B51" i="3" s="1"/>
  <c r="S51" i="3"/>
  <c r="N51" i="3"/>
  <c r="J52" i="3"/>
  <c r="B52" i="3" s="1"/>
  <c r="J53" i="3"/>
  <c r="B53" i="3" s="1"/>
  <c r="J55" i="3"/>
  <c r="B55" i="3" s="1"/>
  <c r="J56" i="3"/>
  <c r="B56" i="3" s="1"/>
  <c r="N52" i="3"/>
  <c r="N55" i="3"/>
  <c r="N56" i="3" l="1"/>
  <c r="O56" i="3"/>
  <c r="O52" i="3"/>
  <c r="M52" i="3" s="1"/>
  <c r="N53" i="3"/>
  <c r="R52" i="3"/>
  <c r="O50" i="3"/>
  <c r="M50" i="3" s="1"/>
  <c r="X50" i="3"/>
  <c r="S50" i="3"/>
  <c r="R50" i="3"/>
  <c r="R51" i="3"/>
  <c r="Q51" i="3" s="1"/>
  <c r="W50" i="3"/>
  <c r="O51" i="3"/>
  <c r="M51" i="3" s="1"/>
  <c r="U51" i="3"/>
  <c r="V50" i="3"/>
  <c r="R56" i="3"/>
  <c r="S56" i="3"/>
  <c r="S53" i="3"/>
  <c r="S52" i="3"/>
  <c r="R55" i="3"/>
  <c r="S55" i="3"/>
  <c r="R53" i="3"/>
  <c r="O55" i="3"/>
  <c r="O53" i="3"/>
  <c r="U53" i="3"/>
  <c r="U56" i="3"/>
  <c r="J44" i="3"/>
  <c r="B44" i="3" s="1"/>
  <c r="J45" i="3"/>
  <c r="B45" i="3" s="1"/>
  <c r="J46" i="3"/>
  <c r="B46" i="3" s="1"/>
  <c r="J47" i="3"/>
  <c r="B47" i="3" s="1"/>
  <c r="J48" i="3"/>
  <c r="B48" i="3" s="1"/>
  <c r="J49" i="3"/>
  <c r="B49" i="3" s="1"/>
  <c r="U49" i="3" s="1"/>
  <c r="N45" i="3"/>
  <c r="S48" i="3"/>
  <c r="S49" i="3"/>
  <c r="N47" i="3"/>
  <c r="M56" i="3" l="1"/>
  <c r="M53" i="3"/>
  <c r="Q52" i="3"/>
  <c r="X51" i="3"/>
  <c r="Q50" i="3"/>
  <c r="Q53" i="3"/>
  <c r="Q56" i="3"/>
  <c r="X55" i="3"/>
  <c r="X52" i="3"/>
  <c r="X53" i="3"/>
  <c r="X56" i="3"/>
  <c r="M55" i="3"/>
  <c r="V52" i="3"/>
  <c r="Q55" i="3"/>
  <c r="W52" i="3"/>
  <c r="N49" i="3"/>
  <c r="N48" i="3"/>
  <c r="N46" i="3"/>
  <c r="N44" i="3"/>
  <c r="R49" i="3"/>
  <c r="Q49" i="3" s="1"/>
  <c r="O49" i="3"/>
  <c r="O45" i="3"/>
  <c r="M45" i="3" s="1"/>
  <c r="R44" i="3"/>
  <c r="R46" i="3"/>
  <c r="S46" i="3"/>
  <c r="R48" i="3"/>
  <c r="Q48" i="3" s="1"/>
  <c r="R45" i="3"/>
  <c r="O44" i="3"/>
  <c r="S45" i="3"/>
  <c r="S44" i="3"/>
  <c r="O48" i="3"/>
  <c r="R47" i="3"/>
  <c r="O47" i="3"/>
  <c r="M47" i="3" s="1"/>
  <c r="S47" i="3"/>
  <c r="U44" i="3"/>
  <c r="U48" i="3"/>
  <c r="O46" i="3"/>
  <c r="B3" i="8"/>
  <c r="B4" i="8"/>
  <c r="B5" i="8"/>
  <c r="B6" i="8"/>
  <c r="B7" i="8"/>
  <c r="B8" i="8"/>
  <c r="B9" i="8"/>
  <c r="B10" i="8"/>
  <c r="B11" i="8"/>
  <c r="B12" i="8"/>
  <c r="B13" i="8"/>
  <c r="B2" i="8"/>
  <c r="V55" i="3" l="1"/>
  <c r="W55" i="3"/>
  <c r="M49" i="3"/>
  <c r="M46" i="3"/>
  <c r="M44" i="3"/>
  <c r="X48" i="3"/>
  <c r="M48" i="3"/>
  <c r="Q44" i="3"/>
  <c r="X45" i="3"/>
  <c r="Q45" i="3"/>
  <c r="V45" i="3" s="1"/>
  <c r="Q47" i="3"/>
  <c r="V47" i="3" s="1"/>
  <c r="X44" i="3"/>
  <c r="X49" i="3"/>
  <c r="X47" i="3"/>
  <c r="Q46" i="3"/>
  <c r="X46" i="3"/>
  <c r="W45" i="3" l="1"/>
  <c r="W47" i="3"/>
  <c r="G2" i="7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N38" i="3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S41" i="3" l="1"/>
  <c r="S38" i="3"/>
  <c r="C3" i="7"/>
  <c r="C2" i="7"/>
  <c r="J38" i="3"/>
  <c r="J40" i="3"/>
  <c r="B40" i="3" s="1"/>
  <c r="J39" i="3"/>
  <c r="J41" i="3"/>
  <c r="B41" i="3" s="1"/>
  <c r="J43" i="3"/>
  <c r="J42" i="3"/>
  <c r="B38" i="3"/>
  <c r="T59" i="3" l="1"/>
  <c r="T60" i="3"/>
  <c r="B39" i="3"/>
  <c r="R41" i="3"/>
  <c r="Q41" i="3" s="1"/>
  <c r="B43" i="3"/>
  <c r="R38" i="3"/>
  <c r="Q38" i="3" s="1"/>
  <c r="O38" i="3"/>
  <c r="M38" i="3" s="1"/>
  <c r="B42" i="3"/>
  <c r="T58" i="3" l="1"/>
  <c r="T29" i="3"/>
  <c r="T57" i="3"/>
  <c r="T54" i="3"/>
  <c r="T32" i="3"/>
  <c r="T31" i="3"/>
  <c r="T33" i="3"/>
  <c r="T30" i="3"/>
  <c r="T27" i="3"/>
  <c r="T28" i="3"/>
  <c r="T35" i="3"/>
  <c r="T21" i="3"/>
  <c r="T36" i="3"/>
  <c r="T34" i="3"/>
  <c r="T20" i="3"/>
  <c r="T23" i="3"/>
  <c r="T26" i="3"/>
  <c r="T37" i="3"/>
  <c r="T24" i="3"/>
  <c r="T18" i="3"/>
  <c r="T25" i="3"/>
  <c r="T22" i="3"/>
  <c r="T19" i="3"/>
  <c r="T3" i="3"/>
  <c r="T14" i="3"/>
  <c r="T51" i="3"/>
  <c r="T4" i="3"/>
  <c r="T17" i="3"/>
  <c r="T2" i="3"/>
  <c r="T15" i="3"/>
  <c r="T13" i="3"/>
  <c r="T16" i="3"/>
  <c r="T7" i="3"/>
  <c r="T11" i="3"/>
  <c r="T5" i="3"/>
  <c r="T8" i="3"/>
  <c r="T10" i="3"/>
  <c r="T9" i="3"/>
  <c r="T12" i="3"/>
  <c r="T6" i="3"/>
  <c r="T52" i="3"/>
  <c r="T55" i="3"/>
  <c r="T53" i="3"/>
  <c r="T56" i="3"/>
  <c r="T46" i="3"/>
  <c r="T48" i="3"/>
  <c r="T44" i="3"/>
  <c r="T45" i="3"/>
  <c r="T49" i="3"/>
  <c r="T47" i="3"/>
  <c r="S40" i="3"/>
  <c r="R40" i="3"/>
  <c r="S42" i="3"/>
  <c r="R42" i="3"/>
  <c r="S39" i="3"/>
  <c r="R39" i="3"/>
  <c r="S43" i="3"/>
  <c r="R43" i="3"/>
  <c r="Q40" i="3" l="1"/>
  <c r="Q39" i="3"/>
  <c r="Q42" i="3"/>
  <c r="Q43" i="3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H8" i="5" l="1"/>
  <c r="O8" i="5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L59" i="3" l="1"/>
  <c r="P60" i="3"/>
  <c r="P20" i="3"/>
  <c r="P13" i="3"/>
  <c r="P14" i="3"/>
  <c r="B8" i="5"/>
  <c r="B4" i="5"/>
  <c r="L60" i="3" s="1"/>
  <c r="B7" i="5"/>
  <c r="P37" i="3" l="1"/>
  <c r="P26" i="3"/>
  <c r="P57" i="3"/>
  <c r="L58" i="3"/>
  <c r="W60" i="3"/>
  <c r="V60" i="3"/>
  <c r="P59" i="3"/>
  <c r="L57" i="3"/>
  <c r="V57" i="3" s="1"/>
  <c r="P58" i="3"/>
  <c r="P19" i="3"/>
  <c r="L13" i="3"/>
  <c r="P11" i="3"/>
  <c r="P3" i="3"/>
  <c r="L5" i="3"/>
  <c r="P24" i="3"/>
  <c r="L4" i="3"/>
  <c r="P30" i="3"/>
  <c r="P34" i="3"/>
  <c r="L33" i="3"/>
  <c r="L21" i="3"/>
  <c r="L31" i="3"/>
  <c r="L3" i="3"/>
  <c r="P21" i="3"/>
  <c r="L9" i="3"/>
  <c r="P28" i="3"/>
  <c r="P25" i="3"/>
  <c r="L36" i="3"/>
  <c r="L30" i="3"/>
  <c r="P45" i="3"/>
  <c r="P17" i="3"/>
  <c r="P6" i="3"/>
  <c r="P23" i="3"/>
  <c r="P36" i="3"/>
  <c r="L15" i="3"/>
  <c r="P31" i="3"/>
  <c r="P22" i="3"/>
  <c r="L35" i="3"/>
  <c r="L29" i="3"/>
  <c r="L48" i="3"/>
  <c r="P15" i="3"/>
  <c r="P5" i="3"/>
  <c r="P33" i="3"/>
  <c r="L10" i="3"/>
  <c r="P35" i="3"/>
  <c r="L2" i="3"/>
  <c r="L18" i="3"/>
  <c r="L32" i="3"/>
  <c r="L37" i="3"/>
  <c r="W37" i="3" s="1"/>
  <c r="P9" i="3"/>
  <c r="P16" i="3"/>
  <c r="P7" i="3"/>
  <c r="L12" i="3"/>
  <c r="L16" i="3"/>
  <c r="L6" i="3"/>
  <c r="P18" i="3"/>
  <c r="L22" i="3"/>
  <c r="L19" i="3"/>
  <c r="L25" i="3"/>
  <c r="P54" i="3"/>
  <c r="P8" i="3"/>
  <c r="L45" i="3"/>
  <c r="P12" i="3"/>
  <c r="P2" i="3"/>
  <c r="L11" i="3"/>
  <c r="P27" i="3"/>
  <c r="P29" i="3"/>
  <c r="L8" i="3"/>
  <c r="L28" i="3"/>
  <c r="L34" i="3"/>
  <c r="L20" i="3"/>
  <c r="V20" i="3" s="1"/>
  <c r="L27" i="3"/>
  <c r="L52" i="3"/>
  <c r="P10" i="3"/>
  <c r="P4" i="3"/>
  <c r="L17" i="3"/>
  <c r="P32" i="3"/>
  <c r="L14" i="3"/>
  <c r="W14" i="3" s="1"/>
  <c r="L7" i="3"/>
  <c r="L23" i="3"/>
  <c r="L26" i="3"/>
  <c r="L24" i="3"/>
  <c r="L54" i="3"/>
  <c r="P49" i="3"/>
  <c r="P56" i="3"/>
  <c r="P55" i="3"/>
  <c r="L50" i="3"/>
  <c r="P48" i="3"/>
  <c r="P50" i="3"/>
  <c r="L44" i="3"/>
  <c r="P51" i="3"/>
  <c r="L51" i="3"/>
  <c r="L47" i="3"/>
  <c r="P44" i="3"/>
  <c r="L56" i="3"/>
  <c r="P46" i="3"/>
  <c r="P47" i="3"/>
  <c r="P52" i="3"/>
  <c r="P53" i="3"/>
  <c r="L49" i="3"/>
  <c r="L46" i="3"/>
  <c r="L55" i="3"/>
  <c r="L53" i="3"/>
  <c r="L38" i="3"/>
  <c r="L40" i="3"/>
  <c r="L39" i="3"/>
  <c r="L41" i="3"/>
  <c r="L43" i="3"/>
  <c r="L42" i="3"/>
  <c r="W57" i="3" l="1"/>
  <c r="W19" i="3"/>
  <c r="V58" i="3"/>
  <c r="W58" i="3"/>
  <c r="V32" i="3"/>
  <c r="W32" i="3"/>
  <c r="V15" i="3"/>
  <c r="W15" i="3"/>
  <c r="V31" i="3"/>
  <c r="W31" i="3"/>
  <c r="W8" i="3"/>
  <c r="V8" i="3"/>
  <c r="W20" i="3"/>
  <c r="W24" i="3"/>
  <c r="V24" i="3"/>
  <c r="W4" i="3"/>
  <c r="V4" i="3"/>
  <c r="V54" i="3"/>
  <c r="W54" i="3"/>
  <c r="W7" i="3"/>
  <c r="V7" i="3"/>
  <c r="W36" i="3"/>
  <c r="V36" i="3"/>
  <c r="V10" i="3"/>
  <c r="W10" i="3"/>
  <c r="W29" i="3"/>
  <c r="V29" i="3"/>
  <c r="V16" i="3"/>
  <c r="W16" i="3"/>
  <c r="V37" i="3"/>
  <c r="W23" i="3"/>
  <c r="V23" i="3"/>
  <c r="V25" i="3"/>
  <c r="W25" i="3"/>
  <c r="V3" i="3"/>
  <c r="W3" i="3"/>
  <c r="W27" i="3"/>
  <c r="V27" i="3"/>
  <c r="V9" i="3"/>
  <c r="W9" i="3"/>
  <c r="W35" i="3"/>
  <c r="V35" i="3"/>
  <c r="V6" i="3"/>
  <c r="W6" i="3"/>
  <c r="V28" i="3"/>
  <c r="W28" i="3"/>
  <c r="V11" i="3"/>
  <c r="W11" i="3"/>
  <c r="V19" i="3"/>
  <c r="AB19" i="3" s="1"/>
  <c r="W17" i="3"/>
  <c r="V17" i="3"/>
  <c r="W33" i="3"/>
  <c r="V33" i="3"/>
  <c r="W21" i="3"/>
  <c r="V21" i="3"/>
  <c r="V14" i="3"/>
  <c r="W12" i="3"/>
  <c r="V12" i="3"/>
  <c r="V22" i="3"/>
  <c r="W22" i="3"/>
  <c r="W30" i="3"/>
  <c r="V30" i="3"/>
  <c r="W44" i="3"/>
  <c r="V44" i="3"/>
  <c r="V53" i="3"/>
  <c r="W53" i="3"/>
  <c r="V48" i="3"/>
  <c r="W48" i="3"/>
  <c r="W46" i="3"/>
  <c r="V46" i="3"/>
  <c r="W56" i="3"/>
  <c r="V56" i="3"/>
  <c r="V51" i="3"/>
  <c r="W51" i="3"/>
  <c r="V49" i="3"/>
  <c r="W49" i="3"/>
  <c r="P41" i="3"/>
  <c r="O41" i="3"/>
  <c r="P42" i="3"/>
  <c r="O42" i="3"/>
  <c r="P40" i="3"/>
  <c r="O40" i="3"/>
  <c r="P39" i="3"/>
  <c r="O39" i="3"/>
  <c r="P43" i="3"/>
  <c r="O43" i="3"/>
  <c r="P38" i="3"/>
  <c r="N41" i="3"/>
  <c r="U40" i="3"/>
  <c r="U39" i="3"/>
  <c r="U42" i="3"/>
  <c r="N40" i="3"/>
  <c r="N42" i="3"/>
  <c r="AB8" i="3" l="1"/>
  <c r="AB34" i="3"/>
  <c r="AB35" i="3" s="1"/>
  <c r="AD19" i="3"/>
  <c r="AD20" i="3"/>
  <c r="AB20" i="3"/>
  <c r="AC20" i="3" s="1"/>
  <c r="AC19" i="3"/>
  <c r="M40" i="3"/>
  <c r="M42" i="3"/>
  <c r="M41" i="3"/>
  <c r="W41" i="3" s="1"/>
  <c r="X41" i="3"/>
  <c r="T41" i="3"/>
  <c r="T38" i="3"/>
  <c r="T43" i="3"/>
  <c r="T40" i="3"/>
  <c r="T42" i="3"/>
  <c r="T39" i="3"/>
  <c r="V38" i="3"/>
  <c r="X38" i="3"/>
  <c r="N39" i="3"/>
  <c r="M39" i="3" s="1"/>
  <c r="N43" i="3"/>
  <c r="M43" i="3" s="1"/>
  <c r="W38" i="3"/>
  <c r="AD21" i="3" l="1"/>
  <c r="AE21" i="3" s="1"/>
  <c r="AB21" i="3"/>
  <c r="AC21" i="3" s="1"/>
  <c r="V41" i="3"/>
  <c r="X39" i="3"/>
  <c r="X40" i="3"/>
  <c r="X43" i="3"/>
  <c r="X42" i="3"/>
  <c r="V42" i="3"/>
  <c r="V43" i="3"/>
  <c r="V39" i="3"/>
  <c r="I12" i="8" l="1"/>
  <c r="I11" i="8"/>
  <c r="I10" i="8"/>
  <c r="I13" i="8"/>
  <c r="I6" i="8"/>
  <c r="I8" i="8"/>
  <c r="I4" i="8"/>
  <c r="I3" i="8"/>
  <c r="I5" i="8"/>
  <c r="I2" i="8"/>
  <c r="I9" i="8"/>
  <c r="I7" i="8"/>
  <c r="V40" i="3"/>
  <c r="E6" i="8" s="1"/>
  <c r="F6" i="8" s="1"/>
  <c r="W40" i="3"/>
  <c r="W39" i="3"/>
  <c r="U59" i="3" s="1"/>
  <c r="W42" i="3"/>
  <c r="W43" i="3"/>
  <c r="AB40" i="3" l="1"/>
  <c r="J3" i="8"/>
  <c r="P3" i="8" s="1"/>
  <c r="J4" i="8"/>
  <c r="P4" i="8" s="1"/>
  <c r="J8" i="8"/>
  <c r="P8" i="8" s="1"/>
  <c r="J6" i="8"/>
  <c r="P6" i="8" s="1"/>
  <c r="J7" i="8"/>
  <c r="P7" i="8" s="1"/>
  <c r="J13" i="8"/>
  <c r="P13" i="8" s="1"/>
  <c r="J9" i="8"/>
  <c r="P9" i="8" s="1"/>
  <c r="J10" i="8"/>
  <c r="P10" i="8" s="1"/>
  <c r="J2" i="8"/>
  <c r="P2" i="8" s="1"/>
  <c r="J11" i="8"/>
  <c r="P11" i="8" s="1"/>
  <c r="J5" i="8"/>
  <c r="P5" i="8" s="1"/>
  <c r="J12" i="8"/>
  <c r="P12" i="8" s="1"/>
  <c r="U18" i="3"/>
  <c r="U26" i="3"/>
  <c r="U2" i="3"/>
  <c r="U34" i="3"/>
  <c r="AA34" i="3" s="1"/>
  <c r="AC34" i="3" s="1"/>
  <c r="U13" i="3"/>
  <c r="U5" i="3"/>
  <c r="N6" i="8"/>
  <c r="E11" i="8"/>
  <c r="F11" i="8" s="1"/>
  <c r="E3" i="8"/>
  <c r="F3" i="8" s="1"/>
  <c r="E13" i="8"/>
  <c r="F13" i="8" s="1"/>
  <c r="E5" i="8"/>
  <c r="F5" i="8" s="1"/>
  <c r="G11" i="8"/>
  <c r="G2" i="8"/>
  <c r="H2" i="8" s="1"/>
  <c r="G10" i="8"/>
  <c r="G3" i="8"/>
  <c r="G13" i="8"/>
  <c r="G12" i="8"/>
  <c r="G5" i="8"/>
  <c r="G7" i="8"/>
  <c r="G4" i="8"/>
  <c r="G6" i="8"/>
  <c r="G9" i="8"/>
  <c r="G8" i="8"/>
  <c r="E8" i="8"/>
  <c r="F8" i="8" s="1"/>
  <c r="E10" i="8"/>
  <c r="F10" i="8" s="1"/>
  <c r="E9" i="8"/>
  <c r="F9" i="8" s="1"/>
  <c r="E4" i="8"/>
  <c r="F4" i="8" s="1"/>
  <c r="E2" i="8"/>
  <c r="F2" i="8" s="1"/>
  <c r="E7" i="8"/>
  <c r="F7" i="8" s="1"/>
  <c r="E12" i="8"/>
  <c r="F12" i="8" s="1"/>
  <c r="U50" i="3"/>
  <c r="U52" i="3"/>
  <c r="U55" i="3"/>
  <c r="U47" i="3"/>
  <c r="U46" i="3"/>
  <c r="U45" i="3"/>
  <c r="U43" i="3"/>
  <c r="U38" i="3"/>
  <c r="U41" i="3"/>
  <c r="AA8" i="3" l="1"/>
  <c r="AC8" i="3" s="1"/>
  <c r="AA40" i="3"/>
  <c r="AC40" i="3" s="1"/>
  <c r="J14" i="8"/>
  <c r="P14" i="8"/>
  <c r="H13" i="8"/>
  <c r="O13" i="8" s="1"/>
  <c r="H8" i="8"/>
  <c r="O8" i="8" s="1"/>
  <c r="H3" i="8"/>
  <c r="O3" i="8" s="1"/>
  <c r="H9" i="8"/>
  <c r="O9" i="8" s="1"/>
  <c r="H10" i="8"/>
  <c r="O10" i="8" s="1"/>
  <c r="H6" i="8"/>
  <c r="L6" i="8" s="1"/>
  <c r="H4" i="8"/>
  <c r="O4" i="8" s="1"/>
  <c r="H11" i="8"/>
  <c r="O11" i="8" s="1"/>
  <c r="H7" i="8"/>
  <c r="O7" i="8" s="1"/>
  <c r="H5" i="8"/>
  <c r="O5" i="8" s="1"/>
  <c r="H12" i="8"/>
  <c r="O12" i="8" s="1"/>
  <c r="K7" i="8"/>
  <c r="K2" i="8"/>
  <c r="L2" i="8"/>
  <c r="K4" i="8"/>
  <c r="N4" i="8"/>
  <c r="K5" i="8"/>
  <c r="N5" i="8"/>
  <c r="K9" i="8"/>
  <c r="K13" i="8"/>
  <c r="N13" i="8"/>
  <c r="N10" i="8"/>
  <c r="K10" i="8"/>
  <c r="N3" i="8"/>
  <c r="K3" i="8"/>
  <c r="K8" i="8"/>
  <c r="N8" i="8"/>
  <c r="K11" i="8"/>
  <c r="N12" i="8"/>
  <c r="K12" i="8"/>
  <c r="K6" i="8"/>
  <c r="O2" i="8"/>
  <c r="C5" i="8" l="1"/>
  <c r="C6" i="8"/>
  <c r="T6" i="8" s="1"/>
  <c r="V6" i="8" s="1"/>
  <c r="O6" i="8"/>
  <c r="O14" i="8" s="1"/>
  <c r="H14" i="8"/>
  <c r="N2" i="8"/>
  <c r="N7" i="8"/>
  <c r="C7" i="8"/>
  <c r="C2" i="8"/>
  <c r="T2" i="8" s="1"/>
  <c r="L11" i="8"/>
  <c r="C11" i="8"/>
  <c r="L9" i="8"/>
  <c r="C9" i="8"/>
  <c r="L5" i="8"/>
  <c r="F14" i="8"/>
  <c r="L12" i="8"/>
  <c r="C12" i="8"/>
  <c r="L3" i="8"/>
  <c r="C3" i="8"/>
  <c r="L4" i="8"/>
  <c r="C4" i="8"/>
  <c r="N9" i="8"/>
  <c r="N11" i="8"/>
  <c r="L10" i="8"/>
  <c r="C10" i="8"/>
  <c r="L13" i="8"/>
  <c r="C13" i="8"/>
  <c r="L8" i="8"/>
  <c r="C8" i="8"/>
  <c r="L7" i="8"/>
  <c r="K14" i="8"/>
  <c r="M6" i="8" l="1"/>
  <c r="D6" i="8"/>
  <c r="Q6" i="8" s="1"/>
  <c r="D10" i="8"/>
  <c r="Q10" i="8" s="1"/>
  <c r="T10" i="8"/>
  <c r="V10" i="8" s="1"/>
  <c r="D12" i="8"/>
  <c r="Q12" i="8" s="1"/>
  <c r="T12" i="8"/>
  <c r="V12" i="8" s="1"/>
  <c r="V2" i="8"/>
  <c r="D7" i="8"/>
  <c r="Q7" i="8" s="1"/>
  <c r="T7" i="8"/>
  <c r="V7" i="8" s="1"/>
  <c r="D5" i="8"/>
  <c r="Q5" i="8" s="1"/>
  <c r="T5" i="8"/>
  <c r="D4" i="8"/>
  <c r="Q4" i="8" s="1"/>
  <c r="T4" i="8"/>
  <c r="V4" i="8" s="1"/>
  <c r="D9" i="8"/>
  <c r="Q9" i="8" s="1"/>
  <c r="T9" i="8"/>
  <c r="V9" i="8" s="1"/>
  <c r="D13" i="8"/>
  <c r="Q13" i="8" s="1"/>
  <c r="T13" i="8"/>
  <c r="V13" i="8" s="1"/>
  <c r="D3" i="8"/>
  <c r="Q3" i="8" s="1"/>
  <c r="T3" i="8"/>
  <c r="V3" i="8" s="1"/>
  <c r="D8" i="8"/>
  <c r="Q8" i="8" s="1"/>
  <c r="T8" i="8"/>
  <c r="D11" i="8"/>
  <c r="Q11" i="8" s="1"/>
  <c r="T11" i="8"/>
  <c r="D2" i="8"/>
  <c r="N14" i="8"/>
  <c r="L14" i="8"/>
  <c r="M12" i="8"/>
  <c r="M5" i="8"/>
  <c r="M4" i="8"/>
  <c r="M7" i="8"/>
  <c r="M11" i="8"/>
  <c r="M8" i="8"/>
  <c r="M10" i="8"/>
  <c r="M3" i="8"/>
  <c r="M13" i="8"/>
  <c r="M9" i="8"/>
  <c r="M2" i="8"/>
  <c r="U2" i="8" l="1"/>
  <c r="T14" i="8"/>
  <c r="U11" i="8"/>
  <c r="V11" i="8"/>
  <c r="U8" i="8"/>
  <c r="V8" i="8"/>
  <c r="U5" i="8"/>
  <c r="V5" i="8"/>
  <c r="Q2" i="8"/>
  <c r="Q14" i="8" s="1"/>
  <c r="D14" i="8"/>
  <c r="M14" i="8"/>
  <c r="R2" i="8" l="1"/>
  <c r="R3" i="8" s="1"/>
  <c r="R4" i="8" s="1"/>
  <c r="R5" i="8" s="1"/>
  <c r="R6" i="8" s="1"/>
  <c r="R7" i="8" s="1"/>
  <c r="R8" i="8" s="1"/>
  <c r="R9" i="8" s="1"/>
  <c r="R10" i="8" s="1"/>
  <c r="R11" i="8" s="1"/>
  <c r="R12" i="8" s="1"/>
  <c r="R13" i="8" s="1"/>
  <c r="S2" i="8"/>
  <c r="S3" i="8" s="1"/>
  <c r="S4" i="8" s="1"/>
  <c r="S5" i="8" s="1"/>
  <c r="S6" i="8" s="1"/>
  <c r="S7" i="8" s="1"/>
  <c r="S8" i="8" s="1"/>
  <c r="S9" i="8" s="1"/>
  <c r="S10" i="8" s="1"/>
  <c r="S11" i="8" s="1"/>
  <c r="S12" i="8" s="1"/>
  <c r="S13" i="8" s="1"/>
  <c r="S1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K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2" authorId="0" shapeId="0" xr:uid="{C2BD38E0-7E99-4CCD-9DBF-45E23DDDEDA0}">
      <text>
        <r>
          <rPr>
            <b/>
            <sz val="9"/>
            <color indexed="81"/>
            <rFont val="Tahoma"/>
            <charset val="1"/>
          </rPr>
          <t xml:space="preserve">57:00
</t>
        </r>
      </text>
    </comment>
    <comment ref="C4" authorId="0" shapeId="0" xr:uid="{82553386-902B-4D2C-BD08-2FCD67C19763}">
      <text>
        <r>
          <rPr>
            <b/>
            <sz val="9"/>
            <color indexed="81"/>
            <rFont val="Tahoma"/>
            <charset val="1"/>
          </rPr>
          <t xml:space="preserve">29:32
</t>
        </r>
      </text>
    </comment>
    <comment ref="C5" authorId="0" shapeId="0" xr:uid="{FE4E7CCF-5737-4DA6-ABC5-7356955BEE75}">
      <text>
        <r>
          <rPr>
            <b/>
            <sz val="9"/>
            <color indexed="81"/>
            <rFont val="Tahoma"/>
            <charset val="1"/>
          </rPr>
          <t xml:space="preserve">17:36
</t>
        </r>
      </text>
    </comment>
    <comment ref="C6" authorId="0" shapeId="0" xr:uid="{8E9C4060-7F95-4D49-8AA2-3D0C081B2963}">
      <text>
        <r>
          <rPr>
            <b/>
            <sz val="9"/>
            <color indexed="81"/>
            <rFont val="Tahoma"/>
            <charset val="1"/>
          </rPr>
          <t>69:15</t>
        </r>
      </text>
    </comment>
  </commentList>
</comments>
</file>

<file path=xl/sharedStrings.xml><?xml version="1.0" encoding="utf-8"?>
<sst xmlns="http://schemas.openxmlformats.org/spreadsheetml/2006/main" count="169" uniqueCount="106">
  <si>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</si>
  <si>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</si>
  <si>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</si>
  <si>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</si>
  <si>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</si>
  <si>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</si>
  <si>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</si>
  <si>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</si>
  <si>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</si>
  <si>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</si>
  <si>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</si>
  <si>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</si>
  <si>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</si>
  <si>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</si>
  <si>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sans interv.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</si>
  <si>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</si>
  <si>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</si>
  <si>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</si>
  <si>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</si>
  <si>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</si>
  <si>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</si>
  <si>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</si>
  <si>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</si>
  <si>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</si>
  <si>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</si>
  <si>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</si>
  <si>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</si>
  <si>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</si>
  <si>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</si>
  <si>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</si>
  <si>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Taux sans interv.</t>
  </si>
  <si>
    <t>Taux interv. jour</t>
  </si>
  <si>
    <t>Taux interv. dim ou férié</t>
  </si>
  <si>
    <t>Taux interv. nuit</t>
  </si>
  <si>
    <t>Interv. hors poste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</si>
  <si>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</si>
  <si>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</si>
  <si>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</si>
  <si>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</si>
  <si>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</si>
  <si>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</si>
  <si>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</si>
  <si>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</si>
  <si>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</si>
  <si>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</si>
  <si>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Garde / Interv.</t>
  </si>
  <si>
    <t>Total</t>
  </si>
  <si>
    <t>Année</t>
  </si>
  <si>
    <t>Mois</t>
  </si>
  <si>
    <t>indemnités sans inter</t>
  </si>
  <si>
    <t>Total Indemnités</t>
  </si>
  <si>
    <t>indemnités inter dim/jr ferié</t>
  </si>
  <si>
    <t>indemnités inter Jr</t>
  </si>
  <si>
    <t>Indémnités inter. Nuit</t>
  </si>
  <si>
    <t>STANDARD</t>
  </si>
  <si>
    <t>Total durée inter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</si>
  <si>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</si>
  <si>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</si>
  <si>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</si>
  <si>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</si>
  <si>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</si>
  <si>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</si>
  <si>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</si>
  <si>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</si>
  <si>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</si>
  <si>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</si>
  <si>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</si>
  <si>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</si>
  <si>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</si>
  <si>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</si>
  <si>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</si>
  <si>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</si>
  <si>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Heures</t>
  </si>
  <si>
    <t>Arrondi</t>
  </si>
  <si>
    <t>Nbre d'heure effectués/mois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</si>
  <si>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</si>
  <si>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</si>
  <si>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</si>
  <si>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</si>
  <si>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</si>
  <si>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</si>
  <si>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</si>
  <si>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</si>
  <si>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</si>
  <si>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</si>
  <si>
    <t>prévisionnel/mois non épuisé</t>
  </si>
  <si>
    <t>&gt;24h</t>
  </si>
  <si>
    <t xml:space="preserve">Oui </t>
  </si>
  <si>
    <t>Réponses</t>
  </si>
  <si>
    <t>Mois de mars</t>
  </si>
  <si>
    <t>1ère garde</t>
  </si>
  <si>
    <t>2ème garde</t>
  </si>
  <si>
    <t>inter pdt la garde</t>
  </si>
  <si>
    <t>total</t>
  </si>
  <si>
    <t>résultat en caserne</t>
  </si>
  <si>
    <t>inter réel pdt la garde</t>
  </si>
  <si>
    <t>8h - 7h47</t>
  </si>
  <si>
    <t>7h47 à 9h27</t>
  </si>
  <si>
    <t>dernière inter</t>
  </si>
  <si>
    <t>heure sup</t>
  </si>
  <si>
    <t>Mois de janvier</t>
  </si>
  <si>
    <t>Mois d'avril</t>
  </si>
  <si>
    <t>garde de 20h</t>
  </si>
  <si>
    <t>Mois de mai</t>
  </si>
  <si>
    <t>inter</t>
  </si>
  <si>
    <t>garde postée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</si>
</sst>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  <numFmt numFmtId="172" formatCode="[$-F400]h:mm:ss\ AM/PM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slantDashDot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89">
    <xf numFmtId="0" fontId="0" fillId="0" borderId="0" xfId="0"/>
    <xf numFmtId="164" fontId="5" fillId="0" borderId="0" xfId="4" applyNumberFormat="1"/>
    <xf numFmtId="0" fontId="13" fillId="0" borderId="0" xfId="0" applyFont="1" applyAlignme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 applyFill="1"/>
    <xf numFmtId="0" fontId="14" fillId="0" borderId="0" xfId="0" applyFont="1" applyFill="1" applyBorder="1" applyAlignment="1">
      <alignment horizontal="center"/>
    </xf>
    <xf numFmtId="0" fontId="0" fillId="0" borderId="0" xfId="0" applyFill="1"/>
    <xf numFmtId="0" fontId="13" fillId="0" borderId="0" xfId="0" applyFont="1" applyAlignment="1">
      <alignment vertical="center" wrapText="1"/>
    </xf>
    <xf numFmtId="0" fontId="13" fillId="0" borderId="0" xfId="0" applyFont="1"/>
    <xf numFmtId="169" fontId="13" fillId="0" borderId="0" xfId="0" applyNumberFormat="1" applyFont="1"/>
    <xf numFmtId="166" fontId="13" fillId="0" borderId="0" xfId="0" applyNumberFormat="1" applyFont="1" applyBorder="1" applyAlignment="1"/>
    <xf numFmtId="166" fontId="13" fillId="0" borderId="0" xfId="0" applyNumberFormat="1" applyFont="1" applyAlignment="1"/>
    <xf numFmtId="166" fontId="13" fillId="0" borderId="0" xfId="0" applyNumberFormat="1" applyFont="1"/>
    <xf numFmtId="44" fontId="13" fillId="0" borderId="0" xfId="1" applyFont="1"/>
    <xf numFmtId="169" fontId="16" fillId="0" borderId="0" xfId="0" applyNumberFormat="1" applyFont="1" applyAlignment="1">
      <alignment vertical="center" wrapText="1"/>
    </xf>
    <xf numFmtId="166" fontId="16" fillId="0" borderId="0" xfId="0" applyNumberFormat="1" applyFont="1" applyBorder="1" applyAlignment="1">
      <alignment vertical="center" wrapText="1"/>
    </xf>
    <xf numFmtId="170" fontId="0" fillId="0" borderId="1" xfId="0" applyNumberFormat="1" applyBorder="1"/>
    <xf numFmtId="0" fontId="0" fillId="0" borderId="1" xfId="0" applyBorder="1" applyAlignment="1"/>
    <xf numFmtId="166" fontId="0" fillId="0" borderId="1" xfId="0" applyNumberFormat="1" applyBorder="1"/>
    <xf numFmtId="171" fontId="0" fillId="0" borderId="1" xfId="1" applyNumberFormat="1" applyFont="1" applyBorder="1"/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7" fontId="21" fillId="0" borderId="0" xfId="0" applyNumberFormat="1" applyFont="1" applyBorder="1" applyAlignment="1">
      <alignment horizontal="center" vertical="center"/>
    </xf>
    <xf numFmtId="0" fontId="3" fillId="0" borderId="3" xfId="0" applyFont="1" applyBorder="1"/>
    <xf numFmtId="166" fontId="20" fillId="2" borderId="3" xfId="0" applyNumberFormat="1" applyFont="1" applyFill="1" applyBorder="1"/>
    <xf numFmtId="171" fontId="20" fillId="0" borderId="3" xfId="0" applyNumberFormat="1" applyFont="1" applyBorder="1"/>
    <xf numFmtId="170" fontId="0" fillId="0" borderId="5" xfId="0" applyNumberFormat="1" applyBorder="1"/>
    <xf numFmtId="171" fontId="0" fillId="0" borderId="5" xfId="1" applyNumberFormat="1" applyFont="1" applyBorder="1"/>
    <xf numFmtId="166" fontId="3" fillId="2" borderId="6" xfId="0" applyNumberFormat="1" applyFont="1" applyFill="1" applyBorder="1"/>
    <xf numFmtId="171" fontId="0" fillId="0" borderId="8" xfId="1" applyNumberFormat="1" applyFont="1" applyBorder="1"/>
    <xf numFmtId="171" fontId="0" fillId="0" borderId="9" xfId="1" applyNumberFormat="1" applyFont="1" applyBorder="1"/>
    <xf numFmtId="171" fontId="1" fillId="0" borderId="1" xfId="1" applyNumberFormat="1" applyFont="1" applyBorder="1"/>
    <xf numFmtId="0" fontId="20" fillId="0" borderId="0" xfId="0" applyFont="1"/>
    <xf numFmtId="0" fontId="12" fillId="0" borderId="0" xfId="0" applyFont="1" applyBorder="1" applyAlignment="1">
      <alignment horizontal="center" vertical="center" wrapText="1"/>
    </xf>
    <xf numFmtId="166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166" fontId="16" fillId="0" borderId="10" xfId="0" applyNumberFormat="1" applyFont="1" applyBorder="1" applyAlignment="1">
      <alignment horizontal="center" vertical="center" wrapText="1"/>
    </xf>
    <xf numFmtId="169" fontId="12" fillId="0" borderId="0" xfId="0" applyNumberFormat="1" applyFont="1" applyBorder="1" applyAlignment="1">
      <alignment horizontal="center" vertical="center" wrapText="1"/>
    </xf>
    <xf numFmtId="166" fontId="12" fillId="0" borderId="0" xfId="0" applyNumberFormat="1" applyFont="1" applyBorder="1" applyAlignment="1">
      <alignment horizontal="center" vertical="center" wrapText="1"/>
    </xf>
    <xf numFmtId="166" fontId="12" fillId="0" borderId="10" xfId="0" applyNumberFormat="1" applyFont="1" applyBorder="1" applyAlignment="1">
      <alignment horizontal="center" vertical="center" wrapText="1"/>
    </xf>
    <xf numFmtId="167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166" fontId="21" fillId="0" borderId="10" xfId="0" applyNumberFormat="1" applyFont="1" applyBorder="1" applyAlignment="1">
      <alignment horizontal="center"/>
    </xf>
    <xf numFmtId="169" fontId="17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6" fontId="17" fillId="0" borderId="0" xfId="0" applyNumberFormat="1" applyFont="1" applyBorder="1" applyAlignment="1">
      <alignment horizontal="center"/>
    </xf>
    <xf numFmtId="166" fontId="17" fillId="0" borderId="1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166" fontId="21" fillId="0" borderId="0" xfId="0" applyNumberFormat="1" applyFont="1" applyFill="1" applyBorder="1" applyAlignment="1">
      <alignment horizontal="center"/>
    </xf>
    <xf numFmtId="166" fontId="21" fillId="0" borderId="10" xfId="0" applyNumberFormat="1" applyFont="1" applyFill="1" applyBorder="1" applyAlignment="1">
      <alignment horizontal="center"/>
    </xf>
    <xf numFmtId="169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6" fontId="17" fillId="0" borderId="0" xfId="0" applyNumberFormat="1" applyFont="1" applyFill="1" applyBorder="1" applyAlignment="1">
      <alignment horizontal="center"/>
    </xf>
    <xf numFmtId="166" fontId="17" fillId="0" borderId="10" xfId="0" applyNumberFormat="1" applyFont="1" applyFill="1" applyBorder="1" applyAlignment="1">
      <alignment horizontal="center"/>
    </xf>
    <xf numFmtId="169" fontId="19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166" fontId="19" fillId="0" borderId="0" xfId="0" applyNumberFormat="1" applyFont="1" applyBorder="1" applyAlignment="1">
      <alignment horizontal="center"/>
    </xf>
    <xf numFmtId="166" fontId="19" fillId="0" borderId="1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168" fontId="17" fillId="0" borderId="0" xfId="0" applyNumberFormat="1" applyFont="1" applyBorder="1" applyAlignment="1">
      <alignment horizontal="center"/>
    </xf>
    <xf numFmtId="166" fontId="15" fillId="0" borderId="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169" fontId="15" fillId="0" borderId="0" xfId="0" applyNumberFormat="1" applyFont="1" applyBorder="1" applyAlignment="1">
      <alignment horizont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67" fontId="22" fillId="0" borderId="0" xfId="0" applyNumberFormat="1" applyFont="1" applyBorder="1" applyAlignment="1">
      <alignment horizontal="left" vertical="center"/>
    </xf>
    <xf numFmtId="168" fontId="17" fillId="0" borderId="0" xfId="0" applyNumberFormat="1" applyFont="1" applyBorder="1" applyAlignment="1">
      <alignment horizontal="left" vertical="center"/>
    </xf>
    <xf numFmtId="20" fontId="0" fillId="0" borderId="2" xfId="0" applyNumberFormat="1" applyBorder="1" applyAlignment="1">
      <alignment vertical="center"/>
    </xf>
    <xf numFmtId="20" fontId="0" fillId="0" borderId="4" xfId="0" applyNumberFormat="1" applyBorder="1" applyAlignment="1">
      <alignment vertical="center"/>
    </xf>
    <xf numFmtId="20" fontId="0" fillId="0" borderId="3" xfId="0" applyNumberFormat="1" applyBorder="1" applyAlignment="1">
      <alignment vertical="center"/>
    </xf>
    <xf numFmtId="20" fontId="0" fillId="0" borderId="0" xfId="0" applyNumberFormat="1" applyAlignment="1">
      <alignment vertical="center"/>
    </xf>
    <xf numFmtId="166" fontId="20" fillId="0" borderId="1" xfId="0" applyNumberFormat="1" applyFont="1" applyBorder="1"/>
    <xf numFmtId="166" fontId="12" fillId="3" borderId="11" xfId="0" applyNumberFormat="1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/>
    </xf>
    <xf numFmtId="2" fontId="0" fillId="0" borderId="0" xfId="0" applyNumberFormat="1"/>
    <xf numFmtId="46" fontId="0" fillId="0" borderId="0" xfId="0" applyNumberFormat="1"/>
    <xf numFmtId="0" fontId="0" fillId="0" borderId="15" xfId="0" applyBorder="1" applyAlignment="1">
      <alignment vertical="center"/>
    </xf>
    <xf numFmtId="171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4" fontId="24" fillId="2" borderId="12" xfId="1" applyFont="1" applyFill="1" applyBorder="1"/>
    <xf numFmtId="166" fontId="23" fillId="2" borderId="1" xfId="1" applyNumberFormat="1" applyFont="1" applyFill="1" applyBorder="1"/>
    <xf numFmtId="44" fontId="24" fillId="2" borderId="6" xfId="1" applyFont="1" applyFill="1" applyBorder="1"/>
    <xf numFmtId="44" fontId="24" fillId="2" borderId="7" xfId="1" applyFont="1" applyFill="1" applyBorder="1"/>
    <xf numFmtId="44" fontId="25" fillId="2" borderId="3" xfId="0" applyNumberFormat="1" applyFont="1" applyFill="1" applyBorder="1"/>
    <xf numFmtId="166" fontId="0" fillId="0" borderId="0" xfId="0" applyNumberFormat="1"/>
    <xf numFmtId="2" fontId="0" fillId="0" borderId="0" xfId="1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7" fontId="27" fillId="0" borderId="0" xfId="0" applyNumberFormat="1" applyFont="1" applyBorder="1" applyAlignment="1">
      <alignment horizontal="left" vertical="center"/>
    </xf>
    <xf numFmtId="166" fontId="27" fillId="0" borderId="0" xfId="0" applyNumberFormat="1" applyFont="1" applyBorder="1" applyAlignment="1">
      <alignment horizontal="center"/>
    </xf>
    <xf numFmtId="167" fontId="26" fillId="0" borderId="0" xfId="0" applyNumberFormat="1" applyFont="1" applyBorder="1" applyAlignment="1">
      <alignment horizontal="center"/>
    </xf>
    <xf numFmtId="167" fontId="26" fillId="0" borderId="0" xfId="0" applyNumberFormat="1" applyFont="1" applyBorder="1" applyAlignment="1">
      <alignment horizontal="center" vertical="center"/>
    </xf>
    <xf numFmtId="166" fontId="26" fillId="0" borderId="10" xfId="0" applyNumberFormat="1" applyFont="1" applyBorder="1" applyAlignment="1">
      <alignment horizontal="center"/>
    </xf>
    <xf numFmtId="166" fontId="26" fillId="0" borderId="0" xfId="0" applyNumberFormat="1" applyFont="1" applyBorder="1" applyAlignment="1">
      <alignment horizontal="center"/>
    </xf>
    <xf numFmtId="166" fontId="3" fillId="2" borderId="1" xfId="0" applyNumberFormat="1" applyFont="1" applyFill="1" applyBorder="1"/>
    <xf numFmtId="166" fontId="20" fillId="2" borderId="6" xfId="0" applyNumberFormat="1" applyFont="1" applyFill="1" applyBorder="1"/>
    <xf numFmtId="166" fontId="20" fillId="0" borderId="0" xfId="0" applyNumberFormat="1" applyFont="1"/>
    <xf numFmtId="167" fontId="16" fillId="0" borderId="0" xfId="0" applyNumberFormat="1" applyFont="1" applyBorder="1" applyAlignment="1">
      <alignment horizontal="left" vertical="center" wrapText="1"/>
    </xf>
    <xf numFmtId="167" fontId="21" fillId="0" borderId="0" xfId="0" applyNumberFormat="1" applyFont="1" applyBorder="1" applyAlignment="1">
      <alignment horizontal="left"/>
    </xf>
    <xf numFmtId="167" fontId="26" fillId="0" borderId="0" xfId="0" applyNumberFormat="1" applyFont="1" applyBorder="1" applyAlignment="1">
      <alignment horizontal="left"/>
    </xf>
    <xf numFmtId="167" fontId="21" fillId="0" borderId="0" xfId="0" applyNumberFormat="1" applyFont="1" applyFill="1" applyBorder="1" applyAlignment="1">
      <alignment horizontal="left"/>
    </xf>
    <xf numFmtId="167" fontId="15" fillId="0" borderId="0" xfId="0" applyNumberFormat="1" applyFont="1" applyBorder="1" applyAlignment="1">
      <alignment horizontal="left"/>
    </xf>
    <xf numFmtId="166" fontId="12" fillId="3" borderId="16" xfId="0" applyNumberFormat="1" applyFont="1" applyFill="1" applyBorder="1" applyAlignment="1">
      <alignment horizontal="center" vertical="center" wrapText="1"/>
    </xf>
    <xf numFmtId="166" fontId="12" fillId="3" borderId="17" xfId="0" applyNumberFormat="1" applyFont="1" applyFill="1" applyBorder="1" applyAlignment="1">
      <alignment horizontal="center" vertical="center" wrapText="1"/>
    </xf>
    <xf numFmtId="166" fontId="18" fillId="3" borderId="18" xfId="0" applyNumberFormat="1" applyFont="1" applyFill="1" applyBorder="1" applyAlignment="1">
      <alignment horizontal="center" vertical="center" wrapText="1"/>
    </xf>
    <xf numFmtId="166" fontId="18" fillId="3" borderId="19" xfId="0" applyNumberFormat="1" applyFont="1" applyFill="1" applyBorder="1" applyAlignment="1">
      <alignment horizontal="center" vertical="center" wrapText="1"/>
    </xf>
    <xf numFmtId="166" fontId="18" fillId="3" borderId="20" xfId="0" applyNumberFormat="1" applyFont="1" applyFill="1" applyBorder="1" applyAlignment="1">
      <alignment horizontal="center" vertical="center" wrapText="1"/>
    </xf>
    <xf numFmtId="166" fontId="3" fillId="2" borderId="5" xfId="0" applyNumberFormat="1" applyFont="1" applyFill="1" applyBorder="1"/>
    <xf numFmtId="166" fontId="20" fillId="0" borderId="5" xfId="0" applyNumberFormat="1" applyFont="1" applyBorder="1"/>
    <xf numFmtId="166" fontId="0" fillId="0" borderId="5" xfId="0" applyNumberFormat="1" applyBorder="1"/>
    <xf numFmtId="166" fontId="20" fillId="2" borderId="7" xfId="0" applyNumberFormat="1" applyFont="1" applyFill="1" applyBorder="1"/>
    <xf numFmtId="166" fontId="3" fillId="2" borderId="7" xfId="0" applyNumberFormat="1" applyFont="1" applyFill="1" applyBorder="1"/>
    <xf numFmtId="166" fontId="23" fillId="2" borderId="5" xfId="1" applyNumberFormat="1" applyFont="1" applyFill="1" applyBorder="1"/>
    <xf numFmtId="44" fontId="28" fillId="2" borderId="13" xfId="0" applyNumberFormat="1" applyFont="1" applyFill="1" applyBorder="1"/>
    <xf numFmtId="44" fontId="29" fillId="2" borderId="6" xfId="1" applyFont="1" applyFill="1" applyBorder="1"/>
    <xf numFmtId="44" fontId="29" fillId="2" borderId="7" xfId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66" fontId="20" fillId="2" borderId="1" xfId="0" applyNumberFormat="1" applyFont="1" applyFill="1" applyBorder="1"/>
    <xf numFmtId="166" fontId="20" fillId="2" borderId="5" xfId="0" applyNumberFormat="1" applyFont="1" applyFill="1" applyBorder="1"/>
    <xf numFmtId="166" fontId="0" fillId="2" borderId="3" xfId="0" applyNumberFormat="1" applyFont="1" applyFill="1" applyBorder="1"/>
    <xf numFmtId="166" fontId="0" fillId="0" borderId="3" xfId="0" applyNumberFormat="1" applyFont="1" applyBorder="1"/>
    <xf numFmtId="44" fontId="28" fillId="2" borderId="6" xfId="1" applyFont="1" applyFill="1" applyBorder="1"/>
    <xf numFmtId="44" fontId="28" fillId="2" borderId="7" xfId="1" applyFont="1" applyFill="1" applyBorder="1"/>
    <xf numFmtId="44" fontId="29" fillId="2" borderId="12" xfId="1" applyFont="1" applyFill="1" applyBorder="1"/>
    <xf numFmtId="44" fontId="29" fillId="2" borderId="13" xfId="0" applyNumberFormat="1" applyFont="1" applyFill="1" applyBorder="1"/>
    <xf numFmtId="20" fontId="0" fillId="0" borderId="0" xfId="0" applyNumberFormat="1"/>
    <xf numFmtId="170" fontId="0" fillId="4" borderId="1" xfId="0" applyNumberFormat="1" applyFill="1" applyBorder="1"/>
    <xf numFmtId="46" fontId="0" fillId="0" borderId="0" xfId="0" applyNumberFormat="1" applyFill="1"/>
    <xf numFmtId="166" fontId="16" fillId="0" borderId="24" xfId="0" applyNumberFormat="1" applyFont="1" applyBorder="1" applyAlignment="1">
      <alignment horizontal="center" vertical="center" wrapText="1"/>
    </xf>
    <xf numFmtId="166" fontId="22" fillId="0" borderId="10" xfId="0" applyNumberFormat="1" applyFont="1" applyBorder="1" applyAlignment="1">
      <alignment horizontal="center"/>
    </xf>
    <xf numFmtId="166" fontId="22" fillId="0" borderId="24" xfId="0" applyNumberFormat="1" applyFont="1" applyBorder="1" applyAlignment="1">
      <alignment horizontal="center"/>
    </xf>
    <xf numFmtId="166" fontId="27" fillId="0" borderId="10" xfId="0" applyNumberFormat="1" applyFont="1" applyBorder="1" applyAlignment="1">
      <alignment horizontal="center"/>
    </xf>
    <xf numFmtId="166" fontId="27" fillId="0" borderId="24" xfId="0" applyNumberFormat="1" applyFont="1" applyBorder="1" applyAlignment="1">
      <alignment horizontal="center"/>
    </xf>
    <xf numFmtId="166" fontId="21" fillId="0" borderId="24" xfId="0" applyNumberFormat="1" applyFont="1" applyFill="1" applyBorder="1" applyAlignment="1">
      <alignment horizontal="center"/>
    </xf>
    <xf numFmtId="166" fontId="21" fillId="0" borderId="24" xfId="0" applyNumberFormat="1" applyFont="1" applyBorder="1" applyAlignment="1">
      <alignment horizontal="center"/>
    </xf>
    <xf numFmtId="166" fontId="15" fillId="0" borderId="24" xfId="0" applyNumberFormat="1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46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5" xfId="0" applyBorder="1" applyAlignment="1">
      <alignment horizontal="center"/>
    </xf>
    <xf numFmtId="46" fontId="0" fillId="0" borderId="27" xfId="0" applyNumberFormat="1" applyBorder="1" applyAlignment="1">
      <alignment horizontal="center"/>
    </xf>
    <xf numFmtId="46" fontId="30" fillId="0" borderId="27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20" fontId="0" fillId="0" borderId="26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2" xfId="0" applyBorder="1" applyAlignment="1">
      <alignment horizontal="center"/>
    </xf>
    <xf numFmtId="166" fontId="20" fillId="4" borderId="1" xfId="0" applyNumberFormat="1" applyFont="1" applyFill="1" applyBorder="1"/>
    <xf numFmtId="172" fontId="0" fillId="0" borderId="15" xfId="0" applyNumberFormat="1" applyBorder="1" applyAlignment="1">
      <alignment horizontal="center"/>
    </xf>
    <xf numFmtId="166" fontId="19" fillId="4" borderId="0" xfId="0" applyNumberFormat="1" applyFont="1" applyFill="1" applyBorder="1" applyAlignment="1">
      <alignment horizontal="center"/>
    </xf>
    <xf numFmtId="172" fontId="0" fillId="0" borderId="0" xfId="0" applyNumberFormat="1" applyBorder="1" applyAlignment="1">
      <alignment horizontal="center"/>
    </xf>
    <xf numFmtId="0" fontId="0" fillId="4" borderId="0" xfId="0" applyFill="1" applyBorder="1" applyAlignment="1">
      <alignment horizontal="center"/>
    </xf>
    <xf numFmtId="166" fontId="30" fillId="0" borderId="0" xfId="0" applyNumberFormat="1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28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12" fillId="3" borderId="17" xfId="0" applyNumberFormat="1" applyFont="1" applyFill="1" applyBorder="1" applyAlignment="1">
      <alignment horizontal="center" vertical="center" wrapText="1"/>
    </xf>
    <xf numFmtId="166" fontId="12" fillId="3" borderId="18" xfId="0" applyNumberFormat="1" applyFont="1" applyFill="1" applyBorder="1" applyAlignment="1">
      <alignment horizontal="center" vertical="center" wrapText="1"/>
    </xf>
    <xf numFmtId="172" fontId="24" fillId="2" borderId="22" xfId="0" applyNumberFormat="1" applyFont="1" applyFill="1" applyBorder="1" applyAlignment="1">
      <alignment horizontal="center"/>
    </xf>
    <xf numFmtId="172" fontId="24" fillId="2" borderId="23" xfId="0" applyNumberFormat="1" applyFont="1" applyFill="1" applyBorder="1" applyAlignment="1">
      <alignment horizontal="center"/>
    </xf>
    <xf numFmtId="166" fontId="24" fillId="2" borderId="2" xfId="1" applyNumberFormat="1" applyFont="1" applyFill="1" applyBorder="1" applyAlignment="1">
      <alignment horizontal="right" vertical="center"/>
    </xf>
    <xf numFmtId="166" fontId="24" fillId="2" borderId="4" xfId="1" applyNumberFormat="1" applyFont="1" applyFill="1" applyBorder="1" applyAlignment="1">
      <alignment horizontal="right" vertical="center"/>
    </xf>
    <xf numFmtId="166" fontId="24" fillId="2" borderId="3" xfId="1" applyNumberFormat="1" applyFont="1" applyFill="1" applyBorder="1" applyAlignment="1">
      <alignment horizontal="right" vertical="center"/>
    </xf>
    <xf numFmtId="166" fontId="24" fillId="2" borderId="21" xfId="1" applyNumberFormat="1" applyFont="1" applyFill="1" applyBorder="1" applyAlignment="1">
      <alignment horizontal="right" vertical="center"/>
    </xf>
    <xf numFmtId="166" fontId="12" fillId="3" borderId="16" xfId="0" applyNumberFormat="1" applyFont="1" applyFill="1" applyBorder="1" applyAlignment="1">
      <alignment horizontal="center" vertical="center" wrapText="1"/>
    </xf>
    <xf numFmtId="166" fontId="18" fillId="3" borderId="18" xfId="0" applyNumberFormat="1" applyFont="1" applyFill="1" applyBorder="1" applyAlignment="1">
      <alignment horizontal="center" vertical="center" wrapText="1"/>
    </xf>
    <xf numFmtId="166" fontId="18" fillId="3" borderId="16" xfId="0" applyNumberFormat="1" applyFont="1" applyFill="1" applyBorder="1" applyAlignment="1">
      <alignment horizontal="center" vertical="center" wrapText="1"/>
    </xf>
  </cellXfs>
  <cellStyles count="13">
    <cellStyle name="Excel Built-in Normal" xfId="6" xr:uid="{00000000-0005-0000-0000-000000000000}"/>
    <cellStyle name="Monétaire" xfId="1" builtinId="4"/>
    <cellStyle name="Normal" xfId="0" builtinId="0"/>
    <cellStyle name="Normal 2" xfId="7" xr:uid="{00000000-0005-0000-0000-000003000000}"/>
    <cellStyle name="Normal 2 2" xfId="8" xr:uid="{00000000-0005-0000-0000-000004000000}"/>
    <cellStyle name="Normal 2 3" xfId="4" xr:uid="{00000000-0005-0000-0000-000005000000}"/>
    <cellStyle name="Normal 3" xfId="9" xr:uid="{00000000-0005-0000-0000-000006000000}"/>
    <cellStyle name="Normal 4" xfId="10" xr:uid="{00000000-0005-0000-0000-000007000000}"/>
    <cellStyle name="Normal 5" xfId="11" xr:uid="{00000000-0005-0000-0000-000008000000}"/>
    <cellStyle name="Normal 6" xfId="5" xr:uid="{00000000-0005-0000-0000-000009000000}"/>
    <cellStyle name="Normal 7" xfId="12" xr:uid="{00000000-0005-0000-0000-00000A000000}"/>
    <cellStyle name="Normal 8" xfId="2" xr:uid="{00000000-0005-0000-0000-00000B000000}"/>
    <cellStyle name="Texte explicatif 2" xfId="3" xr:uid="{00000000-0005-0000-0000-00000C000000}"/>
  </cellStyles>
  <dxfs count="40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 style="slantDashDot">
          <color auto="1"/>
        </left>
        <right/>
        <top/>
        <bottom/>
        <vertical/>
        <horizontal/>
      </border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/>
        <right style="slantDashDot">
          <color auto="1"/>
        </right>
        <top/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 style="slantDashDot">
          <color auto="1"/>
        </left>
        <right/>
        <top/>
        <bottom/>
        <vertical/>
        <horizontal/>
      </border>
    </dxf>
    <dxf>
      <font>
        <i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</xdr:colOff>
      <xdr:row>19</xdr:row>
      <xdr:rowOff>53340</xdr:rowOff>
    </xdr:from>
    <xdr:to>
      <xdr:col>15</xdr:col>
      <xdr:colOff>579120</xdr:colOff>
      <xdr:row>21</xdr:row>
      <xdr:rowOff>45720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AA115C-C631-475D-87B2-0639F8054A21}"/>
            </a:ext>
          </a:extLst>
        </xdr:cNvPr>
        <xdr:cNvSpPr/>
      </xdr:nvSpPr>
      <xdr:spPr>
        <a:xfrm>
          <a:off x="1691640" y="3855720"/>
          <a:ext cx="7726680" cy="3581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11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11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  <xdr:twoCellAnchor>
    <xdr:from>
      <xdr:col>2</xdr:col>
      <xdr:colOff>289560</xdr:colOff>
      <xdr:row>14</xdr:row>
      <xdr:rowOff>144780</xdr:rowOff>
    </xdr:from>
    <xdr:to>
      <xdr:col>6</xdr:col>
      <xdr:colOff>129540</xdr:colOff>
      <xdr:row>26</xdr:row>
      <xdr:rowOff>15240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9F19296-BCCB-4BF0-84F4-EA59C021B52D}"/>
            </a:ext>
          </a:extLst>
        </xdr:cNvPr>
        <xdr:cNvSpPr txBox="1"/>
      </xdr:nvSpPr>
      <xdr:spPr>
        <a:xfrm>
          <a:off x="1402080" y="3467100"/>
          <a:ext cx="2385060" cy="2065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RE" sz="1100"/>
            <a:t>exemple</a:t>
          </a:r>
          <a:r>
            <a:rPr lang="fr-RE" sz="1100" baseline="0"/>
            <a:t> : </a:t>
          </a:r>
          <a:br>
            <a:rPr lang="fr-RE" sz="1100" baseline="0"/>
          </a:br>
          <a:r>
            <a:rPr lang="fr-R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on se</a:t>
          </a:r>
          <a:r>
            <a:rPr lang="fr-R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réfère à la feuille "données"</a:t>
          </a:r>
          <a:br>
            <a:rPr lang="fr-R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RE" sz="1100"/>
            <a:t>Sa devrait être 23:00 non ? </a:t>
          </a:r>
          <a:br>
            <a:rPr lang="fr-RE" sz="1100"/>
          </a:br>
          <a:br>
            <a:rPr lang="fr-RE" sz="1100"/>
          </a:br>
          <a:r>
            <a:rPr lang="fr-RE" sz="1100"/>
            <a:t>Les données pour la premère colonne durée sans inter sont arondi à l'inferieur</a:t>
          </a:r>
          <a:r>
            <a:rPr lang="fr-RE" sz="1100" baseline="0"/>
            <a:t> non ?</a:t>
          </a:r>
          <a:br>
            <a:rPr lang="fr-RE" sz="1100" baseline="0"/>
          </a:br>
          <a:br>
            <a:rPr lang="fr-RE" sz="1100" baseline="0"/>
          </a:br>
          <a:r>
            <a:rPr lang="fr-RE" sz="1100" baseline="0"/>
            <a:t>En information,  pour quelques cellules, cela représente les chiffres fourni par ma caserne</a:t>
          </a:r>
        </a:p>
        <a:p>
          <a:br>
            <a:rPr lang="fr-RE" sz="1100"/>
          </a:br>
          <a:endParaRPr lang="fr-RE" sz="1100"/>
        </a:p>
      </xdr:txBody>
    </xdr:sp>
    <xdr:clientData/>
  </xdr:twoCellAnchor>
  <xdr:twoCellAnchor>
    <xdr:from>
      <xdr:col>2</xdr:col>
      <xdr:colOff>624840</xdr:colOff>
      <xdr:row>10</xdr:row>
      <xdr:rowOff>129540</xdr:rowOff>
    </xdr:from>
    <xdr:to>
      <xdr:col>3</xdr:col>
      <xdr:colOff>160020</xdr:colOff>
      <xdr:row>15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4C75DF2-5164-4505-B1AD-5B0D3A9AE0FD}"/>
            </a:ext>
          </a:extLst>
        </xdr:cNvPr>
        <xdr:cNvCxnSpPr/>
      </xdr:nvCxnSpPr>
      <xdr:spPr>
        <a:xfrm flipH="1" flipV="1">
          <a:off x="1737360" y="2705100"/>
          <a:ext cx="266700" cy="8001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X60" totalsRowShown="0" headerRowDxfId="39" dataDxfId="38">
  <autoFilter ref="A1:X60" xr:uid="{00000000-0009-0000-0100-000001000000}"/>
  <sortState ref="A2:X56">
    <sortCondition ref="A38:A43"/>
    <sortCondition ref="H38:H43"/>
  </sortState>
  <tableColumns count="24">
    <tableColumn id="1" xr3:uid="{00000000-0010-0000-0000-000001000000}" name="Date" dataDxfId="37"/>
    <tableColumn id="7" xr3:uid="{00000000-0010-0000-0000-000007000000}" name="Garde / Interv." dataDxfId="36">
      <calculatedColumnFormula>IF(data[[#This Row],[Hdébut garde]]&lt;&gt;"","Garde",IF(data[[#This Row],[Hdébut corrigé]]&lt;&gt;"","Intervention",""))</calculatedColumnFormula>
    </tableColumn>
    <tableColumn id="25" xr3:uid="{00000000-0010-0000-0000-000019000000}" name="Hdébut garde" dataDxfId="35"/>
    <tableColumn id="26" xr3:uid="{00000000-0010-0000-0000-00001A000000}" name="Hfin garde" dataDxfId="34"/>
    <tableColumn id="2" xr3:uid="{00000000-0010-0000-0000-000002000000}" name="&gt;24h" dataDxfId="33"/>
    <tableColumn id="6" xr3:uid="{00000000-0010-0000-0000-000006000000}" name="Motif Départ" dataDxfId="32"/>
    <tableColumn id="5" xr3:uid="{00000000-0010-0000-0000-000005000000}" name="Véhicule" dataDxfId="31"/>
    <tableColumn id="3" xr3:uid="{00000000-0010-0000-0000-000003000000}" name="Hdébut interv." dataDxfId="30"/>
    <tableColumn id="4" xr3:uid="{00000000-0010-0000-0000-000004000000}" name="Hfin Interv." dataDxfId="29"/>
    <tableColumn id="23" xr3:uid="{00000000-0010-0000-0000-000017000000}" name="Hdébut corrigé" dataDxfId="28">
      <calculatedColumnFormula>IF(data[[#This Row],[Hdébut garde]]&lt;&gt;"",
data[[#This Row],[Hdébut garde]],
data[[#This Row],[Hdébut interv.]]+IF(data[[#This Row],[Hdébut interv.]]&lt;SUMPRODUCT((data[Date]=data[[#This Row],[Date]])*data[Hdébut garde]),1,0)
)</calculatedColumnFormula>
    </tableColumn>
    <tableColumn id="12" xr3:uid="{00000000-0010-0000-0000-00000C000000}" name="Hfin corrigée" dataDxfId="27">
      <calculatedColumnFormula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calculatedColumnFormula>
    </tableColumn>
    <tableColumn id="8" xr3:uid="{00000000-0010-0000-0000-000008000000}" name="Début Dim ou Férié" dataDxfId="26">
      <calculatedColumnFormula>IF(OR(WEEKDAY(data[[#This Row],[Date]],2)=7,COUNTIF(JF,data[[#This Row],[Date]])=1),"oui","non")</calculatedColumnFormula>
    </tableColumn>
    <tableColumn id="10" xr3:uid="{00000000-0010-0000-0000-00000A000000}" name="JOUR1" dataDxfId="25">
      <calculatedColumnFormula>MAX(0,(MIN(1,data[[#This Row],[Hfin corrigée]])-data[[#This Row],[Hdébut corrigé]])-data[[#This Row],[NUIT1.1]]-data[[#This Row],[NUIT1.2]])</calculatedColumnFormula>
    </tableColumn>
    <tableColumn id="11" xr3:uid="{00000000-0010-0000-0000-00000B000000}" name="NUIT1.1" dataDxfId="24">
      <calculatedColumnFormula>IF(data[[#This Row],[Hfin Interv.]]="",0,(
MIN(FinNuit,MIN(1,data[[#This Row],[Hfin corrigée]]))-MIN(FinNuit,data[[#This Row],[Hdébut corrigé]])
))</calculatedColumnFormula>
    </tableColumn>
    <tableColumn id="18" xr3:uid="{00000000-0010-0000-0000-000012000000}" name="NUIT1.2" dataDxfId="23">
      <calculatedColumnFormula>MAX(0,(MAX(0,(MIN(1,data[[#This Row],[Hfin corrigée]])-DebNuit))-MAX(0,(data[[#This Row],[Hdébut corrigé]]-DebNuit))))</calculatedColumnFormula>
    </tableColumn>
    <tableColumn id="9" xr3:uid="{00000000-0010-0000-0000-000009000000}" name="Fin Dim ou Férié" dataDxfId="22">
      <calculatedColumnFormula>IF(OR(WEEKDAY(data[[#This Row],[Date]]+data[[#This Row],[Hfin corrigée]],2)=7,COUNTIF(JF,INT(data[[#This Row],[Date]]+data[[#This Row],[Hfin corrigée]]))=1),"oui","non")</calculatedColumnFormula>
    </tableColumn>
    <tableColumn id="19" xr3:uid="{00000000-0010-0000-0000-000013000000}" name="JOUR2" dataDxfId="21">
      <calculatedColumnFormula>MAX(0,data[[#This Row],[Hfin corrigée]]-MAX(1,data[[#This Row],[Hdébut corrigé]]))-data[[#This Row],[NUIT2.1]]-data[[#This Row],[NUIT2.2]]</calculatedColumnFormula>
    </tableColumn>
    <tableColumn id="20" xr3:uid="{00000000-0010-0000-0000-000014000000}" name="NUIT2.1" dataDxfId="20">
      <calculatedColumnFormula>MAX(0,MIN(1+FinNuit,data[[#This Row],[Hfin corrigée]])-MAX(1,data[[#This Row],[Hdébut corrigé]]))</calculatedColumnFormula>
    </tableColumn>
    <tableColumn id="21" xr3:uid="{00000000-0010-0000-0000-000015000000}" name="NUIT2.2" dataDxfId="19">
      <calculatedColumnFormula>MAX(0,(data[[#This Row],[Hfin corrigée]]-DebNuit-1))</calculatedColumnFormula>
    </tableColumn>
    <tableColumn id="22" xr3:uid="{00000000-0010-0000-0000-000016000000}" name="Interv. hors poste" dataDxfId="18">
      <calculatedColumnFormula>IF(data[[#This Row],[Garde / Interv.]]="Intervention",MAX(0,data[[#This Row],[Hfin corrigée]]-SUMPRODUCT((data[Date]=data[[#This Row],[Date]])*(data[Garde / Interv.]="Garde")*data[Hfin corrigée])),0)</calculatedColumnFormula>
    </tableColumn>
    <tableColumn id="16" xr3:uid="{00000000-0010-0000-0000-000010000000}" name="Durée sans interv." dataDxfId="17">
      <calculatedColumnFormula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13" xr3:uid="{00000000-0010-0000-0000-00000D000000}" name="Durée interv. jour" dataDxfId="16">
      <calculatedColumnFormula>MAX(0,IF(data[[#This Row],[Garde / Interv.]]="Intervention",(data[[#This Row],[Fin Dim ou Férié]]="non")*data[[#This Row],[JOUR2]]+(data[[#This Row],[Début Dim ou Férié]]="non")*data[[#This Row],[JOUR1]],0))</calculatedColumnFormula>
    </tableColumn>
    <tableColumn id="14" xr3:uid="{00000000-0010-0000-0000-00000E000000}" name="Durée interv. dim ou férié" dataDxfId="15">
      <calculatedColumnFormula>IF(data[[#This Row],[Garde / Interv.]]="Intervention",(data[[#This Row],[Fin Dim ou Férié]]="oui")*data[[#This Row],[JOUR2]]+(data[[#This Row],[Début Dim ou Férié]]="oui")*data[[#This Row],[JOUR1]],0)</calculatedColumnFormula>
    </tableColumn>
    <tableColumn id="15" xr3:uid="{00000000-0010-0000-0000-00000F000000}" name="Durée interv. nuit" dataDxfId="14">
      <calculatedColumnFormula>MAX(0,IF(data[[#This Row],[Garde / Interv.]]="Intervention",data[[#This Row],[NUIT1.1]]+data[[#This Row],[NUIT1.2]]+data[[#This Row],[NUIT2.1]]+data[[#This Row],[NUIT2.2]],0))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est" displayName="test" ref="A1:H9" totalsRowShown="0" headerRowDxfId="13" dataDxfId="12">
  <autoFilter ref="A1:H9" xr:uid="{00000000-0009-0000-0100-000002000000}"/>
  <tableColumns count="8">
    <tableColumn id="23" xr3:uid="{00000000-0010-0000-0100-000017000000}" name="Hdébut corrigé" dataDxfId="11"/>
    <tableColumn id="12" xr3:uid="{00000000-0010-0000-0100-00000C000000}" name="Hfin corrigée" dataDxfId="10"/>
    <tableColumn id="10" xr3:uid="{00000000-0010-0000-0100-00000A000000}" name="JOUR1" dataDxfId="9">
      <calculatedColumnFormula>MAX(0,(MIN(1,test[[#This Row],[Hfin corrigée]])-test[[#This Row],[Hdébut corrigé]])-test[[#This Row],[NUIT1.1]]-test[[#This Row],[NUIT1.2]])</calculatedColumnFormula>
    </tableColumn>
    <tableColumn id="11" xr3:uid="{00000000-0010-0000-0100-00000B000000}" name="NUIT1.1" dataDxfId="8">
      <calculatedColumnFormula>MIN(FinNuit,MIN(1,test[[#This Row],[Hfin corrigée]]))-MIN(FinNuit,test[[#This Row],[Hdébut corrigé]])</calculatedColumnFormula>
    </tableColumn>
    <tableColumn id="18" xr3:uid="{00000000-0010-0000-0100-000012000000}" name="NUIT1.2" dataDxfId="7">
      <calculatedColumnFormula>MAX(0,(MAX(0,(MIN(1,test[[#This Row],[Hfin corrigée]])-DebNuit))-MAX(0,(test[[#This Row],[Hdébut corrigé]]-DebNuit))))</calculatedColumnFormula>
    </tableColumn>
    <tableColumn id="19" xr3:uid="{00000000-0010-0000-0100-000013000000}" name="JOUR2" dataDxfId="6">
      <calculatedColumnFormula>MAX(0,test[[#This Row],[Hfin corrigée]]-MAX(1,test[[#This Row],[Hdébut corrigé]]))-test[[#This Row],[NUIT2.1]]-test[[#This Row],[NUIT2.2]]</calculatedColumnFormula>
    </tableColumn>
    <tableColumn id="20" xr3:uid="{00000000-0010-0000-0100-000014000000}" name="NUIT2.1" dataDxfId="5">
      <calculatedColumnFormula>MAX(0,MIN(1+FinNuit,test[[#This Row],[Hfin corrigée]])-MAX(1,test[[#This Row],[Hdébut corrigé]]))</calculatedColumnFormula>
    </tableColumn>
    <tableColumn id="21" xr3:uid="{00000000-0010-0000-0100-000015000000}" name="NUIT2.2" dataDxfId="4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0"/>
  <sheetViews>
    <sheetView showZeros="0" zoomScaleNormal="100" workbookViewId="0">
      <pane xSplit="2" ySplit="1" topLeftCell="C46" activePane="bottomRight" state="frozen"/>
      <selection pane="topRight" activeCell="C1" sqref="C1"/>
      <selection pane="bottomLeft" activeCell="A2" sqref="A2"/>
      <selection pane="bottomRight" activeCell="H60" sqref="H60"/>
    </sheetView>
  </sheetViews>
  <sheetFormatPr baseColWidth="10" defaultColWidth="11.5546875" defaultRowHeight="14.4" x14ac:dyDescent="0.3"/>
  <cols>
    <col min="1" max="1" width="16.77734375" style="114" customWidth="1"/>
    <col min="2" max="2" width="10.77734375" style="79" customWidth="1"/>
    <col min="3" max="3" width="8.33203125" style="74" customWidth="1"/>
    <col min="4" max="4" width="8.33203125" style="73" customWidth="1"/>
    <col min="5" max="5" width="7.44140625" style="150" customWidth="1"/>
    <col min="6" max="6" width="19.44140625" style="69" bestFit="1" customWidth="1"/>
    <col min="7" max="7" width="9.88671875" style="69" customWidth="1"/>
    <col min="8" max="8" width="11.5546875" style="74"/>
    <col min="9" max="9" width="11.5546875" style="56"/>
    <col min="10" max="10" width="11.5546875" style="56" hidden="1" customWidth="1"/>
    <col min="11" max="13" width="8.33203125" style="73" hidden="1" customWidth="1"/>
    <col min="14" max="15" width="8.33203125" style="75" hidden="1" customWidth="1"/>
    <col min="16" max="16" width="8.33203125" style="56" hidden="1" customWidth="1"/>
    <col min="17" max="17" width="8.33203125" style="72" hidden="1" customWidth="1"/>
    <col min="18" max="19" width="8.33203125" style="69" hidden="1" customWidth="1"/>
    <col min="20" max="20" width="8.33203125" style="151" customWidth="1"/>
    <col min="21" max="22" width="8.33203125" style="53" customWidth="1"/>
    <col min="23" max="25" width="8.33203125" style="69" customWidth="1"/>
    <col min="26" max="26" width="12.6640625" style="56" customWidth="1"/>
    <col min="27" max="27" width="11.5546875" style="56"/>
    <col min="28" max="28" width="14.77734375" style="56" bestFit="1" customWidth="1"/>
    <col min="29" max="16384" width="11.5546875" style="56"/>
  </cols>
  <sheetData>
    <row r="1" spans="1:31" s="43" customFormat="1" ht="66" customHeight="1" x14ac:dyDescent="0.3">
      <c r="A1" s="110" t="s">
        <v>0</v>
      </c>
      <c r="B1" s="41" t="s">
        <v>45</v>
      </c>
      <c r="C1" s="44" t="s">
        <v>43</v>
      </c>
      <c r="D1" s="42" t="s">
        <v>44</v>
      </c>
      <c r="E1" s="143" t="s">
        <v>86</v>
      </c>
      <c r="F1" s="43" t="s">
        <v>66</v>
      </c>
      <c r="G1" s="43" t="s">
        <v>1</v>
      </c>
      <c r="H1" s="44" t="s">
        <v>18</v>
      </c>
      <c r="I1" s="42" t="s">
        <v>19</v>
      </c>
      <c r="J1" s="45" t="s">
        <v>26</v>
      </c>
      <c r="K1" s="45" t="s">
        <v>13</v>
      </c>
      <c r="L1" s="41" t="s">
        <v>11</v>
      </c>
      <c r="M1" s="46" t="s">
        <v>20</v>
      </c>
      <c r="N1" s="46" t="s">
        <v>21</v>
      </c>
      <c r="O1" s="46" t="s">
        <v>22</v>
      </c>
      <c r="P1" s="41" t="s">
        <v>12</v>
      </c>
      <c r="Q1" s="46" t="s">
        <v>23</v>
      </c>
      <c r="R1" s="46" t="s">
        <v>24</v>
      </c>
      <c r="S1" s="46" t="s">
        <v>25</v>
      </c>
      <c r="T1" s="47" t="s">
        <v>34</v>
      </c>
      <c r="U1" s="46" t="s">
        <v>14</v>
      </c>
      <c r="V1" s="46" t="s">
        <v>17</v>
      </c>
      <c r="W1" s="46" t="s">
        <v>15</v>
      </c>
      <c r="X1" s="46" t="s">
        <v>16</v>
      </c>
    </row>
    <row r="2" spans="1:31" x14ac:dyDescent="0.3">
      <c r="A2" s="111">
        <v>43102</v>
      </c>
      <c r="B2" s="78" t="str">
        <f>IF(data[[#This Row],[Hdébut garde]]&lt;&gt;"","Garde",IF(data[[#This Row],[Hdébut corrigé]]&lt;&gt;"","Intervention",""))</f>
        <v>Garde</v>
      </c>
      <c r="C2" s="144">
        <v>0.33333333333333331</v>
      </c>
      <c r="D2" s="70">
        <v>0.33333333333333331</v>
      </c>
      <c r="E2" s="145"/>
      <c r="F2" s="48"/>
      <c r="G2" s="30"/>
      <c r="H2" s="51"/>
      <c r="I2" s="49"/>
      <c r="J2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2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2" s="71" t="str">
        <f>IF(OR(WEEKDAY(data[[#This Row],[Date]],2)=7,COUNTIF(JF,data[[#This Row],[Date]])=1),"oui","non")</f>
        <v>non</v>
      </c>
      <c r="M2" s="54">
        <f>MAX(0,(MIN(1,data[[#This Row],[Hfin corrigée]])-data[[#This Row],[Hdébut corrigé]])-data[[#This Row],[NUIT1.1]]-data[[#This Row],[NUIT1.2]])</f>
        <v>0.58333333333333337</v>
      </c>
      <c r="N2" s="54">
        <f>IF(data[[#This Row],[Hfin Interv.]]="",0,(
MIN(FinNuit,MIN(1,data[[#This Row],[Hfin corrigée]]))-MIN(FinNuit,data[[#This Row],[Hdébut corrigé]])
))</f>
        <v>0</v>
      </c>
      <c r="O2" s="54">
        <f>MAX(0,(MAX(0,(MIN(1,data[[#This Row],[Hfin corrigée]])-DebNuit))-MAX(0,(data[[#This Row],[Hdébut corrigé]]-DebNuit))))</f>
        <v>8.333333333333337E-2</v>
      </c>
      <c r="P2" s="71" t="str">
        <f>IF(OR(WEEKDAY(data[[#This Row],[Date]]+data[[#This Row],[Hfin corrigée]],2)=7,COUNTIF(JF,INT(data[[#This Row],[Date]]+data[[#This Row],[Hfin corrigée]]))=1),"oui","non")</f>
        <v>non</v>
      </c>
      <c r="Q2" s="54">
        <f>MAX(0,data[[#This Row],[Hfin corrigée]]-MAX(1,data[[#This Row],[Hdébut corrigé]]))-data[[#This Row],[NUIT2.1]]-data[[#This Row],[NUIT2.2]]</f>
        <v>4.1666666666666519E-2</v>
      </c>
      <c r="R2" s="54">
        <f>MAX(0,MIN(1+FinNuit,data[[#This Row],[Hfin corrigée]])-MAX(1,data[[#This Row],[Hdébut corrigé]]))</f>
        <v>0.29166666666666674</v>
      </c>
      <c r="S2" s="54">
        <f>MAX(0,(data[[#This Row],[Hfin corrigée]]-DebNuit-1))</f>
        <v>0</v>
      </c>
      <c r="T2" s="55">
        <f>IF(data[[#This Row],[Garde / Interv.]]="Intervention",MAX(0,data[[#This Row],[Hfin corrigée]]-SUMPRODUCT((data[Date]=data[[#This Row],[Date]])*(data[Garde / Interv.]="Garde")*data[Hfin corrigée])),0)</f>
        <v>0</v>
      </c>
      <c r="U2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0.8701388888888888</v>
      </c>
      <c r="V2" s="54">
        <f>MAX(0,IF(data[[#This Row],[Garde / Interv.]]="Intervention",(data[[#This Row],[Fin Dim ou Férié]]="non")*data[[#This Row],[JOUR2]]+(data[[#This Row],[Début Dim ou Férié]]="non")*data[[#This Row],[JOUR1]],0))</f>
        <v>0</v>
      </c>
      <c r="W2" s="54">
        <f>IF(data[[#This Row],[Garde / Interv.]]="Intervention",(data[[#This Row],[Fin Dim ou Férié]]="oui")*data[[#This Row],[JOUR2]]+(data[[#This Row],[Début Dim ou Férié]]="oui")*data[[#This Row],[JOUR1]],0)</f>
        <v>0</v>
      </c>
      <c r="X2" s="54">
        <f>MAX(0,IF(data[[#This Row],[Garde / Interv.]]="Intervention",data[[#This Row],[NUIT1.1]]+data[[#This Row],[NUIT1.2]]+data[[#This Row],[NUIT2.1]]+data[[#This Row],[NUIT2.2]],0))</f>
        <v>0</v>
      </c>
    </row>
    <row r="3" spans="1:31" x14ac:dyDescent="0.3">
      <c r="A3" s="111">
        <v>43102</v>
      </c>
      <c r="B3" s="78" t="str">
        <f>IF(data[[#This Row],[Hdébut garde]]&lt;&gt;"","Garde",IF(data[[#This Row],[Hdébut corrigé]]&lt;&gt;"","Intervention",""))</f>
        <v>Intervention</v>
      </c>
      <c r="C3" s="144"/>
      <c r="D3" s="70"/>
      <c r="E3" s="145"/>
      <c r="F3" s="48"/>
      <c r="G3" s="30" t="s">
        <v>83</v>
      </c>
      <c r="H3" s="51">
        <v>0.61597222222222225</v>
      </c>
      <c r="I3" s="49">
        <v>0.67152777777777783</v>
      </c>
      <c r="J3" s="52">
        <f>IF(data[[#This Row],[Hdébut garde]]&lt;&gt;"",
data[[#This Row],[Hdébut garde]],
data[[#This Row],[Hdébut interv.]]+IF(data[[#This Row],[Hdébut interv.]]&lt;SUMPRODUCT((data[Date]=data[[#This Row],[Date]])*data[Hdébut garde]),1,0)
)</f>
        <v>0.61597222222222225</v>
      </c>
      <c r="K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0.67152777777777783</v>
      </c>
      <c r="L3" s="71" t="str">
        <f>IF(OR(WEEKDAY(data[[#This Row],[Date]],2)=7,COUNTIF(JF,data[[#This Row],[Date]])=1),"oui","non")</f>
        <v>non</v>
      </c>
      <c r="M3" s="54">
        <f>MAX(0,(MIN(1,data[[#This Row],[Hfin corrigée]])-data[[#This Row],[Hdébut corrigé]])-data[[#This Row],[NUIT1.1]]-data[[#This Row],[NUIT1.2]])</f>
        <v>5.555555555555558E-2</v>
      </c>
      <c r="N3" s="54">
        <f>IF(data[[#This Row],[Hfin Interv.]]="",0,(
MIN(FinNuit,MIN(1,data[[#This Row],[Hfin corrigée]]))-MIN(FinNuit,data[[#This Row],[Hdébut corrigé]])
))</f>
        <v>0</v>
      </c>
      <c r="O3" s="54">
        <f>MAX(0,(MAX(0,(MIN(1,data[[#This Row],[Hfin corrigée]])-DebNuit))-MAX(0,(data[[#This Row],[Hdébut corrigé]]-DebNuit))))</f>
        <v>0</v>
      </c>
      <c r="P3" s="71" t="str">
        <f>IF(OR(WEEKDAY(data[[#This Row],[Date]]+data[[#This Row],[Hfin corrigée]],2)=7,COUNTIF(JF,INT(data[[#This Row],[Date]]+data[[#This Row],[Hfin corrigée]]))=1),"oui","non")</f>
        <v>non</v>
      </c>
      <c r="Q3" s="54">
        <f>MAX(0,data[[#This Row],[Hfin corrigée]]-MAX(1,data[[#This Row],[Hdébut corrigé]]))-data[[#This Row],[NUIT2.1]]-data[[#This Row],[NUIT2.2]]</f>
        <v>0</v>
      </c>
      <c r="R3" s="54">
        <f>MAX(0,MIN(1+FinNuit,data[[#This Row],[Hfin corrigée]])-MAX(1,data[[#This Row],[Hdébut corrigé]]))</f>
        <v>0</v>
      </c>
      <c r="S3" s="54">
        <f>MAX(0,(data[[#This Row],[Hfin corrigée]]-DebNuit-1))</f>
        <v>0</v>
      </c>
      <c r="T3" s="55">
        <f>IF(data[[#This Row],[Garde / Interv.]]="Intervention",MAX(0,data[[#This Row],[Hfin corrigée]]-SUMPRODUCT((data[Date]=data[[#This Row],[Date]])*(data[Garde / Interv.]="Garde")*data[Hfin corrigée])),0)</f>
        <v>0</v>
      </c>
      <c r="U3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" s="54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W3" s="54">
        <f>IF(data[[#This Row],[Garde / Interv.]]="Intervention",(data[[#This Row],[Fin Dim ou Férié]]="oui")*data[[#This Row],[JOUR2]]+(data[[#This Row],[Début Dim ou Férié]]="oui")*data[[#This Row],[JOUR1]],0)</f>
        <v>0</v>
      </c>
      <c r="X3" s="54">
        <f>MAX(0,IF(data[[#This Row],[Garde / Interv.]]="Intervention",data[[#This Row],[NUIT1.1]]+data[[#This Row],[NUIT1.2]]+data[[#This Row],[NUIT2.1]]+data[[#This Row],[NUIT2.2]],0))</f>
        <v>0</v>
      </c>
    </row>
    <row r="4" spans="1:31" x14ac:dyDescent="0.3">
      <c r="A4" s="111">
        <v>43102</v>
      </c>
      <c r="B4" s="78" t="str">
        <f>IF(data[[#This Row],[Hdébut garde]]&lt;&gt;"","Garde",IF(data[[#This Row],[Hdébut corrigé]]&lt;&gt;"","Intervention",""))</f>
        <v>Intervention</v>
      </c>
      <c r="C4" s="144"/>
      <c r="D4" s="70"/>
      <c r="E4" s="145"/>
      <c r="F4" s="48"/>
      <c r="G4" s="30" t="s">
        <v>2</v>
      </c>
      <c r="H4" s="51">
        <v>0.76944444444444438</v>
      </c>
      <c r="I4" s="49">
        <v>0.84375</v>
      </c>
      <c r="J4" s="52">
        <f>IF(data[[#This Row],[Hdébut garde]]&lt;&gt;"",
data[[#This Row],[Hdébut garde]],
data[[#This Row],[Hdébut interv.]]+IF(data[[#This Row],[Hdébut interv.]]&lt;SUMPRODUCT((data[Date]=data[[#This Row],[Date]])*data[Hdébut garde]),1,0)
)</f>
        <v>0.76944444444444438</v>
      </c>
      <c r="K4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0.84375</v>
      </c>
      <c r="L4" s="71" t="str">
        <f>IF(OR(WEEKDAY(data[[#This Row],[Date]],2)=7,COUNTIF(JF,data[[#This Row],[Date]])=1),"oui","non")</f>
        <v>non</v>
      </c>
      <c r="M4" s="54">
        <f>MAX(0,(MIN(1,data[[#This Row],[Hfin corrigée]])-data[[#This Row],[Hdébut corrigé]])-data[[#This Row],[NUIT1.1]]-data[[#This Row],[NUIT1.2]])</f>
        <v>7.4305555555555625E-2</v>
      </c>
      <c r="N4" s="54">
        <f>IF(data[[#This Row],[Hfin Interv.]]="",0,(
MIN(FinNuit,MIN(1,data[[#This Row],[Hfin corrigée]]))-MIN(FinNuit,data[[#This Row],[Hdébut corrigé]])
))</f>
        <v>0</v>
      </c>
      <c r="O4" s="54">
        <f>MAX(0,(MAX(0,(MIN(1,data[[#This Row],[Hfin corrigée]])-DebNuit))-MAX(0,(data[[#This Row],[Hdébut corrigé]]-DebNuit))))</f>
        <v>0</v>
      </c>
      <c r="P4" s="71" t="str">
        <f>IF(OR(WEEKDAY(data[[#This Row],[Date]]+data[[#This Row],[Hfin corrigée]],2)=7,COUNTIF(JF,INT(data[[#This Row],[Date]]+data[[#This Row],[Hfin corrigée]]))=1),"oui","non")</f>
        <v>non</v>
      </c>
      <c r="Q4" s="54">
        <f>MAX(0,data[[#This Row],[Hfin corrigée]]-MAX(1,data[[#This Row],[Hdébut corrigé]]))-data[[#This Row],[NUIT2.1]]-data[[#This Row],[NUIT2.2]]</f>
        <v>0</v>
      </c>
      <c r="R4" s="54">
        <f>MAX(0,MIN(1+FinNuit,data[[#This Row],[Hfin corrigée]])-MAX(1,data[[#This Row],[Hdébut corrigé]]))</f>
        <v>0</v>
      </c>
      <c r="S4" s="54">
        <f>MAX(0,(data[[#This Row],[Hfin corrigée]]-DebNuit-1))</f>
        <v>0</v>
      </c>
      <c r="T4" s="55">
        <f>IF(data[[#This Row],[Garde / Interv.]]="Intervention",MAX(0,data[[#This Row],[Hfin corrigée]]-SUMPRODUCT((data[Date]=data[[#This Row],[Date]])*(data[Garde / Interv.]="Garde")*data[Hfin corrigée])),0)</f>
        <v>0</v>
      </c>
      <c r="U4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" s="54">
        <f>MAX(0,IF(data[[#This Row],[Garde / Interv.]]="Intervention",(data[[#This Row],[Fin Dim ou Férié]]="non")*data[[#This Row],[JOUR2]]+(data[[#This Row],[Début Dim ou Férié]]="non")*data[[#This Row],[JOUR1]],0))</f>
        <v>7.4305555555555625E-2</v>
      </c>
      <c r="W4" s="54">
        <f>IF(data[[#This Row],[Garde / Interv.]]="Intervention",(data[[#This Row],[Fin Dim ou Férié]]="oui")*data[[#This Row],[JOUR2]]+(data[[#This Row],[Début Dim ou Férié]]="oui")*data[[#This Row],[JOUR1]],0)</f>
        <v>0</v>
      </c>
      <c r="X4" s="54">
        <f>MAX(0,IF(data[[#This Row],[Garde / Interv.]]="Intervention",data[[#This Row],[NUIT1.1]]+data[[#This Row],[NUIT1.2]]+data[[#This Row],[NUIT2.1]]+data[[#This Row],[NUIT2.2]],0))</f>
        <v>0</v>
      </c>
    </row>
    <row r="5" spans="1:31" x14ac:dyDescent="0.3">
      <c r="A5" s="111">
        <v>43110</v>
      </c>
      <c r="B5" s="78" t="str">
        <f>IF(data[[#This Row],[Hdébut garde]]&lt;&gt;"","Garde",IF(data[[#This Row],[Hdébut corrigé]]&lt;&gt;"","Intervention",""))</f>
        <v>Garde</v>
      </c>
      <c r="C5" s="144">
        <v>0.33333333333333331</v>
      </c>
      <c r="D5" s="70">
        <v>0.33333333333333331</v>
      </c>
      <c r="E5" s="145"/>
      <c r="F5" s="48"/>
      <c r="G5" s="30"/>
      <c r="H5" s="51"/>
      <c r="I5" s="49"/>
      <c r="J5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5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" s="71" t="str">
        <f>IF(OR(WEEKDAY(data[[#This Row],[Date]],2)=7,COUNTIF(JF,data[[#This Row],[Date]])=1),"oui","non")</f>
        <v>non</v>
      </c>
      <c r="M5" s="54">
        <f>MAX(0,(MIN(1,data[[#This Row],[Hfin corrigée]])-data[[#This Row],[Hdébut corrigé]])-data[[#This Row],[NUIT1.1]]-data[[#This Row],[NUIT1.2]])</f>
        <v>0.58333333333333337</v>
      </c>
      <c r="N5" s="54">
        <f>IF(data[[#This Row],[Hfin Interv.]]="",0,(
MIN(FinNuit,MIN(1,data[[#This Row],[Hfin corrigée]]))-MIN(FinNuit,data[[#This Row],[Hdébut corrigé]])
))</f>
        <v>0</v>
      </c>
      <c r="O5" s="54">
        <f>MAX(0,(MAX(0,(MIN(1,data[[#This Row],[Hfin corrigée]])-DebNuit))-MAX(0,(data[[#This Row],[Hdébut corrigé]]-DebNuit))))</f>
        <v>8.333333333333337E-2</v>
      </c>
      <c r="P5" s="71" t="str">
        <f>IF(OR(WEEKDAY(data[[#This Row],[Date]]+data[[#This Row],[Hfin corrigée]],2)=7,COUNTIF(JF,INT(data[[#This Row],[Date]]+data[[#This Row],[Hfin corrigée]]))=1),"oui","non")</f>
        <v>non</v>
      </c>
      <c r="Q5" s="54">
        <f>MAX(0,data[[#This Row],[Hfin corrigée]]-MAX(1,data[[#This Row],[Hdébut corrigé]]))-data[[#This Row],[NUIT2.1]]-data[[#This Row],[NUIT2.2]]</f>
        <v>4.1666666666666519E-2</v>
      </c>
      <c r="R5" s="54">
        <f>MAX(0,MIN(1+FinNuit,data[[#This Row],[Hfin corrigée]])-MAX(1,data[[#This Row],[Hdébut corrigé]]))</f>
        <v>0.29166666666666674</v>
      </c>
      <c r="S5" s="54">
        <f>MAX(0,(data[[#This Row],[Hfin corrigée]]-DebNuit-1))</f>
        <v>0</v>
      </c>
      <c r="T5" s="55">
        <f>IF(data[[#This Row],[Garde / Interv.]]="Intervention",MAX(0,data[[#This Row],[Hfin corrigée]]-SUMPRODUCT((data[Date]=data[[#This Row],[Date]])*(data[Garde / Interv.]="Garde")*data[Hfin corrigée])),0)</f>
        <v>0</v>
      </c>
      <c r="U5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0.6791666666666667</v>
      </c>
      <c r="V5" s="54">
        <f>MAX(0,IF(data[[#This Row],[Garde / Interv.]]="Intervention",(data[[#This Row],[Fin Dim ou Férié]]="non")*data[[#This Row],[JOUR2]]+(data[[#This Row],[Début Dim ou Férié]]="non")*data[[#This Row],[JOUR1]],0))</f>
        <v>0</v>
      </c>
      <c r="W5" s="54">
        <f>IF(data[[#This Row],[Garde / Interv.]]="Intervention",(data[[#This Row],[Fin Dim ou Férié]]="oui")*data[[#This Row],[JOUR2]]+(data[[#This Row],[Début Dim ou Férié]]="oui")*data[[#This Row],[JOUR1]],0)</f>
        <v>0</v>
      </c>
      <c r="X5" s="54">
        <f>MAX(0,IF(data[[#This Row],[Garde / Interv.]]="Intervention",data[[#This Row],[NUIT1.1]]+data[[#This Row],[NUIT1.2]]+data[[#This Row],[NUIT2.1]]+data[[#This Row],[NUIT2.2]],0))</f>
        <v>0</v>
      </c>
    </row>
    <row r="6" spans="1:31" x14ac:dyDescent="0.3">
      <c r="A6" s="111">
        <v>43110</v>
      </c>
      <c r="B6" s="78" t="str">
        <f>IF(data[[#This Row],[Hdébut garde]]&lt;&gt;"","Garde",IF(data[[#This Row],[Hdébut corrigé]]&lt;&gt;"","Intervention",""))</f>
        <v>Intervention</v>
      </c>
      <c r="C6" s="144"/>
      <c r="D6" s="70"/>
      <c r="E6" s="145"/>
      <c r="F6" s="48"/>
      <c r="G6" s="30" t="s">
        <v>2</v>
      </c>
      <c r="H6" s="51">
        <v>0.35000000000000003</v>
      </c>
      <c r="I6" s="49">
        <v>0.41111111111111115</v>
      </c>
      <c r="J6" s="52">
        <f>IF(data[[#This Row],[Hdébut garde]]&lt;&gt;"",
data[[#This Row],[Hdébut garde]],
data[[#This Row],[Hdébut interv.]]+IF(data[[#This Row],[Hdébut interv.]]&lt;SUMPRODUCT((data[Date]=data[[#This Row],[Date]])*data[Hdébut garde]),1,0)
)</f>
        <v>0.35000000000000003</v>
      </c>
      <c r="K6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0.41111111111111115</v>
      </c>
      <c r="L6" s="71" t="str">
        <f>IF(OR(WEEKDAY(data[[#This Row],[Date]],2)=7,COUNTIF(JF,data[[#This Row],[Date]])=1),"oui","non")</f>
        <v>non</v>
      </c>
      <c r="M6" s="54">
        <f>MAX(0,(MIN(1,data[[#This Row],[Hfin corrigée]])-data[[#This Row],[Hdébut corrigé]])-data[[#This Row],[NUIT1.1]]-data[[#This Row],[NUIT1.2]])</f>
        <v>6.1111111111111116E-2</v>
      </c>
      <c r="N6" s="54">
        <f>IF(data[[#This Row],[Hfin Interv.]]="",0,(
MIN(FinNuit,MIN(1,data[[#This Row],[Hfin corrigée]]))-MIN(FinNuit,data[[#This Row],[Hdébut corrigé]])
))</f>
        <v>0</v>
      </c>
      <c r="O6" s="54">
        <f>MAX(0,(MAX(0,(MIN(1,data[[#This Row],[Hfin corrigée]])-DebNuit))-MAX(0,(data[[#This Row],[Hdébut corrigé]]-DebNuit))))</f>
        <v>0</v>
      </c>
      <c r="P6" s="71" t="str">
        <f>IF(OR(WEEKDAY(data[[#This Row],[Date]]+data[[#This Row],[Hfin corrigée]],2)=7,COUNTIF(JF,INT(data[[#This Row],[Date]]+data[[#This Row],[Hfin corrigée]]))=1),"oui","non")</f>
        <v>non</v>
      </c>
      <c r="Q6" s="54">
        <f>MAX(0,data[[#This Row],[Hfin corrigée]]-MAX(1,data[[#This Row],[Hdébut corrigé]]))-data[[#This Row],[NUIT2.1]]-data[[#This Row],[NUIT2.2]]</f>
        <v>0</v>
      </c>
      <c r="R6" s="54">
        <f>MAX(0,MIN(1+FinNuit,data[[#This Row],[Hfin corrigée]])-MAX(1,data[[#This Row],[Hdébut corrigé]]))</f>
        <v>0</v>
      </c>
      <c r="S6" s="54">
        <f>MAX(0,(data[[#This Row],[Hfin corrigée]]-DebNuit-1))</f>
        <v>0</v>
      </c>
      <c r="T6" s="55">
        <f>IF(data[[#This Row],[Garde / Interv.]]="Intervention",MAX(0,data[[#This Row],[Hfin corrigée]]-SUMPRODUCT((data[Date]=data[[#This Row],[Date]])*(data[Garde / Interv.]="Garde")*data[Hfin corrigée])),0)</f>
        <v>0</v>
      </c>
      <c r="U6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" s="54">
        <f>MAX(0,IF(data[[#This Row],[Garde / Interv.]]="Intervention",(data[[#This Row],[Fin Dim ou Férié]]="non")*data[[#This Row],[JOUR2]]+(data[[#This Row],[Début Dim ou Férié]]="non")*data[[#This Row],[JOUR1]],0))</f>
        <v>6.1111111111111116E-2</v>
      </c>
      <c r="W6" s="54">
        <f>IF(data[[#This Row],[Garde / Interv.]]="Intervention",(data[[#This Row],[Fin Dim ou Férié]]="oui")*data[[#This Row],[JOUR2]]+(data[[#This Row],[Début Dim ou Férié]]="oui")*data[[#This Row],[JOUR1]],0)</f>
        <v>0</v>
      </c>
      <c r="X6" s="54">
        <f>MAX(0,IF(data[[#This Row],[Garde / Interv.]]="Intervention",data[[#This Row],[NUIT1.1]]+data[[#This Row],[NUIT1.2]]+data[[#This Row],[NUIT2.1]]+data[[#This Row],[NUIT2.2]],0))</f>
        <v>0</v>
      </c>
      <c r="Z6" s="86"/>
      <c r="AB6" s="99"/>
    </row>
    <row r="7" spans="1:31" x14ac:dyDescent="0.3">
      <c r="A7" s="111">
        <v>43110</v>
      </c>
      <c r="B7" s="78" t="str">
        <f>IF(data[[#This Row],[Hdébut garde]]&lt;&gt;"","Garde",IF(data[[#This Row],[Hdébut corrigé]]&lt;&gt;"","Intervention",""))</f>
        <v>Intervention</v>
      </c>
      <c r="C7" s="144"/>
      <c r="D7" s="70"/>
      <c r="E7" s="145"/>
      <c r="F7" s="48"/>
      <c r="G7" s="30" t="s">
        <v>2</v>
      </c>
      <c r="H7" s="51">
        <v>0.44513888888888892</v>
      </c>
      <c r="I7" s="49">
        <v>0.4993055555555555</v>
      </c>
      <c r="J7" s="52">
        <f>IF(data[[#This Row],[Hdébut garde]]&lt;&gt;"",
data[[#This Row],[Hdébut garde]],
data[[#This Row],[Hdébut interv.]]+IF(data[[#This Row],[Hdébut interv.]]&lt;SUMPRODUCT((data[Date]=data[[#This Row],[Date]])*data[Hdébut garde]),1,0)
)</f>
        <v>0.44513888888888892</v>
      </c>
      <c r="K7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0.4993055555555555</v>
      </c>
      <c r="L7" s="71" t="str">
        <f>IF(OR(WEEKDAY(data[[#This Row],[Date]],2)=7,COUNTIF(JF,data[[#This Row],[Date]])=1),"oui","non")</f>
        <v>non</v>
      </c>
      <c r="M7" s="54">
        <f>MAX(0,(MIN(1,data[[#This Row],[Hfin corrigée]])-data[[#This Row],[Hdébut corrigé]])-data[[#This Row],[NUIT1.1]]-data[[#This Row],[NUIT1.2]])</f>
        <v>5.4166666666666585E-2</v>
      </c>
      <c r="N7" s="54">
        <f>IF(data[[#This Row],[Hfin Interv.]]="",0,(
MIN(FinNuit,MIN(1,data[[#This Row],[Hfin corrigée]]))-MIN(FinNuit,data[[#This Row],[Hdébut corrigé]])
))</f>
        <v>0</v>
      </c>
      <c r="O7" s="54">
        <f>MAX(0,(MAX(0,(MIN(1,data[[#This Row],[Hfin corrigée]])-DebNuit))-MAX(0,(data[[#This Row],[Hdébut corrigé]]-DebNuit))))</f>
        <v>0</v>
      </c>
      <c r="P7" s="71" t="str">
        <f>IF(OR(WEEKDAY(data[[#This Row],[Date]]+data[[#This Row],[Hfin corrigée]],2)=7,COUNTIF(JF,INT(data[[#This Row],[Date]]+data[[#This Row],[Hfin corrigée]]))=1),"oui","non")</f>
        <v>non</v>
      </c>
      <c r="Q7" s="54">
        <f>MAX(0,data[[#This Row],[Hfin corrigée]]-MAX(1,data[[#This Row],[Hdébut corrigé]]))-data[[#This Row],[NUIT2.1]]-data[[#This Row],[NUIT2.2]]</f>
        <v>0</v>
      </c>
      <c r="R7" s="54">
        <f>MAX(0,MIN(1+FinNuit,data[[#This Row],[Hfin corrigée]])-MAX(1,data[[#This Row],[Hdébut corrigé]]))</f>
        <v>0</v>
      </c>
      <c r="S7" s="54">
        <f>MAX(0,(data[[#This Row],[Hfin corrigée]]-DebNuit-1))</f>
        <v>0</v>
      </c>
      <c r="T7" s="55">
        <f>IF(data[[#This Row],[Garde / Interv.]]="Intervention",MAX(0,data[[#This Row],[Hfin corrigée]]-SUMPRODUCT((data[Date]=data[[#This Row],[Date]])*(data[Garde / Interv.]="Garde")*data[Hfin corrigée])),0)</f>
        <v>0</v>
      </c>
      <c r="U7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7" s="54">
        <f>MAX(0,IF(data[[#This Row],[Garde / Interv.]]="Intervention",(data[[#This Row],[Fin Dim ou Férié]]="non")*data[[#This Row],[JOUR2]]+(data[[#This Row],[Début Dim ou Férié]]="non")*data[[#This Row],[JOUR1]],0))</f>
        <v>5.4166666666666585E-2</v>
      </c>
      <c r="W7" s="54">
        <f>IF(data[[#This Row],[Garde / Interv.]]="Intervention",(data[[#This Row],[Fin Dim ou Férié]]="oui")*data[[#This Row],[JOUR2]]+(data[[#This Row],[Début Dim ou Férié]]="oui")*data[[#This Row],[JOUR1]],0)</f>
        <v>0</v>
      </c>
      <c r="X7" s="54">
        <f>MAX(0,IF(data[[#This Row],[Garde / Interv.]]="Intervention",data[[#This Row],[NUIT1.1]]+data[[#This Row],[NUIT1.2]]+data[[#This Row],[NUIT2.1]]+data[[#This Row],[NUIT2.2]],0))</f>
        <v>0</v>
      </c>
      <c r="Z7" s="86"/>
      <c r="AB7" s="99"/>
    </row>
    <row r="8" spans="1:31" x14ac:dyDescent="0.3">
      <c r="A8" s="111">
        <v>43110</v>
      </c>
      <c r="B8" s="78" t="str">
        <f>IF(data[[#This Row],[Hdébut garde]]&lt;&gt;"","Garde",IF(data[[#This Row],[Hdébut corrigé]]&lt;&gt;"","Intervention",""))</f>
        <v>Intervention</v>
      </c>
      <c r="C8" s="144"/>
      <c r="D8" s="70"/>
      <c r="E8" s="145"/>
      <c r="F8" s="48"/>
      <c r="G8" s="30" t="s">
        <v>2</v>
      </c>
      <c r="H8" s="51">
        <v>0.4993055555555555</v>
      </c>
      <c r="I8" s="49">
        <v>0.5625</v>
      </c>
      <c r="J8" s="52">
        <f>IF(data[[#This Row],[Hdébut garde]]&lt;&gt;"",
data[[#This Row],[Hdébut garde]],
data[[#This Row],[Hdébut interv.]]+IF(data[[#This Row],[Hdébut interv.]]&lt;SUMPRODUCT((data[Date]=data[[#This Row],[Date]])*data[Hdébut garde]),1,0)
)</f>
        <v>0.4993055555555555</v>
      </c>
      <c r="K8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0.5625</v>
      </c>
      <c r="L8" s="71" t="str">
        <f>IF(OR(WEEKDAY(data[[#This Row],[Date]],2)=7,COUNTIF(JF,data[[#This Row],[Date]])=1),"oui","non")</f>
        <v>non</v>
      </c>
      <c r="M8" s="54">
        <f>MAX(0,(MIN(1,data[[#This Row],[Hfin corrigée]])-data[[#This Row],[Hdébut corrigé]])-data[[#This Row],[NUIT1.1]]-data[[#This Row],[NUIT1.2]])</f>
        <v>6.3194444444444497E-2</v>
      </c>
      <c r="N8" s="54">
        <f>IF(data[[#This Row],[Hfin Interv.]]="",0,(
MIN(FinNuit,MIN(1,data[[#This Row],[Hfin corrigée]]))-MIN(FinNuit,data[[#This Row],[Hdébut corrigé]])
))</f>
        <v>0</v>
      </c>
      <c r="O8" s="54">
        <f>MAX(0,(MAX(0,(MIN(1,data[[#This Row],[Hfin corrigée]])-DebNuit))-MAX(0,(data[[#This Row],[Hdébut corrigé]]-DebNuit))))</f>
        <v>0</v>
      </c>
      <c r="P8" s="71" t="str">
        <f>IF(OR(WEEKDAY(data[[#This Row],[Date]]+data[[#This Row],[Hfin corrigée]],2)=7,COUNTIF(JF,INT(data[[#This Row],[Date]]+data[[#This Row],[Hfin corrigée]]))=1),"oui","non")</f>
        <v>non</v>
      </c>
      <c r="Q8" s="54">
        <f>MAX(0,data[[#This Row],[Hfin corrigée]]-MAX(1,data[[#This Row],[Hdébut corrigé]]))-data[[#This Row],[NUIT2.1]]-data[[#This Row],[NUIT2.2]]</f>
        <v>0</v>
      </c>
      <c r="R8" s="54">
        <f>MAX(0,MIN(1+FinNuit,data[[#This Row],[Hfin corrigée]])-MAX(1,data[[#This Row],[Hdébut corrigé]]))</f>
        <v>0</v>
      </c>
      <c r="S8" s="54">
        <f>MAX(0,(data[[#This Row],[Hfin corrigée]]-DebNuit-1))</f>
        <v>0</v>
      </c>
      <c r="T8" s="55">
        <f>IF(data[[#This Row],[Garde / Interv.]]="Intervention",MAX(0,data[[#This Row],[Hfin corrigée]]-SUMPRODUCT((data[Date]=data[[#This Row],[Date]])*(data[Garde / Interv.]="Garde")*data[Hfin corrigée])),0)</f>
        <v>0</v>
      </c>
      <c r="U8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8" s="54">
        <f>MAX(0,IF(data[[#This Row],[Garde / Interv.]]="Intervention",(data[[#This Row],[Fin Dim ou Férié]]="non")*data[[#This Row],[JOUR2]]+(data[[#This Row],[Début Dim ou Férié]]="non")*data[[#This Row],[JOUR1]],0))</f>
        <v>6.3194444444444497E-2</v>
      </c>
      <c r="W8" s="54">
        <f>IF(data[[#This Row],[Garde / Interv.]]="Intervention",(data[[#This Row],[Fin Dim ou Férié]]="oui")*data[[#This Row],[JOUR2]]+(data[[#This Row],[Début Dim ou Férié]]="oui")*data[[#This Row],[JOUR1]],0)</f>
        <v>0</v>
      </c>
      <c r="X8" s="54">
        <f>MAX(0,IF(data[[#This Row],[Garde / Interv.]]="Intervention",data[[#This Row],[NUIT1.1]]+data[[#This Row],[NUIT1.2]]+data[[#This Row],[NUIT2.1]]+data[[#This Row],[NUIT2.2]],0))</f>
        <v>0</v>
      </c>
      <c r="Z8" s="172" t="s">
        <v>100</v>
      </c>
      <c r="AA8" s="173">
        <f>SUM(U2:U17)</f>
        <v>2.3749999999999996</v>
      </c>
      <c r="AB8" s="171">
        <f>SUM(V3:X17)</f>
        <v>0.62500000000000033</v>
      </c>
      <c r="AC8" s="86">
        <f>AA8-AB8</f>
        <v>1.7499999999999991</v>
      </c>
    </row>
    <row r="9" spans="1:31" x14ac:dyDescent="0.3">
      <c r="A9" s="111">
        <v>43110</v>
      </c>
      <c r="B9" s="78" t="str">
        <f>IF(data[[#This Row],[Hdébut garde]]&lt;&gt;"","Garde",IF(data[[#This Row],[Hdébut corrigé]]&lt;&gt;"","Intervention",""))</f>
        <v>Intervention</v>
      </c>
      <c r="C9" s="144"/>
      <c r="D9" s="70"/>
      <c r="E9" s="145"/>
      <c r="F9" s="48"/>
      <c r="G9" s="30" t="s">
        <v>2</v>
      </c>
      <c r="H9" s="51">
        <v>0.63888888888888895</v>
      </c>
      <c r="I9" s="49">
        <v>0.66249999999999998</v>
      </c>
      <c r="J9" s="52">
        <f>IF(data[[#This Row],[Hdébut garde]]&lt;&gt;"",
data[[#This Row],[Hdébut garde]],
data[[#This Row],[Hdébut interv.]]+IF(data[[#This Row],[Hdébut interv.]]&lt;SUMPRODUCT((data[Date]=data[[#This Row],[Date]])*data[Hdébut garde]),1,0)
)</f>
        <v>0.63888888888888895</v>
      </c>
      <c r="K9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0.66249999999999998</v>
      </c>
      <c r="L9" s="71" t="str">
        <f>IF(OR(WEEKDAY(data[[#This Row],[Date]],2)=7,COUNTIF(JF,data[[#This Row],[Date]])=1),"oui","non")</f>
        <v>non</v>
      </c>
      <c r="M9" s="54">
        <f>MAX(0,(MIN(1,data[[#This Row],[Hfin corrigée]])-data[[#This Row],[Hdébut corrigé]])-data[[#This Row],[NUIT1.1]]-data[[#This Row],[NUIT1.2]])</f>
        <v>2.3611111111111027E-2</v>
      </c>
      <c r="N9" s="54">
        <f>IF(data[[#This Row],[Hfin Interv.]]="",0,(
MIN(FinNuit,MIN(1,data[[#This Row],[Hfin corrigée]]))-MIN(FinNuit,data[[#This Row],[Hdébut corrigé]])
))</f>
        <v>0</v>
      </c>
      <c r="O9" s="54">
        <f>MAX(0,(MAX(0,(MIN(1,data[[#This Row],[Hfin corrigée]])-DebNuit))-MAX(0,(data[[#This Row],[Hdébut corrigé]]-DebNuit))))</f>
        <v>0</v>
      </c>
      <c r="P9" s="71" t="str">
        <f>IF(OR(WEEKDAY(data[[#This Row],[Date]]+data[[#This Row],[Hfin corrigée]],2)=7,COUNTIF(JF,INT(data[[#This Row],[Date]]+data[[#This Row],[Hfin corrigée]]))=1),"oui","non")</f>
        <v>non</v>
      </c>
      <c r="Q9" s="54">
        <f>MAX(0,data[[#This Row],[Hfin corrigée]]-MAX(1,data[[#This Row],[Hdébut corrigé]]))-data[[#This Row],[NUIT2.1]]-data[[#This Row],[NUIT2.2]]</f>
        <v>0</v>
      </c>
      <c r="R9" s="54">
        <f>MAX(0,MIN(1+FinNuit,data[[#This Row],[Hfin corrigée]])-MAX(1,data[[#This Row],[Hdébut corrigé]]))</f>
        <v>0</v>
      </c>
      <c r="S9" s="54">
        <f>MAX(0,(data[[#This Row],[Hfin corrigée]]-DebNuit-1))</f>
        <v>0</v>
      </c>
      <c r="T9" s="55">
        <f>IF(data[[#This Row],[Garde / Interv.]]="Intervention",MAX(0,data[[#This Row],[Hfin corrigée]]-SUMPRODUCT((data[Date]=data[[#This Row],[Date]])*(data[Garde / Interv.]="Garde")*data[Hfin corrigée])),0)</f>
        <v>0</v>
      </c>
      <c r="U9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9" s="54">
        <f>MAX(0,IF(data[[#This Row],[Garde / Interv.]]="Intervention",(data[[#This Row],[Fin Dim ou Férié]]="non")*data[[#This Row],[JOUR2]]+(data[[#This Row],[Début Dim ou Férié]]="non")*data[[#This Row],[JOUR1]],0))</f>
        <v>2.3611111111111027E-2</v>
      </c>
      <c r="W9" s="54">
        <f>IF(data[[#This Row],[Garde / Interv.]]="Intervention",(data[[#This Row],[Fin Dim ou Férié]]="oui")*data[[#This Row],[JOUR2]]+(data[[#This Row],[Début Dim ou Férié]]="oui")*data[[#This Row],[JOUR1]],0)</f>
        <v>0</v>
      </c>
      <c r="X9" s="54">
        <f>MAX(0,IF(data[[#This Row],[Garde / Interv.]]="Intervention",data[[#This Row],[NUIT1.1]]+data[[#This Row],[NUIT1.2]]+data[[#This Row],[NUIT2.1]]+data[[#This Row],[NUIT2.2]],0))</f>
        <v>0</v>
      </c>
      <c r="AB9" s="100"/>
    </row>
    <row r="10" spans="1:31" x14ac:dyDescent="0.3">
      <c r="A10" s="111">
        <v>43110</v>
      </c>
      <c r="B10" s="78" t="str">
        <f>IF(data[[#This Row],[Hdébut garde]]&lt;&gt;"","Garde",IF(data[[#This Row],[Hdébut corrigé]]&lt;&gt;"","Intervention",""))</f>
        <v>Intervention</v>
      </c>
      <c r="C10" s="144"/>
      <c r="D10" s="70"/>
      <c r="E10" s="145"/>
      <c r="F10" s="48"/>
      <c r="G10" s="30" t="s">
        <v>2</v>
      </c>
      <c r="H10" s="51">
        <v>0.7090277777777777</v>
      </c>
      <c r="I10" s="49">
        <v>0.77777777777777779</v>
      </c>
      <c r="J10" s="52">
        <f>IF(data[[#This Row],[Hdébut garde]]&lt;&gt;"",
data[[#This Row],[Hdébut garde]],
data[[#This Row],[Hdébut interv.]]+IF(data[[#This Row],[Hdébut interv.]]&lt;SUMPRODUCT((data[Date]=data[[#This Row],[Date]])*data[Hdébut garde]),1,0)
)</f>
        <v>0.7090277777777777</v>
      </c>
      <c r="K10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0.77777777777777779</v>
      </c>
      <c r="L10" s="71" t="str">
        <f>IF(OR(WEEKDAY(data[[#This Row],[Date]],2)=7,COUNTIF(JF,data[[#This Row],[Date]])=1),"oui","non")</f>
        <v>non</v>
      </c>
      <c r="M10" s="54">
        <f>MAX(0,(MIN(1,data[[#This Row],[Hfin corrigée]])-data[[#This Row],[Hdébut corrigé]])-data[[#This Row],[NUIT1.1]]-data[[#This Row],[NUIT1.2]])</f>
        <v>6.8750000000000089E-2</v>
      </c>
      <c r="N10" s="54">
        <f>IF(data[[#This Row],[Hfin Interv.]]="",0,(
MIN(FinNuit,MIN(1,data[[#This Row],[Hfin corrigée]]))-MIN(FinNuit,data[[#This Row],[Hdébut corrigé]])
))</f>
        <v>0</v>
      </c>
      <c r="O10" s="54">
        <f>MAX(0,(MAX(0,(MIN(1,data[[#This Row],[Hfin corrigée]])-DebNuit))-MAX(0,(data[[#This Row],[Hdébut corrigé]]-DebNuit))))</f>
        <v>0</v>
      </c>
      <c r="P10" s="71" t="str">
        <f>IF(OR(WEEKDAY(data[[#This Row],[Date]]+data[[#This Row],[Hfin corrigée]],2)=7,COUNTIF(JF,INT(data[[#This Row],[Date]]+data[[#This Row],[Hfin corrigée]]))=1),"oui","non")</f>
        <v>non</v>
      </c>
      <c r="Q10" s="54">
        <f>MAX(0,data[[#This Row],[Hfin corrigée]]-MAX(1,data[[#This Row],[Hdébut corrigé]]))-data[[#This Row],[NUIT2.1]]-data[[#This Row],[NUIT2.2]]</f>
        <v>0</v>
      </c>
      <c r="R10" s="54">
        <f>MAX(0,MIN(1+FinNuit,data[[#This Row],[Hfin corrigée]])-MAX(1,data[[#This Row],[Hdébut corrigé]]))</f>
        <v>0</v>
      </c>
      <c r="S10" s="54">
        <f>MAX(0,(data[[#This Row],[Hfin corrigée]]-DebNuit-1))</f>
        <v>0</v>
      </c>
      <c r="T10" s="55">
        <f>IF(data[[#This Row],[Garde / Interv.]]="Intervention",MAX(0,data[[#This Row],[Hfin corrigée]]-SUMPRODUCT((data[Date]=data[[#This Row],[Date]])*(data[Garde / Interv.]="Garde")*data[Hfin corrigée])),0)</f>
        <v>0</v>
      </c>
      <c r="U10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0" s="54">
        <f>MAX(0,IF(data[[#This Row],[Garde / Interv.]]="Intervention",(data[[#This Row],[Fin Dim ou Férié]]="non")*data[[#This Row],[JOUR2]]+(data[[#This Row],[Début Dim ou Férié]]="non")*data[[#This Row],[JOUR1]],0))</f>
        <v>6.8750000000000089E-2</v>
      </c>
      <c r="W10" s="54">
        <f>IF(data[[#This Row],[Garde / Interv.]]="Intervention",(data[[#This Row],[Fin Dim ou Férié]]="oui")*data[[#This Row],[JOUR2]]+(data[[#This Row],[Début Dim ou Férié]]="oui")*data[[#This Row],[JOUR1]],0)</f>
        <v>0</v>
      </c>
      <c r="X10" s="54">
        <f>MAX(0,IF(data[[#This Row],[Garde / Interv.]]="Intervention",data[[#This Row],[NUIT1.1]]+data[[#This Row],[NUIT1.2]]+data[[#This Row],[NUIT2.1]]+data[[#This Row],[NUIT2.2]],0))</f>
        <v>0</v>
      </c>
    </row>
    <row r="11" spans="1:31" x14ac:dyDescent="0.3">
      <c r="A11" s="111">
        <v>43110</v>
      </c>
      <c r="B11" s="78" t="str">
        <f>IF(data[[#This Row],[Hdébut garde]]&lt;&gt;"","Garde",IF(data[[#This Row],[Hdébut corrigé]]&lt;&gt;"","Intervention",""))</f>
        <v>Intervention</v>
      </c>
      <c r="C11" s="144"/>
      <c r="D11" s="70"/>
      <c r="E11" s="145"/>
      <c r="F11" s="48"/>
      <c r="G11" s="30" t="s">
        <v>2</v>
      </c>
      <c r="H11" s="51">
        <v>0.78472222222222221</v>
      </c>
      <c r="I11" s="49">
        <v>0.81874999999999998</v>
      </c>
      <c r="J11" s="52">
        <f>IF(data[[#This Row],[Hdébut garde]]&lt;&gt;"",
data[[#This Row],[Hdébut garde]],
data[[#This Row],[Hdébut interv.]]+IF(data[[#This Row],[Hdébut interv.]]&lt;SUMPRODUCT((data[Date]=data[[#This Row],[Date]])*data[Hdébut garde]),1,0)
)</f>
        <v>0.78472222222222221</v>
      </c>
      <c r="K11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0.81874999999999998</v>
      </c>
      <c r="L11" s="71" t="str">
        <f>IF(OR(WEEKDAY(data[[#This Row],[Date]],2)=7,COUNTIF(JF,data[[#This Row],[Date]])=1),"oui","non")</f>
        <v>non</v>
      </c>
      <c r="M11" s="54">
        <f>MAX(0,(MIN(1,data[[#This Row],[Hfin corrigée]])-data[[#This Row],[Hdébut corrigé]])-data[[#This Row],[NUIT1.1]]-data[[#This Row],[NUIT1.2]])</f>
        <v>3.4027777777777768E-2</v>
      </c>
      <c r="N11" s="54">
        <f>IF(data[[#This Row],[Hfin Interv.]]="",0,(
MIN(FinNuit,MIN(1,data[[#This Row],[Hfin corrigée]]))-MIN(FinNuit,data[[#This Row],[Hdébut corrigé]])
))</f>
        <v>0</v>
      </c>
      <c r="O11" s="54">
        <f>MAX(0,(MAX(0,(MIN(1,data[[#This Row],[Hfin corrigée]])-DebNuit))-MAX(0,(data[[#This Row],[Hdébut corrigé]]-DebNuit))))</f>
        <v>0</v>
      </c>
      <c r="P11" s="71" t="str">
        <f>IF(OR(WEEKDAY(data[[#This Row],[Date]]+data[[#This Row],[Hfin corrigée]],2)=7,COUNTIF(JF,INT(data[[#This Row],[Date]]+data[[#This Row],[Hfin corrigée]]))=1),"oui","non")</f>
        <v>non</v>
      </c>
      <c r="Q11" s="54">
        <f>MAX(0,data[[#This Row],[Hfin corrigée]]-MAX(1,data[[#This Row],[Hdébut corrigé]]))-data[[#This Row],[NUIT2.1]]-data[[#This Row],[NUIT2.2]]</f>
        <v>0</v>
      </c>
      <c r="R11" s="54">
        <f>MAX(0,MIN(1+FinNuit,data[[#This Row],[Hfin corrigée]])-MAX(1,data[[#This Row],[Hdébut corrigé]]))</f>
        <v>0</v>
      </c>
      <c r="S11" s="54">
        <f>MAX(0,(data[[#This Row],[Hfin corrigée]]-DebNuit-1))</f>
        <v>0</v>
      </c>
      <c r="T11" s="55">
        <f>IF(data[[#This Row],[Garde / Interv.]]="Intervention",MAX(0,data[[#This Row],[Hfin corrigée]]-SUMPRODUCT((data[Date]=data[[#This Row],[Date]])*(data[Garde / Interv.]="Garde")*data[Hfin corrigée])),0)</f>
        <v>0</v>
      </c>
      <c r="U11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1" s="54">
        <f>MAX(0,IF(data[[#This Row],[Garde / Interv.]]="Intervention",(data[[#This Row],[Fin Dim ou Férié]]="non")*data[[#This Row],[JOUR2]]+(data[[#This Row],[Début Dim ou Férié]]="non")*data[[#This Row],[JOUR1]],0))</f>
        <v>3.4027777777777768E-2</v>
      </c>
      <c r="W11" s="54">
        <f>IF(data[[#This Row],[Garde / Interv.]]="Intervention",(data[[#This Row],[Fin Dim ou Férié]]="oui")*data[[#This Row],[JOUR2]]+(data[[#This Row],[Début Dim ou Férié]]="oui")*data[[#This Row],[JOUR1]],0)</f>
        <v>0</v>
      </c>
      <c r="X11" s="54">
        <f>MAX(0,IF(data[[#This Row],[Garde / Interv.]]="Intervention",data[[#This Row],[NUIT1.1]]+data[[#This Row],[NUIT1.2]]+data[[#This Row],[NUIT2.1]]+data[[#This Row],[NUIT2.2]],0))</f>
        <v>0</v>
      </c>
    </row>
    <row r="12" spans="1:31" x14ac:dyDescent="0.3">
      <c r="A12" s="111">
        <v>43110</v>
      </c>
      <c r="B12" s="78" t="str">
        <f>IF(data[[#This Row],[Hdébut garde]]&lt;&gt;"","Garde",IF(data[[#This Row],[Hdébut corrigé]]&lt;&gt;"","Intervention",""))</f>
        <v>Intervention</v>
      </c>
      <c r="C12" s="144"/>
      <c r="D12" s="70"/>
      <c r="E12" s="145"/>
      <c r="F12" s="48"/>
      <c r="G12" s="30" t="s">
        <v>2</v>
      </c>
      <c r="H12" s="51">
        <v>0.93194444444444446</v>
      </c>
      <c r="I12" s="49">
        <v>0.94791666666666663</v>
      </c>
      <c r="J12" s="52">
        <f>IF(data[[#This Row],[Hdébut garde]]&lt;&gt;"",
data[[#This Row],[Hdébut garde]],
data[[#This Row],[Hdébut interv.]]+IF(data[[#This Row],[Hdébut interv.]]&lt;SUMPRODUCT((data[Date]=data[[#This Row],[Date]])*data[Hdébut garde]),1,0)
)</f>
        <v>0.93194444444444446</v>
      </c>
      <c r="K12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0.94791666666666663</v>
      </c>
      <c r="L12" s="71" t="str">
        <f>IF(OR(WEEKDAY(data[[#This Row],[Date]],2)=7,COUNTIF(JF,data[[#This Row],[Date]])=1),"oui","non")</f>
        <v>non</v>
      </c>
      <c r="M12" s="54">
        <f>MAX(0,(MIN(1,data[[#This Row],[Hfin corrigée]])-data[[#This Row],[Hdébut corrigé]])-data[[#This Row],[NUIT1.1]]-data[[#This Row],[NUIT1.2]])</f>
        <v>0</v>
      </c>
      <c r="N12" s="54">
        <f>IF(data[[#This Row],[Hfin Interv.]]="",0,(
MIN(FinNuit,MIN(1,data[[#This Row],[Hfin corrigée]]))-MIN(FinNuit,data[[#This Row],[Hdébut corrigé]])
))</f>
        <v>0</v>
      </c>
      <c r="O12" s="54">
        <f>MAX(0,(MAX(0,(MIN(1,data[[#This Row],[Hfin corrigée]])-DebNuit))-MAX(0,(data[[#This Row],[Hdébut corrigé]]-DebNuit))))</f>
        <v>1.5972222222222165E-2</v>
      </c>
      <c r="P12" s="71" t="str">
        <f>IF(OR(WEEKDAY(data[[#This Row],[Date]]+data[[#This Row],[Hfin corrigée]],2)=7,COUNTIF(JF,INT(data[[#This Row],[Date]]+data[[#This Row],[Hfin corrigée]]))=1),"oui","non")</f>
        <v>non</v>
      </c>
      <c r="Q12" s="54">
        <f>MAX(0,data[[#This Row],[Hfin corrigée]]-MAX(1,data[[#This Row],[Hdébut corrigé]]))-data[[#This Row],[NUIT2.1]]-data[[#This Row],[NUIT2.2]]</f>
        <v>0</v>
      </c>
      <c r="R12" s="54">
        <f>MAX(0,MIN(1+FinNuit,data[[#This Row],[Hfin corrigée]])-MAX(1,data[[#This Row],[Hdébut corrigé]]))</f>
        <v>0</v>
      </c>
      <c r="S12" s="54">
        <f>MAX(0,(data[[#This Row],[Hfin corrigée]]-DebNuit-1))</f>
        <v>0</v>
      </c>
      <c r="T12" s="55">
        <f>IF(data[[#This Row],[Garde / Interv.]]="Intervention",MAX(0,data[[#This Row],[Hfin corrigée]]-SUMPRODUCT((data[Date]=data[[#This Row],[Date]])*(data[Garde / Interv.]="Garde")*data[Hfin corrigée])),0)</f>
        <v>0</v>
      </c>
      <c r="U12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2" s="54">
        <f>MAX(0,IF(data[[#This Row],[Garde / Interv.]]="Intervention",(data[[#This Row],[Fin Dim ou Férié]]="non")*data[[#This Row],[JOUR2]]+(data[[#This Row],[Début Dim ou Férié]]="non")*data[[#This Row],[JOUR1]],0))</f>
        <v>0</v>
      </c>
      <c r="W12" s="54">
        <f>IF(data[[#This Row],[Garde / Interv.]]="Intervention",(data[[#This Row],[Fin Dim ou Férié]]="oui")*data[[#This Row],[JOUR2]]+(data[[#This Row],[Début Dim ou Férié]]="oui")*data[[#This Row],[JOUR1]],0)</f>
        <v>0</v>
      </c>
      <c r="X12" s="54">
        <f>MAX(0,IF(data[[#This Row],[Garde / Interv.]]="Intervention",data[[#This Row],[NUIT1.1]]+data[[#This Row],[NUIT1.2]]+data[[#This Row],[NUIT2.1]]+data[[#This Row],[NUIT2.2]],0))</f>
        <v>1.5972222222222165E-2</v>
      </c>
    </row>
    <row r="13" spans="1:31" x14ac:dyDescent="0.3">
      <c r="A13" s="111">
        <v>43116</v>
      </c>
      <c r="B13" s="78" t="str">
        <f>IF(data[[#This Row],[Hdébut garde]]&lt;&gt;"","Garde",IF(data[[#This Row],[Hdébut corrigé]]&lt;&gt;"","Intervention",""))</f>
        <v>Garde</v>
      </c>
      <c r="C13" s="144">
        <v>0.33333333333333331</v>
      </c>
      <c r="D13" s="70">
        <v>0.33333333333333331</v>
      </c>
      <c r="E13" s="145"/>
      <c r="F13" s="48"/>
      <c r="G13" s="30"/>
      <c r="H13" s="51"/>
      <c r="I13" s="49"/>
      <c r="J13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1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13" s="71" t="str">
        <f>IF(OR(WEEKDAY(data[[#This Row],[Date]],2)=7,COUNTIF(JF,data[[#This Row],[Date]])=1),"oui","non")</f>
        <v>non</v>
      </c>
      <c r="M13" s="54">
        <f>MAX(0,(MIN(1,data[[#This Row],[Hfin corrigée]])-data[[#This Row],[Hdébut corrigé]])-data[[#This Row],[NUIT1.1]]-data[[#This Row],[NUIT1.2]])</f>
        <v>0.58333333333333337</v>
      </c>
      <c r="N13" s="54">
        <f>IF(data[[#This Row],[Hfin Interv.]]="",0,(
MIN(FinNuit,MIN(1,data[[#This Row],[Hfin corrigée]]))-MIN(FinNuit,data[[#This Row],[Hdébut corrigé]])
))</f>
        <v>0</v>
      </c>
      <c r="O13" s="54">
        <f>MAX(0,(MAX(0,(MIN(1,data[[#This Row],[Hfin corrigée]])-DebNuit))-MAX(0,(data[[#This Row],[Hdébut corrigé]]-DebNuit))))</f>
        <v>8.333333333333337E-2</v>
      </c>
      <c r="P13" s="71" t="str">
        <f>IF(OR(WEEKDAY(data[[#This Row],[Date]]+data[[#This Row],[Hfin corrigée]],2)=7,COUNTIF(JF,INT(data[[#This Row],[Date]]+data[[#This Row],[Hfin corrigée]]))=1),"oui","non")</f>
        <v>non</v>
      </c>
      <c r="Q13" s="54">
        <f>MAX(0,data[[#This Row],[Hfin corrigée]]-MAX(1,data[[#This Row],[Hdébut corrigé]]))-data[[#This Row],[NUIT2.1]]-data[[#This Row],[NUIT2.2]]</f>
        <v>4.1666666666666519E-2</v>
      </c>
      <c r="R13" s="54">
        <f>MAX(0,MIN(1+FinNuit,data[[#This Row],[Hfin corrigée]])-MAX(1,data[[#This Row],[Hdébut corrigé]]))</f>
        <v>0.29166666666666674</v>
      </c>
      <c r="S13" s="54">
        <f>MAX(0,(data[[#This Row],[Hfin corrigée]]-DebNuit-1))</f>
        <v>0</v>
      </c>
      <c r="T13" s="55">
        <f>IF(data[[#This Row],[Garde / Interv.]]="Intervention",MAX(0,data[[#This Row],[Hfin corrigée]]-SUMPRODUCT((data[Date]=data[[#This Row],[Date]])*(data[Garde / Interv.]="Garde")*data[Hfin corrigée])),0)</f>
        <v>0</v>
      </c>
      <c r="U13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0.82569444444444418</v>
      </c>
      <c r="V13" s="54">
        <f>MAX(0,IF(data[[#This Row],[Garde / Interv.]]="Intervention",(data[[#This Row],[Fin Dim ou Férié]]="non")*data[[#This Row],[JOUR2]]+(data[[#This Row],[Début Dim ou Férié]]="non")*data[[#This Row],[JOUR1]],0))</f>
        <v>0</v>
      </c>
      <c r="W13" s="54">
        <f>IF(data[[#This Row],[Garde / Interv.]]="Intervention",(data[[#This Row],[Fin Dim ou Férié]]="oui")*data[[#This Row],[JOUR2]]+(data[[#This Row],[Début Dim ou Férié]]="oui")*data[[#This Row],[JOUR1]],0)</f>
        <v>0</v>
      </c>
      <c r="X13" s="54">
        <f>MAX(0,IF(data[[#This Row],[Garde / Interv.]]="Intervention",data[[#This Row],[NUIT1.1]]+data[[#This Row],[NUIT1.2]]+data[[#This Row],[NUIT2.1]]+data[[#This Row],[NUIT2.2]],0))</f>
        <v>0</v>
      </c>
    </row>
    <row r="14" spans="1:31" x14ac:dyDescent="0.3">
      <c r="A14" s="111">
        <v>43116</v>
      </c>
      <c r="B14" s="78" t="str">
        <f>IF(data[[#This Row],[Hdébut garde]]&lt;&gt;"","Garde",IF(data[[#This Row],[Hdébut corrigé]]&lt;&gt;"","Intervention",""))</f>
        <v>Intervention</v>
      </c>
      <c r="C14" s="144"/>
      <c r="D14" s="70"/>
      <c r="E14" s="145"/>
      <c r="F14" s="48"/>
      <c r="G14" s="30" t="s">
        <v>2</v>
      </c>
      <c r="H14" s="51">
        <v>0.6777777777777777</v>
      </c>
      <c r="I14" s="49">
        <v>0.68541666666666667</v>
      </c>
      <c r="J14" s="52">
        <f>IF(data[[#This Row],[Hdébut garde]]&lt;&gt;"",
data[[#This Row],[Hdébut garde]],
data[[#This Row],[Hdébut interv.]]+IF(data[[#This Row],[Hdébut interv.]]&lt;SUMPRODUCT((data[Date]=data[[#This Row],[Date]])*data[Hdébut garde]),1,0)
)</f>
        <v>0.6777777777777777</v>
      </c>
      <c r="K14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0.68541666666666667</v>
      </c>
      <c r="L14" s="71" t="str">
        <f>IF(OR(WEEKDAY(data[[#This Row],[Date]],2)=7,COUNTIF(JF,data[[#This Row],[Date]])=1),"oui","non")</f>
        <v>non</v>
      </c>
      <c r="M14" s="54">
        <f>MAX(0,(MIN(1,data[[#This Row],[Hfin corrigée]])-data[[#This Row],[Hdébut corrigé]])-data[[#This Row],[NUIT1.1]]-data[[#This Row],[NUIT1.2]])</f>
        <v>7.6388888888889728E-3</v>
      </c>
      <c r="N14" s="54">
        <f>IF(data[[#This Row],[Hfin Interv.]]="",0,(
MIN(FinNuit,MIN(1,data[[#This Row],[Hfin corrigée]]))-MIN(FinNuit,data[[#This Row],[Hdébut corrigé]])
))</f>
        <v>0</v>
      </c>
      <c r="O14" s="54">
        <f>MAX(0,(MAX(0,(MIN(1,data[[#This Row],[Hfin corrigée]])-DebNuit))-MAX(0,(data[[#This Row],[Hdébut corrigé]]-DebNuit))))</f>
        <v>0</v>
      </c>
      <c r="P14" s="71" t="str">
        <f>IF(OR(WEEKDAY(data[[#This Row],[Date]]+data[[#This Row],[Hfin corrigée]],2)=7,COUNTIF(JF,INT(data[[#This Row],[Date]]+data[[#This Row],[Hfin corrigée]]))=1),"oui","non")</f>
        <v>non</v>
      </c>
      <c r="Q14" s="54">
        <f>MAX(0,data[[#This Row],[Hfin corrigée]]-MAX(1,data[[#This Row],[Hdébut corrigé]]))-data[[#This Row],[NUIT2.1]]-data[[#This Row],[NUIT2.2]]</f>
        <v>0</v>
      </c>
      <c r="R14" s="54">
        <f>MAX(0,MIN(1+FinNuit,data[[#This Row],[Hfin corrigée]])-MAX(1,data[[#This Row],[Hdébut corrigé]]))</f>
        <v>0</v>
      </c>
      <c r="S14" s="54">
        <f>MAX(0,(data[[#This Row],[Hfin corrigée]]-DebNuit-1))</f>
        <v>0</v>
      </c>
      <c r="T14" s="55">
        <f>IF(data[[#This Row],[Garde / Interv.]]="Intervention",MAX(0,data[[#This Row],[Hfin corrigée]]-SUMPRODUCT((data[Date]=data[[#This Row],[Date]])*(data[Garde / Interv.]="Garde")*data[Hfin corrigée])),0)</f>
        <v>0</v>
      </c>
      <c r="U14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4" s="54">
        <f>MAX(0,IF(data[[#This Row],[Garde / Interv.]]="Intervention",(data[[#This Row],[Fin Dim ou Férié]]="non")*data[[#This Row],[JOUR2]]+(data[[#This Row],[Début Dim ou Férié]]="non")*data[[#This Row],[JOUR1]],0))</f>
        <v>7.6388888888889728E-3</v>
      </c>
      <c r="W14" s="54">
        <f>IF(data[[#This Row],[Garde / Interv.]]="Intervention",(data[[#This Row],[Fin Dim ou Férié]]="oui")*data[[#This Row],[JOUR2]]+(data[[#This Row],[Début Dim ou Férié]]="oui")*data[[#This Row],[JOUR1]],0)</f>
        <v>0</v>
      </c>
      <c r="X14" s="54">
        <f>MAX(0,IF(data[[#This Row],[Garde / Interv.]]="Intervention",data[[#This Row],[NUIT1.1]]+data[[#This Row],[NUIT1.2]]+data[[#This Row],[NUIT2.1]]+data[[#This Row],[NUIT2.2]],0))</f>
        <v>0</v>
      </c>
    </row>
    <row r="15" spans="1:31" x14ac:dyDescent="0.3">
      <c r="A15" s="111">
        <v>43116</v>
      </c>
      <c r="B15" s="78" t="str">
        <f>IF(data[[#This Row],[Hdébut garde]]&lt;&gt;"","Garde",IF(data[[#This Row],[Hdébut corrigé]]&lt;&gt;"","Intervention",""))</f>
        <v>Intervention</v>
      </c>
      <c r="C15" s="144"/>
      <c r="D15" s="70"/>
      <c r="E15" s="145"/>
      <c r="F15" s="48"/>
      <c r="G15" s="30" t="s">
        <v>2</v>
      </c>
      <c r="H15" s="51">
        <v>0.6972222222222223</v>
      </c>
      <c r="I15" s="49">
        <v>0.75694444444444453</v>
      </c>
      <c r="J15" s="52">
        <f>IF(data[[#This Row],[Hdébut garde]]&lt;&gt;"",
data[[#This Row],[Hdébut garde]],
data[[#This Row],[Hdébut interv.]]+IF(data[[#This Row],[Hdébut interv.]]&lt;SUMPRODUCT((data[Date]=data[[#This Row],[Date]])*data[Hdébut garde]),1,0)
)</f>
        <v>0.6972222222222223</v>
      </c>
      <c r="K15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0.75694444444444453</v>
      </c>
      <c r="L15" s="71" t="str">
        <f>IF(OR(WEEKDAY(data[[#This Row],[Date]],2)=7,COUNTIF(JF,data[[#This Row],[Date]])=1),"oui","non")</f>
        <v>non</v>
      </c>
      <c r="M15" s="54">
        <f>MAX(0,(MIN(1,data[[#This Row],[Hfin corrigée]])-data[[#This Row],[Hdébut corrigé]])-data[[#This Row],[NUIT1.1]]-data[[#This Row],[NUIT1.2]])</f>
        <v>5.9722222222222232E-2</v>
      </c>
      <c r="N15" s="54">
        <f>IF(data[[#This Row],[Hfin Interv.]]="",0,(
MIN(FinNuit,MIN(1,data[[#This Row],[Hfin corrigée]]))-MIN(FinNuit,data[[#This Row],[Hdébut corrigé]])
))</f>
        <v>0</v>
      </c>
      <c r="O15" s="54">
        <f>MAX(0,(MAX(0,(MIN(1,data[[#This Row],[Hfin corrigée]])-DebNuit))-MAX(0,(data[[#This Row],[Hdébut corrigé]]-DebNuit))))</f>
        <v>0</v>
      </c>
      <c r="P15" s="71" t="str">
        <f>IF(OR(WEEKDAY(data[[#This Row],[Date]]+data[[#This Row],[Hfin corrigée]],2)=7,COUNTIF(JF,INT(data[[#This Row],[Date]]+data[[#This Row],[Hfin corrigée]]))=1),"oui","non")</f>
        <v>non</v>
      </c>
      <c r="Q15" s="54">
        <f>MAX(0,data[[#This Row],[Hfin corrigée]]-MAX(1,data[[#This Row],[Hdébut corrigé]]))-data[[#This Row],[NUIT2.1]]-data[[#This Row],[NUIT2.2]]</f>
        <v>0</v>
      </c>
      <c r="R15" s="54">
        <f>MAX(0,MIN(1+FinNuit,data[[#This Row],[Hfin corrigée]])-MAX(1,data[[#This Row],[Hdébut corrigé]]))</f>
        <v>0</v>
      </c>
      <c r="S15" s="54">
        <f>MAX(0,(data[[#This Row],[Hfin corrigée]]-DebNuit-1))</f>
        <v>0</v>
      </c>
      <c r="T15" s="55">
        <f>IF(data[[#This Row],[Garde / Interv.]]="Intervention",MAX(0,data[[#This Row],[Hfin corrigée]]-SUMPRODUCT((data[Date]=data[[#This Row],[Date]])*(data[Garde / Interv.]="Garde")*data[Hfin corrigée])),0)</f>
        <v>0</v>
      </c>
      <c r="U15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5" s="54">
        <f>MAX(0,IF(data[[#This Row],[Garde / Interv.]]="Intervention",(data[[#This Row],[Fin Dim ou Férié]]="non")*data[[#This Row],[JOUR2]]+(data[[#This Row],[Début Dim ou Férié]]="non")*data[[#This Row],[JOUR1]],0))</f>
        <v>5.9722222222222232E-2</v>
      </c>
      <c r="W15" s="54">
        <f>IF(data[[#This Row],[Garde / Interv.]]="Intervention",(data[[#This Row],[Fin Dim ou Férié]]="oui")*data[[#This Row],[JOUR2]]+(data[[#This Row],[Début Dim ou Férié]]="oui")*data[[#This Row],[JOUR1]],0)</f>
        <v>0</v>
      </c>
      <c r="X15" s="54">
        <f>MAX(0,IF(data[[#This Row],[Garde / Interv.]]="Intervention",data[[#This Row],[NUIT1.1]]+data[[#This Row],[NUIT1.2]]+data[[#This Row],[NUIT2.1]]+data[[#This Row],[NUIT2.2]],0))</f>
        <v>0</v>
      </c>
    </row>
    <row r="16" spans="1:31" x14ac:dyDescent="0.3">
      <c r="A16" s="111">
        <v>43116</v>
      </c>
      <c r="B16" s="78" t="str">
        <f>IF(data[[#This Row],[Hdébut garde]]&lt;&gt;"","Garde",IF(data[[#This Row],[Hdébut corrigé]]&lt;&gt;"","Intervention",""))</f>
        <v>Intervention</v>
      </c>
      <c r="C16" s="144"/>
      <c r="D16" s="70"/>
      <c r="E16" s="145"/>
      <c r="F16" s="48"/>
      <c r="G16" s="30" t="s">
        <v>2</v>
      </c>
      <c r="H16" s="51">
        <v>0.87291666666666667</v>
      </c>
      <c r="I16" s="49">
        <v>0.91041666666666676</v>
      </c>
      <c r="J16" s="52">
        <f>IF(data[[#This Row],[Hdébut garde]]&lt;&gt;"",
data[[#This Row],[Hdébut garde]],
data[[#This Row],[Hdébut interv.]]+IF(data[[#This Row],[Hdébut interv.]]&lt;SUMPRODUCT((data[Date]=data[[#This Row],[Date]])*data[Hdébut garde]),1,0)
)</f>
        <v>0.87291666666666667</v>
      </c>
      <c r="K16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0.91041666666666676</v>
      </c>
      <c r="L16" s="71" t="str">
        <f>IF(OR(WEEKDAY(data[[#This Row],[Date]],2)=7,COUNTIF(JF,data[[#This Row],[Date]])=1),"oui","non")</f>
        <v>non</v>
      </c>
      <c r="M16" s="54">
        <f>MAX(0,(MIN(1,data[[#This Row],[Hfin corrigée]])-data[[#This Row],[Hdébut corrigé]])-data[[#This Row],[NUIT1.1]]-data[[#This Row],[NUIT1.2]])</f>
        <v>3.7500000000000089E-2</v>
      </c>
      <c r="N16" s="54">
        <f>IF(data[[#This Row],[Hfin Interv.]]="",0,(
MIN(FinNuit,MIN(1,data[[#This Row],[Hfin corrigée]]))-MIN(FinNuit,data[[#This Row],[Hdébut corrigé]])
))</f>
        <v>0</v>
      </c>
      <c r="O16" s="54">
        <f>MAX(0,(MAX(0,(MIN(1,data[[#This Row],[Hfin corrigée]])-DebNuit))-MAX(0,(data[[#This Row],[Hdébut corrigé]]-DebNuit))))</f>
        <v>0</v>
      </c>
      <c r="P16" s="71" t="str">
        <f>IF(OR(WEEKDAY(data[[#This Row],[Date]]+data[[#This Row],[Hfin corrigée]],2)=7,COUNTIF(JF,INT(data[[#This Row],[Date]]+data[[#This Row],[Hfin corrigée]]))=1),"oui","non")</f>
        <v>non</v>
      </c>
      <c r="Q16" s="54">
        <f>MAX(0,data[[#This Row],[Hfin corrigée]]-MAX(1,data[[#This Row],[Hdébut corrigé]]))-data[[#This Row],[NUIT2.1]]-data[[#This Row],[NUIT2.2]]</f>
        <v>0</v>
      </c>
      <c r="R16" s="54">
        <f>MAX(0,MIN(1+FinNuit,data[[#This Row],[Hfin corrigée]])-MAX(1,data[[#This Row],[Hdébut corrigé]]))</f>
        <v>0</v>
      </c>
      <c r="S16" s="54">
        <f>MAX(0,(data[[#This Row],[Hfin corrigée]]-DebNuit-1))</f>
        <v>0</v>
      </c>
      <c r="T16" s="55">
        <f>IF(data[[#This Row],[Garde / Interv.]]="Intervention",MAX(0,data[[#This Row],[Hfin corrigée]]-SUMPRODUCT((data[Date]=data[[#This Row],[Date]])*(data[Garde / Interv.]="Garde")*data[Hfin corrigée])),0)</f>
        <v>0</v>
      </c>
      <c r="U16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6" s="54">
        <f>MAX(0,IF(data[[#This Row],[Garde / Interv.]]="Intervention",(data[[#This Row],[Fin Dim ou Férié]]="non")*data[[#This Row],[JOUR2]]+(data[[#This Row],[Début Dim ou Férié]]="non")*data[[#This Row],[JOUR1]],0))</f>
        <v>3.7500000000000089E-2</v>
      </c>
      <c r="W16" s="54">
        <f>IF(data[[#This Row],[Garde / Interv.]]="Intervention",(data[[#This Row],[Fin Dim ou Férié]]="oui")*data[[#This Row],[JOUR2]]+(data[[#This Row],[Début Dim ou Férié]]="oui")*data[[#This Row],[JOUR1]],0)</f>
        <v>0</v>
      </c>
      <c r="X16" s="54">
        <f>MAX(0,IF(data[[#This Row],[Garde / Interv.]]="Intervention",data[[#This Row],[NUIT1.1]]+data[[#This Row],[NUIT1.2]]+data[[#This Row],[NUIT2.1]]+data[[#This Row],[NUIT2.2]],0))</f>
        <v>0</v>
      </c>
      <c r="AD16" s="177" t="s">
        <v>95</v>
      </c>
      <c r="AE16" s="177"/>
    </row>
    <row r="17" spans="1:32" x14ac:dyDescent="0.3">
      <c r="A17" s="111">
        <v>43116</v>
      </c>
      <c r="B17" s="78" t="str">
        <f>IF(data[[#This Row],[Hdébut garde]]&lt;&gt;"","Garde",IF(data[[#This Row],[Hdébut corrigé]]&lt;&gt;"","Intervention",""))</f>
        <v>Intervention</v>
      </c>
      <c r="C17" s="144"/>
      <c r="D17" s="70"/>
      <c r="E17" s="145"/>
      <c r="F17" s="48"/>
      <c r="G17" s="30" t="s">
        <v>2</v>
      </c>
      <c r="H17" s="51">
        <v>0.9194444444444444</v>
      </c>
      <c r="I17" s="49">
        <v>0.98888888888888893</v>
      </c>
      <c r="J17" s="52">
        <f>IF(data[[#This Row],[Hdébut garde]]&lt;&gt;"",
data[[#This Row],[Hdébut garde]],
data[[#This Row],[Hdébut interv.]]+IF(data[[#This Row],[Hdébut interv.]]&lt;SUMPRODUCT((data[Date]=data[[#This Row],[Date]])*data[Hdébut garde]),1,0)
)</f>
        <v>0.9194444444444444</v>
      </c>
      <c r="K17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0.98888888888888893</v>
      </c>
      <c r="L17" s="71" t="str">
        <f>IF(OR(WEEKDAY(data[[#This Row],[Date]],2)=7,COUNTIF(JF,data[[#This Row],[Date]])=1),"oui","non")</f>
        <v>non</v>
      </c>
      <c r="M17" s="54">
        <f>MAX(0,(MIN(1,data[[#This Row],[Hfin corrigée]])-data[[#This Row],[Hdébut corrigé]])-data[[#This Row],[NUIT1.1]]-data[[#This Row],[NUIT1.2]])</f>
        <v>0</v>
      </c>
      <c r="N17" s="54">
        <f>IF(data[[#This Row],[Hfin Interv.]]="",0,(
MIN(FinNuit,MIN(1,data[[#This Row],[Hfin corrigée]]))-MIN(FinNuit,data[[#This Row],[Hdébut corrigé]])
))</f>
        <v>0</v>
      </c>
      <c r="O17" s="54">
        <f>MAX(0,(MAX(0,(MIN(1,data[[#This Row],[Hfin corrigée]])-DebNuit))-MAX(0,(data[[#This Row],[Hdébut corrigé]]-DebNuit))))</f>
        <v>6.9444444444444531E-2</v>
      </c>
      <c r="P17" s="71" t="str">
        <f>IF(OR(WEEKDAY(data[[#This Row],[Date]]+data[[#This Row],[Hfin corrigée]],2)=7,COUNTIF(JF,INT(data[[#This Row],[Date]]+data[[#This Row],[Hfin corrigée]]))=1),"oui","non")</f>
        <v>non</v>
      </c>
      <c r="Q17" s="54">
        <f>MAX(0,data[[#This Row],[Hfin corrigée]]-MAX(1,data[[#This Row],[Hdébut corrigé]]))-data[[#This Row],[NUIT2.1]]-data[[#This Row],[NUIT2.2]]</f>
        <v>0</v>
      </c>
      <c r="R17" s="54">
        <f>MAX(0,MIN(1+FinNuit,data[[#This Row],[Hfin corrigée]])-MAX(1,data[[#This Row],[Hdébut corrigé]]))</f>
        <v>0</v>
      </c>
      <c r="S17" s="54">
        <f>MAX(0,(data[[#This Row],[Hfin corrigée]]-DebNuit-1))</f>
        <v>0</v>
      </c>
      <c r="T17" s="55">
        <f>IF(data[[#This Row],[Garde / Interv.]]="Intervention",MAX(0,data[[#This Row],[Hfin corrigée]]-SUMPRODUCT((data[Date]=data[[#This Row],[Date]])*(data[Garde / Interv.]="Garde")*data[Hfin corrigée])),0)</f>
        <v>0</v>
      </c>
      <c r="U17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7" s="54">
        <f>MAX(0,IF(data[[#This Row],[Garde / Interv.]]="Intervention",(data[[#This Row],[Fin Dim ou Férié]]="non")*data[[#This Row],[JOUR2]]+(data[[#This Row],[Début Dim ou Férié]]="non")*data[[#This Row],[JOUR1]],0))</f>
        <v>0</v>
      </c>
      <c r="W17" s="54">
        <f>IF(data[[#This Row],[Garde / Interv.]]="Intervention",(data[[#This Row],[Fin Dim ou Férié]]="oui")*data[[#This Row],[JOUR2]]+(data[[#This Row],[Début Dim ou Férié]]="oui")*data[[#This Row],[JOUR1]],0)</f>
        <v>0</v>
      </c>
      <c r="X17" s="54">
        <f>MAX(0,IF(data[[#This Row],[Garde / Interv.]]="Intervention",data[[#This Row],[NUIT1.1]]+data[[#This Row],[NUIT1.2]]+data[[#This Row],[NUIT2.1]]+data[[#This Row],[NUIT2.2]],0))</f>
        <v>6.9444444444444531E-2</v>
      </c>
      <c r="AD17" s="56" t="s">
        <v>98</v>
      </c>
      <c r="AE17" s="56" t="s">
        <v>97</v>
      </c>
    </row>
    <row r="18" spans="1:32" x14ac:dyDescent="0.3">
      <c r="A18" s="112">
        <v>43182</v>
      </c>
      <c r="B18" s="101" t="str">
        <f>IF(data[[#This Row],[Hdébut garde]]&lt;&gt;"","Garde",IF(data[[#This Row],[Hdébut corrigé]]&lt;&gt;"","Intervention",""))</f>
        <v>Garde</v>
      </c>
      <c r="C18" s="146">
        <v>0.33333333333333331</v>
      </c>
      <c r="D18" s="102">
        <v>0.39374999999999999</v>
      </c>
      <c r="E18" s="147" t="s">
        <v>87</v>
      </c>
      <c r="F18" s="103"/>
      <c r="G18" s="104"/>
      <c r="H18" s="105"/>
      <c r="I18" s="106"/>
      <c r="J18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1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1.39375</v>
      </c>
      <c r="L18" s="66" t="str">
        <f>IF(OR(WEEKDAY(data[[#This Row],[Date]],2)=7,COUNTIF(JF,data[[#This Row],[Date]])=1),"oui","non")</f>
        <v>non</v>
      </c>
      <c r="M18" s="67">
        <f>MAX(0,(MIN(1,data[[#This Row],[Hfin corrigée]])-data[[#This Row],[Hdébut corrigé]])-data[[#This Row],[NUIT1.1]]-data[[#This Row],[NUIT1.2]])</f>
        <v>0.58333333333333337</v>
      </c>
      <c r="N18" s="67">
        <f>IF(data[[#This Row],[Hfin Interv.]]="",0,(
MIN(FinNuit,MIN(1,data[[#This Row],[Hfin corrigée]]))-MIN(FinNuit,data[[#This Row],[Hdébut corrigé]])
))</f>
        <v>0</v>
      </c>
      <c r="O18" s="67">
        <f>MAX(0,(MAX(0,(MIN(1,data[[#This Row],[Hfin corrigée]])-DebNuit))-MAX(0,(data[[#This Row],[Hdébut corrigé]]-DebNuit))))</f>
        <v>8.333333333333337E-2</v>
      </c>
      <c r="P18" s="66" t="str">
        <f>IF(OR(WEEKDAY(data[[#This Row],[Date]]+data[[#This Row],[Hfin corrigée]],2)=7,COUNTIF(JF,INT(data[[#This Row],[Date]]+data[[#This Row],[Hfin corrigée]]))=1),"oui","non")</f>
        <v>non</v>
      </c>
      <c r="Q18" s="67">
        <f>MAX(0,data[[#This Row],[Hfin corrigée]]-MAX(1,data[[#This Row],[Hdébut corrigé]]))-data[[#This Row],[NUIT2.1]]-data[[#This Row],[NUIT2.2]]</f>
        <v>0.1020833333333333</v>
      </c>
      <c r="R18" s="67">
        <f>MAX(0,MIN(1+FinNuit,data[[#This Row],[Hfin corrigée]])-MAX(1,data[[#This Row],[Hdébut corrigé]]))</f>
        <v>0.29166666666666674</v>
      </c>
      <c r="S18" s="67">
        <f>MAX(0,(data[[#This Row],[Hfin corrigée]]-DebNuit-1))</f>
        <v>0</v>
      </c>
      <c r="T18" s="68">
        <f>IF(data[[#This Row],[Garde / Interv.]]="Intervention",MAX(0,data[[#This Row],[Hfin corrigée]]-SUMPRODUCT((data[Date]=data[[#This Row],[Date]])*(data[Garde / Interv.]="Garde")*data[Hfin corrigée])),0)</f>
        <v>0</v>
      </c>
      <c r="U18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0.7937500000000004</v>
      </c>
      <c r="V18" s="67">
        <f>MAX(0,IF(data[[#This Row],[Garde / Interv.]]="Intervention",(data[[#This Row],[Fin Dim ou Férié]]="non")*data[[#This Row],[JOUR2]]+(data[[#This Row],[Début Dim ou Férié]]="non")*data[[#This Row],[JOUR1]],0))</f>
        <v>0</v>
      </c>
      <c r="W18" s="67">
        <f>IF(data[[#This Row],[Garde / Interv.]]="Intervention",(data[[#This Row],[Fin Dim ou Férié]]="oui")*data[[#This Row],[JOUR2]]+(data[[#This Row],[Début Dim ou Férié]]="oui")*data[[#This Row],[JOUR1]],0)</f>
        <v>0</v>
      </c>
      <c r="X18" s="67">
        <f>MAX(0,IF(data[[#This Row],[Garde / Interv.]]="Intervention",data[[#This Row],[NUIT1.1]]+data[[#This Row],[NUIT1.2]]+data[[#This Row],[NUIT2.1]]+data[[#This Row],[NUIT2.2]],0))</f>
        <v>0</v>
      </c>
      <c r="Z18" s="154" t="s">
        <v>89</v>
      </c>
      <c r="AA18" s="155"/>
      <c r="AB18" s="155" t="s">
        <v>92</v>
      </c>
      <c r="AC18" s="156"/>
      <c r="AD18" s="160"/>
      <c r="AE18" s="155" t="s">
        <v>96</v>
      </c>
      <c r="AF18" s="161" t="s">
        <v>99</v>
      </c>
    </row>
    <row r="19" spans="1:32" x14ac:dyDescent="0.3">
      <c r="A19" s="112">
        <v>43182</v>
      </c>
      <c r="B19" s="101" t="str">
        <f>IF(data[[#This Row],[Hdébut garde]]&lt;&gt;"","Garde",IF(data[[#This Row],[Hdébut corrigé]]&lt;&gt;"","Intervention",""))</f>
        <v>Intervention</v>
      </c>
      <c r="C19" s="146"/>
      <c r="D19" s="102"/>
      <c r="E19" s="147"/>
      <c r="F19" s="103"/>
      <c r="G19" s="30" t="s">
        <v>2</v>
      </c>
      <c r="H19" s="105">
        <v>0.47916666666666669</v>
      </c>
      <c r="I19" s="106">
        <v>0.54375000000000007</v>
      </c>
      <c r="J19" s="65">
        <f>IF(data[[#This Row],[Hdébut garde]]&lt;&gt;"",
data[[#This Row],[Hdébut garde]],
data[[#This Row],[Hdébut interv.]]+IF(data[[#This Row],[Hdébut interv.]]&lt;SUMPRODUCT((data[Date]=data[[#This Row],[Date]])*data[Hdébut garde]),1,0)
)</f>
        <v>0.47916666666666669</v>
      </c>
      <c r="K1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0.54375000000000007</v>
      </c>
      <c r="L19" s="66" t="str">
        <f>IF(OR(WEEKDAY(data[[#This Row],[Date]],2)=7,COUNTIF(JF,data[[#This Row],[Date]])=1),"oui","non")</f>
        <v>non</v>
      </c>
      <c r="M19" s="67">
        <f>MAX(0,(MIN(1,data[[#This Row],[Hfin corrigée]])-data[[#This Row],[Hdébut corrigé]])-data[[#This Row],[NUIT1.1]]-data[[#This Row],[NUIT1.2]])</f>
        <v>6.4583333333333381E-2</v>
      </c>
      <c r="N19" s="67">
        <f>IF(data[[#This Row],[Hfin Interv.]]="",0,(
MIN(FinNuit,MIN(1,data[[#This Row],[Hfin corrigée]]))-MIN(FinNuit,data[[#This Row],[Hdébut corrigé]])
))</f>
        <v>0</v>
      </c>
      <c r="O19" s="67">
        <f>MAX(0,(MAX(0,(MIN(1,data[[#This Row],[Hfin corrigée]])-DebNuit))-MAX(0,(data[[#This Row],[Hdébut corrigé]]-DebNuit))))</f>
        <v>0</v>
      </c>
      <c r="P19" s="66" t="str">
        <f>IF(OR(WEEKDAY(data[[#This Row],[Date]]+data[[#This Row],[Hfin corrigée]],2)=7,COUNTIF(JF,INT(data[[#This Row],[Date]]+data[[#This Row],[Hfin corrigée]]))=1),"oui","non")</f>
        <v>non</v>
      </c>
      <c r="Q19" s="67">
        <f>MAX(0,data[[#This Row],[Hfin corrigée]]-MAX(1,data[[#This Row],[Hdébut corrigé]]))-data[[#This Row],[NUIT2.1]]-data[[#This Row],[NUIT2.2]]</f>
        <v>0</v>
      </c>
      <c r="R19" s="67">
        <f>MAX(0,MIN(1+FinNuit,data[[#This Row],[Hfin corrigée]])-MAX(1,data[[#This Row],[Hdébut corrigé]]))</f>
        <v>0</v>
      </c>
      <c r="S19" s="67">
        <f>MAX(0,(data[[#This Row],[Hfin corrigée]]-DebNuit-1))</f>
        <v>0</v>
      </c>
      <c r="T19" s="68">
        <f>IF(data[[#This Row],[Garde / Interv.]]="Intervention",MAX(0,data[[#This Row],[Hfin corrigée]]-SUMPRODUCT((data[Date]=data[[#This Row],[Date]])*(data[Garde / Interv.]="Garde")*data[Hfin corrigée])),0)</f>
        <v>0</v>
      </c>
      <c r="U19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9" s="67">
        <f>MAX(0,IF(data[[#This Row],[Garde / Interv.]]="Intervention",(data[[#This Row],[Fin Dim ou Férié]]="non")*data[[#This Row],[JOUR2]]+(data[[#This Row],[Début Dim ou Férié]]="non")*data[[#This Row],[JOUR1]],0))</f>
        <v>6.4583333333333381E-2</v>
      </c>
      <c r="W19" s="67">
        <f>IF(data[[#This Row],[Garde / Interv.]]="Intervention",(data[[#This Row],[Fin Dim ou Férié]]="oui")*data[[#This Row],[JOUR2]]+(data[[#This Row],[Début Dim ou Férié]]="oui")*data[[#This Row],[JOUR1]],0)</f>
        <v>0</v>
      </c>
      <c r="X19" s="67">
        <f>MAX(0,IF(data[[#This Row],[Garde / Interv.]]="Intervention",data[[#This Row],[NUIT1.1]]+data[[#This Row],[NUIT1.2]]+data[[#This Row],[NUIT2.1]]+data[[#This Row],[NUIT2.2]],0))</f>
        <v>0</v>
      </c>
      <c r="Z19" s="157" t="s">
        <v>90</v>
      </c>
      <c r="AA19" s="152">
        <v>1</v>
      </c>
      <c r="AB19" s="86">
        <f>SUM(V19:X25)</f>
        <v>0.26666666666666644</v>
      </c>
      <c r="AC19" s="158">
        <f>AA19-AB19</f>
        <v>0.73333333333333361</v>
      </c>
      <c r="AD19" s="162">
        <f>SUM(V19:X24)+AE19</f>
        <v>0.20624999999999979</v>
      </c>
      <c r="AE19" s="86">
        <v>9.0277777777777787E-3</v>
      </c>
      <c r="AF19" s="163">
        <v>6.0416666666666667E-2</v>
      </c>
    </row>
    <row r="20" spans="1:32" x14ac:dyDescent="0.3">
      <c r="A20" s="112">
        <v>43182</v>
      </c>
      <c r="B20" s="101" t="str">
        <f>IF(data[[#This Row],[Hdébut garde]]&lt;&gt;"","Garde",IF(data[[#This Row],[Hdébut corrigé]]&lt;&gt;"","Intervention",""))</f>
        <v>Intervention</v>
      </c>
      <c r="C20" s="146"/>
      <c r="D20" s="102"/>
      <c r="E20" s="147"/>
      <c r="F20" s="103"/>
      <c r="G20" s="30" t="s">
        <v>2</v>
      </c>
      <c r="H20" s="105">
        <v>0.7416666666666667</v>
      </c>
      <c r="I20" s="106">
        <v>0.74583333333333324</v>
      </c>
      <c r="J20" s="65">
        <f>IF(data[[#This Row],[Hdébut garde]]&lt;&gt;"",
data[[#This Row],[Hdébut garde]],
data[[#This Row],[Hdébut interv.]]+IF(data[[#This Row],[Hdébut interv.]]&lt;SUMPRODUCT((data[Date]=data[[#This Row],[Date]])*data[Hdébut garde]),1,0)
)</f>
        <v>0.7416666666666667</v>
      </c>
      <c r="K2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0.74583333333333324</v>
      </c>
      <c r="L20" s="66" t="str">
        <f>IF(OR(WEEKDAY(data[[#This Row],[Date]],2)=7,COUNTIF(JF,data[[#This Row],[Date]])=1),"oui","non")</f>
        <v>non</v>
      </c>
      <c r="M20" s="67">
        <f>MAX(0,(MIN(1,data[[#This Row],[Hfin corrigée]])-data[[#This Row],[Hdébut corrigé]])-data[[#This Row],[NUIT1.1]]-data[[#This Row],[NUIT1.2]])</f>
        <v>4.1666666666665408E-3</v>
      </c>
      <c r="N20" s="67">
        <f>IF(data[[#This Row],[Hfin Interv.]]="",0,(
MIN(FinNuit,MIN(1,data[[#This Row],[Hfin corrigée]]))-MIN(FinNuit,data[[#This Row],[Hdébut corrigé]])
))</f>
        <v>0</v>
      </c>
      <c r="O20" s="67">
        <f>MAX(0,(MAX(0,(MIN(1,data[[#This Row],[Hfin corrigée]])-DebNuit))-MAX(0,(data[[#This Row],[Hdébut corrigé]]-DebNuit))))</f>
        <v>0</v>
      </c>
      <c r="P20" s="66" t="str">
        <f>IF(OR(WEEKDAY(data[[#This Row],[Date]]+data[[#This Row],[Hfin corrigée]],2)=7,COUNTIF(JF,INT(data[[#This Row],[Date]]+data[[#This Row],[Hfin corrigée]]))=1),"oui","non")</f>
        <v>non</v>
      </c>
      <c r="Q20" s="67">
        <f>MAX(0,data[[#This Row],[Hfin corrigée]]-MAX(1,data[[#This Row],[Hdébut corrigé]]))-data[[#This Row],[NUIT2.1]]-data[[#This Row],[NUIT2.2]]</f>
        <v>0</v>
      </c>
      <c r="R20" s="67">
        <f>MAX(0,MIN(1+FinNuit,data[[#This Row],[Hfin corrigée]])-MAX(1,data[[#This Row],[Hdébut corrigé]]))</f>
        <v>0</v>
      </c>
      <c r="S20" s="67">
        <f>MAX(0,(data[[#This Row],[Hfin corrigée]]-DebNuit-1))</f>
        <v>0</v>
      </c>
      <c r="T20" s="68">
        <f>IF(data[[#This Row],[Garde / Interv.]]="Intervention",MAX(0,data[[#This Row],[Hfin corrigée]]-SUMPRODUCT((data[Date]=data[[#This Row],[Date]])*(data[Garde / Interv.]="Garde")*data[Hfin corrigée])),0)</f>
        <v>0</v>
      </c>
      <c r="U20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0" s="67">
        <f>MAX(0,IF(data[[#This Row],[Garde / Interv.]]="Intervention",(data[[#This Row],[Fin Dim ou Férié]]="non")*data[[#This Row],[JOUR2]]+(data[[#This Row],[Début Dim ou Férié]]="non")*data[[#This Row],[JOUR1]],0))</f>
        <v>4.1666666666665408E-3</v>
      </c>
      <c r="W20" s="67">
        <f>IF(data[[#This Row],[Garde / Interv.]]="Intervention",(data[[#This Row],[Fin Dim ou Férié]]="oui")*data[[#This Row],[JOUR2]]+(data[[#This Row],[Début Dim ou Férié]]="oui")*data[[#This Row],[JOUR1]],0)</f>
        <v>0</v>
      </c>
      <c r="X20" s="67">
        <f>MAX(0,IF(data[[#This Row],[Garde / Interv.]]="Intervention",data[[#This Row],[NUIT1.1]]+data[[#This Row],[NUIT1.2]]+data[[#This Row],[NUIT2.1]]+data[[#This Row],[NUIT2.2]],0))</f>
        <v>0</v>
      </c>
      <c r="Z20" s="157" t="s">
        <v>91</v>
      </c>
      <c r="AA20" s="153">
        <v>0.83333333333333337</v>
      </c>
      <c r="AB20" s="86">
        <f>SUM(V27:V33)</f>
        <v>0.33611111111111108</v>
      </c>
      <c r="AC20" s="158">
        <f>AA20-AB20</f>
        <v>0.49722222222222229</v>
      </c>
      <c r="AD20" s="162">
        <f>SUM(V27:V33)</f>
        <v>0.33611111111111108</v>
      </c>
      <c r="AF20" s="164"/>
    </row>
    <row r="21" spans="1:32" x14ac:dyDescent="0.3">
      <c r="A21" s="112">
        <v>43182</v>
      </c>
      <c r="B21" s="101" t="str">
        <f>IF(data[[#This Row],[Hdébut garde]]&lt;&gt;"","Garde",IF(data[[#This Row],[Hdébut corrigé]]&lt;&gt;"","Intervention",""))</f>
        <v>Intervention</v>
      </c>
      <c r="C21" s="146"/>
      <c r="D21" s="102"/>
      <c r="E21" s="147"/>
      <c r="F21" s="103"/>
      <c r="G21" s="30" t="s">
        <v>2</v>
      </c>
      <c r="H21" s="105">
        <v>0.74652777777777779</v>
      </c>
      <c r="I21" s="106">
        <v>0.80208333333333337</v>
      </c>
      <c r="J21" s="65">
        <f>IF(data[[#This Row],[Hdébut garde]]&lt;&gt;"",
data[[#This Row],[Hdébut garde]],
data[[#This Row],[Hdébut interv.]]+IF(data[[#This Row],[Hdébut interv.]]&lt;SUMPRODUCT((data[Date]=data[[#This Row],[Date]])*data[Hdébut garde]),1,0)
)</f>
        <v>0.74652777777777779</v>
      </c>
      <c r="K21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0.80208333333333337</v>
      </c>
      <c r="L21" s="66" t="str">
        <f>IF(OR(WEEKDAY(data[[#This Row],[Date]],2)=7,COUNTIF(JF,data[[#This Row],[Date]])=1),"oui","non")</f>
        <v>non</v>
      </c>
      <c r="M21" s="67">
        <f>MAX(0,(MIN(1,data[[#This Row],[Hfin corrigée]])-data[[#This Row],[Hdébut corrigé]])-data[[#This Row],[NUIT1.1]]-data[[#This Row],[NUIT1.2]])</f>
        <v>5.555555555555558E-2</v>
      </c>
      <c r="N21" s="67">
        <f>IF(data[[#This Row],[Hfin Interv.]]="",0,(
MIN(FinNuit,MIN(1,data[[#This Row],[Hfin corrigée]]))-MIN(FinNuit,data[[#This Row],[Hdébut corrigé]])
))</f>
        <v>0</v>
      </c>
      <c r="O21" s="67">
        <f>MAX(0,(MAX(0,(MIN(1,data[[#This Row],[Hfin corrigée]])-DebNuit))-MAX(0,(data[[#This Row],[Hdébut corrigé]]-DebNuit))))</f>
        <v>0</v>
      </c>
      <c r="P21" s="66" t="str">
        <f>IF(OR(WEEKDAY(data[[#This Row],[Date]]+data[[#This Row],[Hfin corrigée]],2)=7,COUNTIF(JF,INT(data[[#This Row],[Date]]+data[[#This Row],[Hfin corrigée]]))=1),"oui","non")</f>
        <v>non</v>
      </c>
      <c r="Q21" s="67">
        <f>MAX(0,data[[#This Row],[Hfin corrigée]]-MAX(1,data[[#This Row],[Hdébut corrigé]]))-data[[#This Row],[NUIT2.1]]-data[[#This Row],[NUIT2.2]]</f>
        <v>0</v>
      </c>
      <c r="R21" s="67">
        <f>MAX(0,MIN(1+FinNuit,data[[#This Row],[Hfin corrigée]])-MAX(1,data[[#This Row],[Hdébut corrigé]]))</f>
        <v>0</v>
      </c>
      <c r="S21" s="67">
        <f>MAX(0,(data[[#This Row],[Hfin corrigée]]-DebNuit-1))</f>
        <v>0</v>
      </c>
      <c r="T21" s="68">
        <f>IF(data[[#This Row],[Garde / Interv.]]="Intervention",MAX(0,data[[#This Row],[Hfin corrigée]]-SUMPRODUCT((data[Date]=data[[#This Row],[Date]])*(data[Garde / Interv.]="Garde")*data[Hfin corrigée])),0)</f>
        <v>0</v>
      </c>
      <c r="U21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1" s="67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W21" s="67">
        <f>IF(data[[#This Row],[Garde / Interv.]]="Intervention",(data[[#This Row],[Fin Dim ou Férié]]="oui")*data[[#This Row],[JOUR2]]+(data[[#This Row],[Début Dim ou Férié]]="oui")*data[[#This Row],[JOUR1]],0)</f>
        <v>0</v>
      </c>
      <c r="X21" s="67">
        <f>MAX(0,IF(data[[#This Row],[Garde / Interv.]]="Intervention",data[[#This Row],[NUIT1.1]]+data[[#This Row],[NUIT1.2]]+data[[#This Row],[NUIT2.1]]+data[[#This Row],[NUIT2.2]],0))</f>
        <v>0</v>
      </c>
      <c r="Z21" s="157" t="s">
        <v>93</v>
      </c>
      <c r="AA21" s="152">
        <f>SUM(AA19:AA20)</f>
        <v>1.8333333333333335</v>
      </c>
      <c r="AB21" s="152">
        <f>SUM(AB19:AB20)</f>
        <v>0.60277777777777752</v>
      </c>
      <c r="AC21" s="159">
        <f>AA21-AB21</f>
        <v>1.2305555555555561</v>
      </c>
      <c r="AD21" s="169">
        <f>SUM(AD19:AD20)</f>
        <v>0.54236111111111085</v>
      </c>
      <c r="AE21" s="152">
        <f>AA21-AD21</f>
        <v>1.2909722222222226</v>
      </c>
      <c r="AF21" s="164"/>
    </row>
    <row r="22" spans="1:32" x14ac:dyDescent="0.3">
      <c r="A22" s="112">
        <v>43182</v>
      </c>
      <c r="B22" s="101" t="str">
        <f>IF(data[[#This Row],[Hdébut garde]]&lt;&gt;"","Garde",IF(data[[#This Row],[Hdébut corrigé]]&lt;&gt;"","Intervention",""))</f>
        <v>Intervention</v>
      </c>
      <c r="C22" s="146"/>
      <c r="D22" s="102"/>
      <c r="E22" s="147"/>
      <c r="F22" s="103"/>
      <c r="G22" s="30" t="s">
        <v>2</v>
      </c>
      <c r="H22" s="105">
        <v>0.84513888888888899</v>
      </c>
      <c r="I22" s="106">
        <v>0.84722222222222221</v>
      </c>
      <c r="J22" s="65">
        <f>IF(data[[#This Row],[Hdébut garde]]&lt;&gt;"",
data[[#This Row],[Hdébut garde]],
data[[#This Row],[Hdébut interv.]]+IF(data[[#This Row],[Hdébut interv.]]&lt;SUMPRODUCT((data[Date]=data[[#This Row],[Date]])*data[Hdébut garde]),1,0)
)</f>
        <v>0.84513888888888899</v>
      </c>
      <c r="K22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0.84722222222222221</v>
      </c>
      <c r="L22" s="66" t="str">
        <f>IF(OR(WEEKDAY(data[[#This Row],[Date]],2)=7,COUNTIF(JF,data[[#This Row],[Date]])=1),"oui","non")</f>
        <v>non</v>
      </c>
      <c r="M22" s="67">
        <f>MAX(0,(MIN(1,data[[#This Row],[Hfin corrigée]])-data[[#This Row],[Hdébut corrigé]])-data[[#This Row],[NUIT1.1]]-data[[#This Row],[NUIT1.2]])</f>
        <v>2.0833333333332149E-3</v>
      </c>
      <c r="N22" s="67">
        <f>IF(data[[#This Row],[Hfin Interv.]]="",0,(
MIN(FinNuit,MIN(1,data[[#This Row],[Hfin corrigée]]))-MIN(FinNuit,data[[#This Row],[Hdébut corrigé]])
))</f>
        <v>0</v>
      </c>
      <c r="O22" s="67">
        <f>MAX(0,(MAX(0,(MIN(1,data[[#This Row],[Hfin corrigée]])-DebNuit))-MAX(0,(data[[#This Row],[Hdébut corrigé]]-DebNuit))))</f>
        <v>0</v>
      </c>
      <c r="P22" s="66" t="str">
        <f>IF(OR(WEEKDAY(data[[#This Row],[Date]]+data[[#This Row],[Hfin corrigée]],2)=7,COUNTIF(JF,INT(data[[#This Row],[Date]]+data[[#This Row],[Hfin corrigée]]))=1),"oui","non")</f>
        <v>non</v>
      </c>
      <c r="Q22" s="67">
        <f>MAX(0,data[[#This Row],[Hfin corrigée]]-MAX(1,data[[#This Row],[Hdébut corrigé]]))-data[[#This Row],[NUIT2.1]]-data[[#This Row],[NUIT2.2]]</f>
        <v>0</v>
      </c>
      <c r="R22" s="67">
        <f>MAX(0,MIN(1+FinNuit,data[[#This Row],[Hfin corrigée]])-MAX(1,data[[#This Row],[Hdébut corrigé]]))</f>
        <v>0</v>
      </c>
      <c r="S22" s="67">
        <f>MAX(0,(data[[#This Row],[Hfin corrigée]]-DebNuit-1))</f>
        <v>0</v>
      </c>
      <c r="T22" s="68">
        <f>IF(data[[#This Row],[Garde / Interv.]]="Intervention",MAX(0,data[[#This Row],[Hfin corrigée]]-SUMPRODUCT((data[Date]=data[[#This Row],[Date]])*(data[Garde / Interv.]="Garde")*data[Hfin corrigée])),0)</f>
        <v>0</v>
      </c>
      <c r="U22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2" s="67">
        <f>MAX(0,IF(data[[#This Row],[Garde / Interv.]]="Intervention",(data[[#This Row],[Fin Dim ou Férié]]="non")*data[[#This Row],[JOUR2]]+(data[[#This Row],[Début Dim ou Férié]]="non")*data[[#This Row],[JOUR1]],0))</f>
        <v>2.0833333333332149E-3</v>
      </c>
      <c r="W22" s="67">
        <f>IF(data[[#This Row],[Garde / Interv.]]="Intervention",(data[[#This Row],[Fin Dim ou Férié]]="oui")*data[[#This Row],[JOUR2]]+(data[[#This Row],[Début Dim ou Férié]]="oui")*data[[#This Row],[JOUR1]],0)</f>
        <v>0</v>
      </c>
      <c r="X22" s="67">
        <f>MAX(0,IF(data[[#This Row],[Garde / Interv.]]="Intervention",data[[#This Row],[NUIT1.1]]+data[[#This Row],[NUIT1.2]]+data[[#This Row],[NUIT2.1]]+data[[#This Row],[NUIT2.2]],0))</f>
        <v>0</v>
      </c>
      <c r="Z22" s="174" t="s">
        <v>94</v>
      </c>
      <c r="AA22" s="175"/>
      <c r="AB22" s="175"/>
      <c r="AC22" s="176"/>
      <c r="AD22" s="165"/>
      <c r="AE22" s="166"/>
      <c r="AF22" s="167"/>
    </row>
    <row r="23" spans="1:32" x14ac:dyDescent="0.3">
      <c r="A23" s="112">
        <v>43182</v>
      </c>
      <c r="B23" s="101" t="str">
        <f>IF(data[[#This Row],[Hdébut garde]]&lt;&gt;"","Garde",IF(data[[#This Row],[Hdébut corrigé]]&lt;&gt;"","Intervention",""))</f>
        <v>Intervention</v>
      </c>
      <c r="C23" s="146"/>
      <c r="D23" s="102"/>
      <c r="E23" s="147"/>
      <c r="F23" s="103"/>
      <c r="G23" s="30" t="s">
        <v>2</v>
      </c>
      <c r="H23" s="105">
        <v>0.98819444444444438</v>
      </c>
      <c r="I23" s="106">
        <v>8.3333333333333332E-3</v>
      </c>
      <c r="J23" s="65">
        <f>IF(data[[#This Row],[Hdébut garde]]&lt;&gt;"",
data[[#This Row],[Hdébut garde]],
data[[#This Row],[Hdébut interv.]]+IF(data[[#This Row],[Hdébut interv.]]&lt;SUMPRODUCT((data[Date]=data[[#This Row],[Date]])*data[Hdébut garde]),1,0)
)</f>
        <v>0.98819444444444438</v>
      </c>
      <c r="K23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1.0083333333333333</v>
      </c>
      <c r="L23" s="66" t="str">
        <f>IF(OR(WEEKDAY(data[[#This Row],[Date]],2)=7,COUNTIF(JF,data[[#This Row],[Date]])=1),"oui","non")</f>
        <v>non</v>
      </c>
      <c r="M23" s="67">
        <f>MAX(0,(MIN(1,data[[#This Row],[Hfin corrigée]])-data[[#This Row],[Hdébut corrigé]])-data[[#This Row],[NUIT1.1]]-data[[#This Row],[NUIT1.2]])</f>
        <v>0</v>
      </c>
      <c r="N23" s="67">
        <f>IF(data[[#This Row],[Hfin Interv.]]="",0,(
MIN(FinNuit,MIN(1,data[[#This Row],[Hfin corrigée]]))-MIN(FinNuit,data[[#This Row],[Hdébut corrigé]])
))</f>
        <v>0</v>
      </c>
      <c r="O23" s="67">
        <f>MAX(0,(MAX(0,(MIN(1,data[[#This Row],[Hfin corrigée]])-DebNuit))-MAX(0,(data[[#This Row],[Hdébut corrigé]]-DebNuit))))</f>
        <v>1.1805555555555625E-2</v>
      </c>
      <c r="P23" s="66" t="str">
        <f>IF(OR(WEEKDAY(data[[#This Row],[Date]]+data[[#This Row],[Hfin corrigée]],2)=7,COUNTIF(JF,INT(data[[#This Row],[Date]]+data[[#This Row],[Hfin corrigée]]))=1),"oui","non")</f>
        <v>non</v>
      </c>
      <c r="Q23" s="67">
        <f>MAX(0,data[[#This Row],[Hfin corrigée]]-MAX(1,data[[#This Row],[Hdébut corrigé]]))-data[[#This Row],[NUIT2.1]]-data[[#This Row],[NUIT2.2]]</f>
        <v>0</v>
      </c>
      <c r="R23" s="67">
        <f>MAX(0,MIN(1+FinNuit,data[[#This Row],[Hfin corrigée]])-MAX(1,data[[#This Row],[Hdébut corrigé]]))</f>
        <v>8.3333333333333037E-3</v>
      </c>
      <c r="S23" s="67">
        <f>MAX(0,(data[[#This Row],[Hfin corrigée]]-DebNuit-1))</f>
        <v>0</v>
      </c>
      <c r="T23" s="68">
        <f>IF(data[[#This Row],[Garde / Interv.]]="Intervention",MAX(0,data[[#This Row],[Hfin corrigée]]-SUMPRODUCT((data[Date]=data[[#This Row],[Date]])*(data[Garde / Interv.]="Garde")*data[Hfin corrigée])),0)</f>
        <v>0</v>
      </c>
      <c r="U23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3" s="67">
        <f>MAX(0,IF(data[[#This Row],[Garde / Interv.]]="Intervention",(data[[#This Row],[Fin Dim ou Férié]]="non")*data[[#This Row],[JOUR2]]+(data[[#This Row],[Début Dim ou Férié]]="non")*data[[#This Row],[JOUR1]],0))</f>
        <v>0</v>
      </c>
      <c r="W23" s="67">
        <f>IF(data[[#This Row],[Garde / Interv.]]="Intervention",(data[[#This Row],[Fin Dim ou Férié]]="oui")*data[[#This Row],[JOUR2]]+(data[[#This Row],[Début Dim ou Férié]]="oui")*data[[#This Row],[JOUR1]],0)</f>
        <v>0</v>
      </c>
      <c r="X23" s="67">
        <f>MAX(0,IF(data[[#This Row],[Garde / Interv.]]="Intervention",data[[#This Row],[NUIT1.1]]+data[[#This Row],[NUIT1.2]]+data[[#This Row],[NUIT2.1]]+data[[#This Row],[NUIT2.2]],0))</f>
        <v>2.0138888888888928E-2</v>
      </c>
    </row>
    <row r="24" spans="1:32" x14ac:dyDescent="0.3">
      <c r="A24" s="112">
        <v>43182</v>
      </c>
      <c r="B24" s="101" t="str">
        <f>IF(data[[#This Row],[Hdébut garde]]&lt;&gt;"","Garde",IF(data[[#This Row],[Hdébut corrigé]]&lt;&gt;"","Intervention",""))</f>
        <v>Intervention</v>
      </c>
      <c r="C24" s="146"/>
      <c r="D24" s="102"/>
      <c r="E24" s="147"/>
      <c r="F24" s="103"/>
      <c r="G24" s="30" t="s">
        <v>2</v>
      </c>
      <c r="H24" s="105">
        <v>8.3333333333333332E-3</v>
      </c>
      <c r="I24" s="106">
        <v>5.9027777777777783E-2</v>
      </c>
      <c r="J24" s="65">
        <f>IF(data[[#This Row],[Hdébut garde]]&lt;&gt;"",
data[[#This Row],[Hdébut garde]],
data[[#This Row],[Hdébut interv.]]+IF(data[[#This Row],[Hdébut interv.]]&lt;SUMPRODUCT((data[Date]=data[[#This Row],[Date]])*data[Hdébut garde]),1,0)
)</f>
        <v>1.0083333333333333</v>
      </c>
      <c r="K24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1.0590277777777777</v>
      </c>
      <c r="L24" s="66" t="str">
        <f>IF(OR(WEEKDAY(data[[#This Row],[Date]],2)=7,COUNTIF(JF,data[[#This Row],[Date]])=1),"oui","non")</f>
        <v>non</v>
      </c>
      <c r="M24" s="67">
        <f>MAX(0,(MIN(1,data[[#This Row],[Hfin corrigée]])-data[[#This Row],[Hdébut corrigé]])-data[[#This Row],[NUIT1.1]]-data[[#This Row],[NUIT1.2]])</f>
        <v>0</v>
      </c>
      <c r="N24" s="67">
        <f>IF(data[[#This Row],[Hfin Interv.]]="",0,(
MIN(FinNuit,MIN(1,data[[#This Row],[Hfin corrigée]]))-MIN(FinNuit,data[[#This Row],[Hdébut corrigé]])
))</f>
        <v>0</v>
      </c>
      <c r="O24" s="67">
        <f>MAX(0,(MAX(0,(MIN(1,data[[#This Row],[Hfin corrigée]])-DebNuit))-MAX(0,(data[[#This Row],[Hdébut corrigé]]-DebNuit))))</f>
        <v>0</v>
      </c>
      <c r="P24" s="66" t="str">
        <f>IF(OR(WEEKDAY(data[[#This Row],[Date]]+data[[#This Row],[Hfin corrigée]],2)=7,COUNTIF(JF,INT(data[[#This Row],[Date]]+data[[#This Row],[Hfin corrigée]]))=1),"oui","non")</f>
        <v>non</v>
      </c>
      <c r="Q24" s="67">
        <f>MAX(0,data[[#This Row],[Hfin corrigée]]-MAX(1,data[[#This Row],[Hdébut corrigé]]))-data[[#This Row],[NUIT2.1]]-data[[#This Row],[NUIT2.2]]</f>
        <v>0</v>
      </c>
      <c r="R24" s="67">
        <f>MAX(0,MIN(1+FinNuit,data[[#This Row],[Hfin corrigée]])-MAX(1,data[[#This Row],[Hdébut corrigé]]))</f>
        <v>5.0694444444444375E-2</v>
      </c>
      <c r="S24" s="67">
        <f>MAX(0,(data[[#This Row],[Hfin corrigée]]-DebNuit-1))</f>
        <v>0</v>
      </c>
      <c r="T24" s="68">
        <f>IF(data[[#This Row],[Garde / Interv.]]="Intervention",MAX(0,data[[#This Row],[Hfin corrigée]]-SUMPRODUCT((data[Date]=data[[#This Row],[Date]])*(data[Garde / Interv.]="Garde")*data[Hfin corrigée])),0)</f>
        <v>0</v>
      </c>
      <c r="U24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4" s="67">
        <f>MAX(0,IF(data[[#This Row],[Garde / Interv.]]="Intervention",(data[[#This Row],[Fin Dim ou Férié]]="non")*data[[#This Row],[JOUR2]]+(data[[#This Row],[Début Dim ou Férié]]="non")*data[[#This Row],[JOUR1]],0))</f>
        <v>0</v>
      </c>
      <c r="W24" s="67">
        <f>IF(data[[#This Row],[Garde / Interv.]]="Intervention",(data[[#This Row],[Fin Dim ou Férié]]="oui")*data[[#This Row],[JOUR2]]+(data[[#This Row],[Début Dim ou Férié]]="oui")*data[[#This Row],[JOUR1]],0)</f>
        <v>0</v>
      </c>
      <c r="X24" s="67">
        <f>MAX(0,IF(data[[#This Row],[Garde / Interv.]]="Intervention",data[[#This Row],[NUIT1.1]]+data[[#This Row],[NUIT1.2]]+data[[#This Row],[NUIT2.1]]+data[[#This Row],[NUIT2.2]],0))</f>
        <v>5.0694444444444375E-2</v>
      </c>
    </row>
    <row r="25" spans="1:32" x14ac:dyDescent="0.3">
      <c r="A25" s="112">
        <v>43182</v>
      </c>
      <c r="B25" s="101" t="str">
        <f>IF(data[[#This Row],[Hdébut garde]]&lt;&gt;"","Garde",IF(data[[#This Row],[Hdébut corrigé]]&lt;&gt;"","Intervention",""))</f>
        <v>Intervention</v>
      </c>
      <c r="C25" s="146"/>
      <c r="D25" s="102"/>
      <c r="E25" s="147"/>
      <c r="F25" s="103"/>
      <c r="G25" s="30" t="s">
        <v>2</v>
      </c>
      <c r="H25" s="105">
        <v>0.32430555555555557</v>
      </c>
      <c r="I25" s="106">
        <v>0.39374999999999999</v>
      </c>
      <c r="J25" s="65">
        <f>IF(data[[#This Row],[Hdébut garde]]&lt;&gt;"",
data[[#This Row],[Hdébut garde]],
data[[#This Row],[Hdébut interv.]]+IF(data[[#This Row],[Hdébut interv.]]&lt;SUMPRODUCT((data[Date]=data[[#This Row],[Date]])*data[Hdébut garde]),1,0)
)</f>
        <v>1.3243055555555556</v>
      </c>
      <c r="K25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1.39375</v>
      </c>
      <c r="L25" s="66" t="str">
        <f>IF(OR(WEEKDAY(data[[#This Row],[Date]],2)=7,COUNTIF(JF,data[[#This Row],[Date]])=1),"oui","non")</f>
        <v>non</v>
      </c>
      <c r="M25" s="67">
        <f>MAX(0,(MIN(1,data[[#This Row],[Hfin corrigée]])-data[[#This Row],[Hdébut corrigé]])-data[[#This Row],[NUIT1.1]]-data[[#This Row],[NUIT1.2]])</f>
        <v>0</v>
      </c>
      <c r="N25" s="67">
        <f>IF(data[[#This Row],[Hfin Interv.]]="",0,(
MIN(FinNuit,MIN(1,data[[#This Row],[Hfin corrigée]]))-MIN(FinNuit,data[[#This Row],[Hdébut corrigé]])
))</f>
        <v>0</v>
      </c>
      <c r="O25" s="67">
        <f>MAX(0,(MAX(0,(MIN(1,data[[#This Row],[Hfin corrigée]])-DebNuit))-MAX(0,(data[[#This Row],[Hdébut corrigé]]-DebNuit))))</f>
        <v>0</v>
      </c>
      <c r="P25" s="66" t="str">
        <f>IF(OR(WEEKDAY(data[[#This Row],[Date]]+data[[#This Row],[Hfin corrigée]],2)=7,COUNTIF(JF,INT(data[[#This Row],[Date]]+data[[#This Row],[Hfin corrigée]]))=1),"oui","non")</f>
        <v>non</v>
      </c>
      <c r="Q25" s="67">
        <f>MAX(0,data[[#This Row],[Hfin corrigée]]-MAX(1,data[[#This Row],[Hdébut corrigé]]))-data[[#This Row],[NUIT2.1]]-data[[#This Row],[NUIT2.2]]</f>
        <v>6.944444444444442E-2</v>
      </c>
      <c r="R25" s="67">
        <f>MAX(0,MIN(1+FinNuit,data[[#This Row],[Hfin corrigée]])-MAX(1,data[[#This Row],[Hdébut corrigé]]))</f>
        <v>0</v>
      </c>
      <c r="S25" s="67">
        <f>MAX(0,(data[[#This Row],[Hfin corrigée]]-DebNuit-1))</f>
        <v>0</v>
      </c>
      <c r="T25" s="68">
        <f>IF(data[[#This Row],[Garde / Interv.]]="Intervention",MAX(0,data[[#This Row],[Hfin corrigée]]-SUMPRODUCT((data[Date]=data[[#This Row],[Date]])*(data[Garde / Interv.]="Garde")*data[Hfin corrigée])),0)</f>
        <v>0</v>
      </c>
      <c r="U25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5" s="67">
        <f>MAX(0,IF(data[[#This Row],[Garde / Interv.]]="Intervention",(data[[#This Row],[Fin Dim ou Férié]]="non")*data[[#This Row],[JOUR2]]+(data[[#This Row],[Début Dim ou Férié]]="non")*data[[#This Row],[JOUR1]],0))</f>
        <v>6.944444444444442E-2</v>
      </c>
      <c r="W25" s="67">
        <f>IF(data[[#This Row],[Garde / Interv.]]="Intervention",(data[[#This Row],[Fin Dim ou Férié]]="oui")*data[[#This Row],[JOUR2]]+(data[[#This Row],[Début Dim ou Férié]]="oui")*data[[#This Row],[JOUR1]],0)</f>
        <v>0</v>
      </c>
      <c r="X25" s="67">
        <f>MAX(0,IF(data[[#This Row],[Garde / Interv.]]="Intervention",data[[#This Row],[NUIT1.1]]+data[[#This Row],[NUIT1.2]]+data[[#This Row],[NUIT2.1]]+data[[#This Row],[NUIT2.2]],0))</f>
        <v>0</v>
      </c>
    </row>
    <row r="26" spans="1:32" x14ac:dyDescent="0.3">
      <c r="A26" s="112">
        <v>43188</v>
      </c>
      <c r="B26" s="101" t="str">
        <f>IF(data[[#This Row],[Hdébut garde]]&lt;&gt;"","Garde",IF(data[[#This Row],[Hdébut corrigé]]&lt;&gt;"","Intervention",""))</f>
        <v>Garde</v>
      </c>
      <c r="C26" s="146">
        <v>0.41666666666666669</v>
      </c>
      <c r="D26" s="102">
        <v>0.25</v>
      </c>
      <c r="E26" s="147"/>
      <c r="F26" s="103"/>
      <c r="G26" s="30"/>
      <c r="H26" s="105"/>
      <c r="I26" s="106"/>
      <c r="J26" s="65">
        <f>IF(data[[#This Row],[Hdébut garde]]&lt;&gt;"",
data[[#This Row],[Hdébut garde]],
data[[#This Row],[Hdébut interv.]]+IF(data[[#This Row],[Hdébut interv.]]&lt;SUMPRODUCT((data[Date]=data[[#This Row],[Date]])*data[Hdébut garde]),1,0)
)</f>
        <v>0.41666666666666669</v>
      </c>
      <c r="K26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1.25</v>
      </c>
      <c r="L26" s="66" t="str">
        <f>IF(OR(WEEKDAY(data[[#This Row],[Date]],2)=7,COUNTIF(JF,data[[#This Row],[Date]])=1),"oui","non")</f>
        <v>non</v>
      </c>
      <c r="M26" s="67">
        <f>MAX(0,(MIN(1,data[[#This Row],[Hfin corrigée]])-data[[#This Row],[Hdébut corrigé]])-data[[#This Row],[NUIT1.1]]-data[[#This Row],[NUIT1.2]])</f>
        <v>0.49999999999999989</v>
      </c>
      <c r="N26" s="67">
        <f>IF(data[[#This Row],[Hfin Interv.]]="",0,(
MIN(FinNuit,MIN(1,data[[#This Row],[Hfin corrigée]]))-MIN(FinNuit,data[[#This Row],[Hdébut corrigé]])
))</f>
        <v>0</v>
      </c>
      <c r="O26" s="67">
        <f>MAX(0,(MAX(0,(MIN(1,data[[#This Row],[Hfin corrigée]])-DebNuit))-MAX(0,(data[[#This Row],[Hdébut corrigé]]-DebNuit))))</f>
        <v>8.333333333333337E-2</v>
      </c>
      <c r="P26" s="66" t="str">
        <f>IF(OR(WEEKDAY(data[[#This Row],[Date]]+data[[#This Row],[Hfin corrigée]],2)=7,COUNTIF(JF,INT(data[[#This Row],[Date]]+data[[#This Row],[Hfin corrigée]]))=1),"oui","non")</f>
        <v>non</v>
      </c>
      <c r="Q26" s="67">
        <f>MAX(0,data[[#This Row],[Hfin corrigée]]-MAX(1,data[[#This Row],[Hdébut corrigé]]))-data[[#This Row],[NUIT2.1]]-data[[#This Row],[NUIT2.2]]</f>
        <v>0</v>
      </c>
      <c r="R26" s="67">
        <f>MAX(0,MIN(1+FinNuit,data[[#This Row],[Hfin corrigée]])-MAX(1,data[[#This Row],[Hdébut corrigé]]))</f>
        <v>0.25</v>
      </c>
      <c r="S26" s="67">
        <f>MAX(0,(data[[#This Row],[Hfin corrigée]]-DebNuit-1))</f>
        <v>0</v>
      </c>
      <c r="T26" s="68">
        <f>IF(data[[#This Row],[Garde / Interv.]]="Intervention",MAX(0,data[[#This Row],[Hfin corrigée]]-SUMPRODUCT((data[Date]=data[[#This Row],[Date]])*(data[Garde / Interv.]="Garde")*data[Hfin corrigée])),0)</f>
        <v>0</v>
      </c>
      <c r="U26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0.49722222222222218</v>
      </c>
      <c r="V26" s="67">
        <f>MAX(0,IF(data[[#This Row],[Garde / Interv.]]="Intervention",(data[[#This Row],[Fin Dim ou Férié]]="non")*data[[#This Row],[JOUR2]]+(data[[#This Row],[Début Dim ou Férié]]="non")*data[[#This Row],[JOUR1]],0))</f>
        <v>0</v>
      </c>
      <c r="W26" s="67">
        <f>IF(data[[#This Row],[Garde / Interv.]]="Intervention",(data[[#This Row],[Fin Dim ou Férié]]="oui")*data[[#This Row],[JOUR2]]+(data[[#This Row],[Début Dim ou Férié]]="oui")*data[[#This Row],[JOUR1]],0)</f>
        <v>0</v>
      </c>
      <c r="X26" s="67">
        <f>MAX(0,IF(data[[#This Row],[Garde / Interv.]]="Intervention",data[[#This Row],[NUIT1.1]]+data[[#This Row],[NUIT1.2]]+data[[#This Row],[NUIT2.1]]+data[[#This Row],[NUIT2.2]],0))</f>
        <v>0</v>
      </c>
      <c r="Z26" s="86"/>
      <c r="AA26" s="86"/>
      <c r="AB26" s="86"/>
    </row>
    <row r="27" spans="1:32" x14ac:dyDescent="0.3">
      <c r="A27" s="112">
        <v>43188</v>
      </c>
      <c r="B27" s="101" t="str">
        <f>IF(data[[#This Row],[Hdébut garde]]&lt;&gt;"","Garde",IF(data[[#This Row],[Hdébut corrigé]]&lt;&gt;"","Intervention",""))</f>
        <v>Intervention</v>
      </c>
      <c r="C27" s="146"/>
      <c r="D27" s="102"/>
      <c r="E27" s="147"/>
      <c r="F27" s="103"/>
      <c r="G27" s="30" t="s">
        <v>2</v>
      </c>
      <c r="H27" s="105">
        <v>0.43333333333333335</v>
      </c>
      <c r="I27" s="106">
        <v>0.48958333333333331</v>
      </c>
      <c r="J27" s="65">
        <f>IF(data[[#This Row],[Hdébut garde]]&lt;&gt;"",
data[[#This Row],[Hdébut garde]],
data[[#This Row],[Hdébut interv.]]+IF(data[[#This Row],[Hdébut interv.]]&lt;SUMPRODUCT((data[Date]=data[[#This Row],[Date]])*data[Hdébut garde]),1,0)
)</f>
        <v>0.43333333333333335</v>
      </c>
      <c r="K2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0.48958333333333331</v>
      </c>
      <c r="L27" s="66" t="str">
        <f>IF(OR(WEEKDAY(data[[#This Row],[Date]],2)=7,COUNTIF(JF,data[[#This Row],[Date]])=1),"oui","non")</f>
        <v>non</v>
      </c>
      <c r="M27" s="67">
        <f>MAX(0,(MIN(1,data[[#This Row],[Hfin corrigée]])-data[[#This Row],[Hdébut corrigé]])-data[[#This Row],[NUIT1.1]]-data[[#This Row],[NUIT1.2]])</f>
        <v>5.6249999999999967E-2</v>
      </c>
      <c r="N27" s="67">
        <f>IF(data[[#This Row],[Hfin Interv.]]="",0,(
MIN(FinNuit,MIN(1,data[[#This Row],[Hfin corrigée]]))-MIN(FinNuit,data[[#This Row],[Hdébut corrigé]])
))</f>
        <v>0</v>
      </c>
      <c r="O27" s="67">
        <f>MAX(0,(MAX(0,(MIN(1,data[[#This Row],[Hfin corrigée]])-DebNuit))-MAX(0,(data[[#This Row],[Hdébut corrigé]]-DebNuit))))</f>
        <v>0</v>
      </c>
      <c r="P27" s="66" t="str">
        <f>IF(OR(WEEKDAY(data[[#This Row],[Date]]+data[[#This Row],[Hfin corrigée]],2)=7,COUNTIF(JF,INT(data[[#This Row],[Date]]+data[[#This Row],[Hfin corrigée]]))=1),"oui","non")</f>
        <v>non</v>
      </c>
      <c r="Q27" s="67">
        <f>MAX(0,data[[#This Row],[Hfin corrigée]]-MAX(1,data[[#This Row],[Hdébut corrigé]]))-data[[#This Row],[NUIT2.1]]-data[[#This Row],[NUIT2.2]]</f>
        <v>0</v>
      </c>
      <c r="R27" s="67">
        <f>MAX(0,MIN(1+FinNuit,data[[#This Row],[Hfin corrigée]])-MAX(1,data[[#This Row],[Hdébut corrigé]]))</f>
        <v>0</v>
      </c>
      <c r="S27" s="67">
        <f>MAX(0,(data[[#This Row],[Hfin corrigée]]-DebNuit-1))</f>
        <v>0</v>
      </c>
      <c r="T27" s="68">
        <f>IF(data[[#This Row],[Garde / Interv.]]="Intervention",MAX(0,data[[#This Row],[Hfin corrigée]]-SUMPRODUCT((data[Date]=data[[#This Row],[Date]])*(data[Garde / Interv.]="Garde")*data[Hfin corrigée])),0)</f>
        <v>0</v>
      </c>
      <c r="U27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7" s="67">
        <f>MAX(0,IF(data[[#This Row],[Garde / Interv.]]="Intervention",(data[[#This Row],[Fin Dim ou Férié]]="non")*data[[#This Row],[JOUR2]]+(data[[#This Row],[Début Dim ou Férié]]="non")*data[[#This Row],[JOUR1]],0))</f>
        <v>5.6249999999999967E-2</v>
      </c>
      <c r="W27" s="67">
        <f>IF(data[[#This Row],[Garde / Interv.]]="Intervention",(data[[#This Row],[Fin Dim ou Férié]]="oui")*data[[#This Row],[JOUR2]]+(data[[#This Row],[Début Dim ou Férié]]="oui")*data[[#This Row],[JOUR1]],0)</f>
        <v>0</v>
      </c>
      <c r="X27" s="67">
        <f>MAX(0,IF(data[[#This Row],[Garde / Interv.]]="Intervention",data[[#This Row],[NUIT1.1]]+data[[#This Row],[NUIT1.2]]+data[[#This Row],[NUIT2.1]]+data[[#This Row],[NUIT2.2]],0))</f>
        <v>0</v>
      </c>
      <c r="AA27" s="86"/>
    </row>
    <row r="28" spans="1:32" x14ac:dyDescent="0.3">
      <c r="A28" s="112">
        <v>43188</v>
      </c>
      <c r="B28" s="101" t="str">
        <f>IF(data[[#This Row],[Hdébut garde]]&lt;&gt;"","Garde",IF(data[[#This Row],[Hdébut corrigé]]&lt;&gt;"","Intervention",""))</f>
        <v>Intervention</v>
      </c>
      <c r="C28" s="146"/>
      <c r="D28" s="102"/>
      <c r="E28" s="147"/>
      <c r="F28" s="103"/>
      <c r="G28" s="30" t="s">
        <v>2</v>
      </c>
      <c r="H28" s="105">
        <v>0.51458333333333328</v>
      </c>
      <c r="I28" s="106">
        <v>0.57361111111111118</v>
      </c>
      <c r="J28" s="65">
        <f>IF(data[[#This Row],[Hdébut garde]]&lt;&gt;"",
data[[#This Row],[Hdébut garde]],
data[[#This Row],[Hdébut interv.]]+IF(data[[#This Row],[Hdébut interv.]]&lt;SUMPRODUCT((data[Date]=data[[#This Row],[Date]])*data[Hdébut garde]),1,0)
)</f>
        <v>0.51458333333333328</v>
      </c>
      <c r="K2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0.57361111111111118</v>
      </c>
      <c r="L28" s="66" t="str">
        <f>IF(OR(WEEKDAY(data[[#This Row],[Date]],2)=7,COUNTIF(JF,data[[#This Row],[Date]])=1),"oui","non")</f>
        <v>non</v>
      </c>
      <c r="M28" s="67">
        <f>MAX(0,(MIN(1,data[[#This Row],[Hfin corrigée]])-data[[#This Row],[Hdébut corrigé]])-data[[#This Row],[NUIT1.1]]-data[[#This Row],[NUIT1.2]])</f>
        <v>5.9027777777777901E-2</v>
      </c>
      <c r="N28" s="67">
        <f>IF(data[[#This Row],[Hfin Interv.]]="",0,(
MIN(FinNuit,MIN(1,data[[#This Row],[Hfin corrigée]]))-MIN(FinNuit,data[[#This Row],[Hdébut corrigé]])
))</f>
        <v>0</v>
      </c>
      <c r="O28" s="67">
        <f>MAX(0,(MAX(0,(MIN(1,data[[#This Row],[Hfin corrigée]])-DebNuit))-MAX(0,(data[[#This Row],[Hdébut corrigé]]-DebNuit))))</f>
        <v>0</v>
      </c>
      <c r="P28" s="66" t="str">
        <f>IF(OR(WEEKDAY(data[[#This Row],[Date]]+data[[#This Row],[Hfin corrigée]],2)=7,COUNTIF(JF,INT(data[[#This Row],[Date]]+data[[#This Row],[Hfin corrigée]]))=1),"oui","non")</f>
        <v>non</v>
      </c>
      <c r="Q28" s="67">
        <f>MAX(0,data[[#This Row],[Hfin corrigée]]-MAX(1,data[[#This Row],[Hdébut corrigé]]))-data[[#This Row],[NUIT2.1]]-data[[#This Row],[NUIT2.2]]</f>
        <v>0</v>
      </c>
      <c r="R28" s="67">
        <f>MAX(0,MIN(1+FinNuit,data[[#This Row],[Hfin corrigée]])-MAX(1,data[[#This Row],[Hdébut corrigé]]))</f>
        <v>0</v>
      </c>
      <c r="S28" s="67">
        <f>MAX(0,(data[[#This Row],[Hfin corrigée]]-DebNuit-1))</f>
        <v>0</v>
      </c>
      <c r="T28" s="68">
        <f>IF(data[[#This Row],[Garde / Interv.]]="Intervention",MAX(0,data[[#This Row],[Hfin corrigée]]-SUMPRODUCT((data[Date]=data[[#This Row],[Date]])*(data[Garde / Interv.]="Garde")*data[Hfin corrigée])),0)</f>
        <v>0</v>
      </c>
      <c r="U28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8" s="67">
        <f>MAX(0,IF(data[[#This Row],[Garde / Interv.]]="Intervention",(data[[#This Row],[Fin Dim ou Férié]]="non")*data[[#This Row],[JOUR2]]+(data[[#This Row],[Début Dim ou Férié]]="non")*data[[#This Row],[JOUR1]],0))</f>
        <v>5.9027777777777901E-2</v>
      </c>
      <c r="W28" s="67">
        <f>IF(data[[#This Row],[Garde / Interv.]]="Intervention",(data[[#This Row],[Fin Dim ou Férié]]="oui")*data[[#This Row],[JOUR2]]+(data[[#This Row],[Début Dim ou Férié]]="oui")*data[[#This Row],[JOUR1]],0)</f>
        <v>0</v>
      </c>
      <c r="X28" s="67">
        <f>MAX(0,IF(data[[#This Row],[Garde / Interv.]]="Intervention",data[[#This Row],[NUIT1.1]]+data[[#This Row],[NUIT1.2]]+data[[#This Row],[NUIT2.1]]+data[[#This Row],[NUIT2.2]],0))</f>
        <v>0</v>
      </c>
      <c r="AB28" s="86"/>
    </row>
    <row r="29" spans="1:32" x14ac:dyDescent="0.3">
      <c r="A29" s="112">
        <v>43188</v>
      </c>
      <c r="B29" s="101" t="str">
        <f>IF(data[[#This Row],[Hdébut garde]]&lt;&gt;"","Garde",IF(data[[#This Row],[Hdébut corrigé]]&lt;&gt;"","Intervention",""))</f>
        <v>Intervention</v>
      </c>
      <c r="C29" s="146"/>
      <c r="D29" s="102"/>
      <c r="E29" s="147"/>
      <c r="F29" s="103"/>
      <c r="G29" s="30" t="s">
        <v>2</v>
      </c>
      <c r="H29" s="105">
        <v>0.62638888888888888</v>
      </c>
      <c r="I29" s="106">
        <v>0.67361111111111116</v>
      </c>
      <c r="J29" s="65">
        <f>IF(data[[#This Row],[Hdébut garde]]&lt;&gt;"",
data[[#This Row],[Hdébut garde]],
data[[#This Row],[Hdébut interv.]]+IF(data[[#This Row],[Hdébut interv.]]&lt;SUMPRODUCT((data[Date]=data[[#This Row],[Date]])*data[Hdébut garde]),1,0)
)</f>
        <v>0.62638888888888888</v>
      </c>
      <c r="K2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0.67361111111111116</v>
      </c>
      <c r="L29" s="66" t="str">
        <f>IF(OR(WEEKDAY(data[[#This Row],[Date]],2)=7,COUNTIF(JF,data[[#This Row],[Date]])=1),"oui","non")</f>
        <v>non</v>
      </c>
      <c r="M29" s="67">
        <f>MAX(0,(MIN(1,data[[#This Row],[Hfin corrigée]])-data[[#This Row],[Hdébut corrigé]])-data[[#This Row],[NUIT1.1]]-data[[#This Row],[NUIT1.2]])</f>
        <v>4.7222222222222276E-2</v>
      </c>
      <c r="N29" s="67">
        <f>IF(data[[#This Row],[Hfin Interv.]]="",0,(
MIN(FinNuit,MIN(1,data[[#This Row],[Hfin corrigée]]))-MIN(FinNuit,data[[#This Row],[Hdébut corrigé]])
))</f>
        <v>0</v>
      </c>
      <c r="O29" s="67">
        <f>MAX(0,(MAX(0,(MIN(1,data[[#This Row],[Hfin corrigée]])-DebNuit))-MAX(0,(data[[#This Row],[Hdébut corrigé]]-DebNuit))))</f>
        <v>0</v>
      </c>
      <c r="P29" s="66" t="str">
        <f>IF(OR(WEEKDAY(data[[#This Row],[Date]]+data[[#This Row],[Hfin corrigée]],2)=7,COUNTIF(JF,INT(data[[#This Row],[Date]]+data[[#This Row],[Hfin corrigée]]))=1),"oui","non")</f>
        <v>non</v>
      </c>
      <c r="Q29" s="67">
        <f>MAX(0,data[[#This Row],[Hfin corrigée]]-MAX(1,data[[#This Row],[Hdébut corrigé]]))-data[[#This Row],[NUIT2.1]]-data[[#This Row],[NUIT2.2]]</f>
        <v>0</v>
      </c>
      <c r="R29" s="67">
        <f>MAX(0,MIN(1+FinNuit,data[[#This Row],[Hfin corrigée]])-MAX(1,data[[#This Row],[Hdébut corrigé]]))</f>
        <v>0</v>
      </c>
      <c r="S29" s="67">
        <f>MAX(0,(data[[#This Row],[Hfin corrigée]]-DebNuit-1))</f>
        <v>0</v>
      </c>
      <c r="T29" s="68">
        <f>IF(data[[#This Row],[Garde / Interv.]]="Intervention",MAX(0,data[[#This Row],[Hfin corrigée]]-SUMPRODUCT((data[Date]=data[[#This Row],[Date]])*(data[Garde / Interv.]="Garde")*data[Hfin corrigée])),0)</f>
        <v>0</v>
      </c>
      <c r="U29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9" s="67">
        <f>MAX(0,IF(data[[#This Row],[Garde / Interv.]]="Intervention",(data[[#This Row],[Fin Dim ou Férié]]="non")*data[[#This Row],[JOUR2]]+(data[[#This Row],[Début Dim ou Férié]]="non")*data[[#This Row],[JOUR1]],0))</f>
        <v>4.7222222222222276E-2</v>
      </c>
      <c r="W29" s="67">
        <f>IF(data[[#This Row],[Garde / Interv.]]="Intervention",(data[[#This Row],[Fin Dim ou Férié]]="oui")*data[[#This Row],[JOUR2]]+(data[[#This Row],[Début Dim ou Férié]]="oui")*data[[#This Row],[JOUR1]],0)</f>
        <v>0</v>
      </c>
      <c r="X29" s="67">
        <f>MAX(0,IF(data[[#This Row],[Garde / Interv.]]="Intervention",data[[#This Row],[NUIT1.1]]+data[[#This Row],[NUIT1.2]]+data[[#This Row],[NUIT2.1]]+data[[#This Row],[NUIT2.2]],0))</f>
        <v>0</v>
      </c>
    </row>
    <row r="30" spans="1:32" x14ac:dyDescent="0.3">
      <c r="A30" s="112">
        <v>43188</v>
      </c>
      <c r="B30" s="101" t="str">
        <f>IF(data[[#This Row],[Hdébut garde]]&lt;&gt;"","Garde",IF(data[[#This Row],[Hdébut corrigé]]&lt;&gt;"","Intervention",""))</f>
        <v>Intervention</v>
      </c>
      <c r="C30" s="146"/>
      <c r="D30" s="102"/>
      <c r="E30" s="147"/>
      <c r="F30" s="103"/>
      <c r="G30" s="30" t="s">
        <v>2</v>
      </c>
      <c r="H30" s="105">
        <v>0.67361111111111116</v>
      </c>
      <c r="I30" s="106">
        <v>0.72638888888888886</v>
      </c>
      <c r="J30" s="65">
        <f>IF(data[[#This Row],[Hdébut garde]]&lt;&gt;"",
data[[#This Row],[Hdébut garde]],
data[[#This Row],[Hdébut interv.]]+IF(data[[#This Row],[Hdébut interv.]]&lt;SUMPRODUCT((data[Date]=data[[#This Row],[Date]])*data[Hdébut garde]),1,0)
)</f>
        <v>0.67361111111111116</v>
      </c>
      <c r="K3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0.72638888888888886</v>
      </c>
      <c r="L30" s="66" t="str">
        <f>IF(OR(WEEKDAY(data[[#This Row],[Date]],2)=7,COUNTIF(JF,data[[#This Row],[Date]])=1),"oui","non")</f>
        <v>non</v>
      </c>
      <c r="M30" s="67">
        <f>MAX(0,(MIN(1,data[[#This Row],[Hfin corrigée]])-data[[#This Row],[Hdébut corrigé]])-data[[#This Row],[NUIT1.1]]-data[[#This Row],[NUIT1.2]])</f>
        <v>5.2777777777777701E-2</v>
      </c>
      <c r="N30" s="67">
        <f>IF(data[[#This Row],[Hfin Interv.]]="",0,(
MIN(FinNuit,MIN(1,data[[#This Row],[Hfin corrigée]]))-MIN(FinNuit,data[[#This Row],[Hdébut corrigé]])
))</f>
        <v>0</v>
      </c>
      <c r="O30" s="67">
        <f>MAX(0,(MAX(0,(MIN(1,data[[#This Row],[Hfin corrigée]])-DebNuit))-MAX(0,(data[[#This Row],[Hdébut corrigé]]-DebNuit))))</f>
        <v>0</v>
      </c>
      <c r="P30" s="66" t="str">
        <f>IF(OR(WEEKDAY(data[[#This Row],[Date]]+data[[#This Row],[Hfin corrigée]],2)=7,COUNTIF(JF,INT(data[[#This Row],[Date]]+data[[#This Row],[Hfin corrigée]]))=1),"oui","non")</f>
        <v>non</v>
      </c>
      <c r="Q30" s="67">
        <f>MAX(0,data[[#This Row],[Hfin corrigée]]-MAX(1,data[[#This Row],[Hdébut corrigé]]))-data[[#This Row],[NUIT2.1]]-data[[#This Row],[NUIT2.2]]</f>
        <v>0</v>
      </c>
      <c r="R30" s="67">
        <f>MAX(0,MIN(1+FinNuit,data[[#This Row],[Hfin corrigée]])-MAX(1,data[[#This Row],[Hdébut corrigé]]))</f>
        <v>0</v>
      </c>
      <c r="S30" s="67">
        <f>MAX(0,(data[[#This Row],[Hfin corrigée]]-DebNuit-1))</f>
        <v>0</v>
      </c>
      <c r="T30" s="68">
        <f>IF(data[[#This Row],[Garde / Interv.]]="Intervention",MAX(0,data[[#This Row],[Hfin corrigée]]-SUMPRODUCT((data[Date]=data[[#This Row],[Date]])*(data[Garde / Interv.]="Garde")*data[Hfin corrigée])),0)</f>
        <v>0</v>
      </c>
      <c r="U30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0" s="67">
        <f>MAX(0,IF(data[[#This Row],[Garde / Interv.]]="Intervention",(data[[#This Row],[Fin Dim ou Férié]]="non")*data[[#This Row],[JOUR2]]+(data[[#This Row],[Début Dim ou Férié]]="non")*data[[#This Row],[JOUR1]],0))</f>
        <v>5.2777777777777701E-2</v>
      </c>
      <c r="W30" s="67">
        <f>IF(data[[#This Row],[Garde / Interv.]]="Intervention",(data[[#This Row],[Fin Dim ou Férié]]="oui")*data[[#This Row],[JOUR2]]+(data[[#This Row],[Début Dim ou Férié]]="oui")*data[[#This Row],[JOUR1]],0)</f>
        <v>0</v>
      </c>
      <c r="X30" s="67">
        <f>MAX(0,IF(data[[#This Row],[Garde / Interv.]]="Intervention",data[[#This Row],[NUIT1.1]]+data[[#This Row],[NUIT1.2]]+data[[#This Row],[NUIT2.1]]+data[[#This Row],[NUIT2.2]],0))</f>
        <v>0</v>
      </c>
    </row>
    <row r="31" spans="1:32" x14ac:dyDescent="0.3">
      <c r="A31" s="112">
        <v>43188</v>
      </c>
      <c r="B31" s="101" t="str">
        <f>IF(data[[#This Row],[Hdébut garde]]&lt;&gt;"","Garde",IF(data[[#This Row],[Hdébut corrigé]]&lt;&gt;"","Intervention",""))</f>
        <v>Intervention</v>
      </c>
      <c r="C31" s="146"/>
      <c r="D31" s="102"/>
      <c r="E31" s="147"/>
      <c r="F31" s="103"/>
      <c r="G31" s="30" t="s">
        <v>2</v>
      </c>
      <c r="H31" s="105">
        <v>0.74652777777777779</v>
      </c>
      <c r="I31" s="106">
        <v>0.77777777777777779</v>
      </c>
      <c r="J31" s="65">
        <f>IF(data[[#This Row],[Hdébut garde]]&lt;&gt;"",
data[[#This Row],[Hdébut garde]],
data[[#This Row],[Hdébut interv.]]+IF(data[[#This Row],[Hdébut interv.]]&lt;SUMPRODUCT((data[Date]=data[[#This Row],[Date]])*data[Hdébut garde]),1,0)
)</f>
        <v>0.74652777777777779</v>
      </c>
      <c r="K31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0.77777777777777779</v>
      </c>
      <c r="L31" s="66" t="str">
        <f>IF(OR(WEEKDAY(data[[#This Row],[Date]],2)=7,COUNTIF(JF,data[[#This Row],[Date]])=1),"oui","non")</f>
        <v>non</v>
      </c>
      <c r="M31" s="67">
        <f>MAX(0,(MIN(1,data[[#This Row],[Hfin corrigée]])-data[[#This Row],[Hdébut corrigé]])-data[[#This Row],[NUIT1.1]]-data[[#This Row],[NUIT1.2]])</f>
        <v>3.125E-2</v>
      </c>
      <c r="N31" s="67">
        <f>IF(data[[#This Row],[Hfin Interv.]]="",0,(
MIN(FinNuit,MIN(1,data[[#This Row],[Hfin corrigée]]))-MIN(FinNuit,data[[#This Row],[Hdébut corrigé]])
))</f>
        <v>0</v>
      </c>
      <c r="O31" s="67">
        <f>MAX(0,(MAX(0,(MIN(1,data[[#This Row],[Hfin corrigée]])-DebNuit))-MAX(0,(data[[#This Row],[Hdébut corrigé]]-DebNuit))))</f>
        <v>0</v>
      </c>
      <c r="P31" s="66" t="str">
        <f>IF(OR(WEEKDAY(data[[#This Row],[Date]]+data[[#This Row],[Hfin corrigée]],2)=7,COUNTIF(JF,INT(data[[#This Row],[Date]]+data[[#This Row],[Hfin corrigée]]))=1),"oui","non")</f>
        <v>non</v>
      </c>
      <c r="Q31" s="67">
        <f>MAX(0,data[[#This Row],[Hfin corrigée]]-MAX(1,data[[#This Row],[Hdébut corrigé]]))-data[[#This Row],[NUIT2.1]]-data[[#This Row],[NUIT2.2]]</f>
        <v>0</v>
      </c>
      <c r="R31" s="67">
        <f>MAX(0,MIN(1+FinNuit,data[[#This Row],[Hfin corrigée]])-MAX(1,data[[#This Row],[Hdébut corrigé]]))</f>
        <v>0</v>
      </c>
      <c r="S31" s="67">
        <f>MAX(0,(data[[#This Row],[Hfin corrigée]]-DebNuit-1))</f>
        <v>0</v>
      </c>
      <c r="T31" s="68">
        <f>IF(data[[#This Row],[Garde / Interv.]]="Intervention",MAX(0,data[[#This Row],[Hfin corrigée]]-SUMPRODUCT((data[Date]=data[[#This Row],[Date]])*(data[Garde / Interv.]="Garde")*data[Hfin corrigée])),0)</f>
        <v>0</v>
      </c>
      <c r="U31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1" s="67">
        <f>MAX(0,IF(data[[#This Row],[Garde / Interv.]]="Intervention",(data[[#This Row],[Fin Dim ou Férié]]="non")*data[[#This Row],[JOUR2]]+(data[[#This Row],[Début Dim ou Férié]]="non")*data[[#This Row],[JOUR1]],0))</f>
        <v>3.125E-2</v>
      </c>
      <c r="W31" s="67">
        <f>IF(data[[#This Row],[Garde / Interv.]]="Intervention",(data[[#This Row],[Fin Dim ou Férié]]="oui")*data[[#This Row],[JOUR2]]+(data[[#This Row],[Début Dim ou Férié]]="oui")*data[[#This Row],[JOUR1]],0)</f>
        <v>0</v>
      </c>
      <c r="X31" s="67">
        <f>MAX(0,IF(data[[#This Row],[Garde / Interv.]]="Intervention",data[[#This Row],[NUIT1.1]]+data[[#This Row],[NUIT1.2]]+data[[#This Row],[NUIT2.1]]+data[[#This Row],[NUIT2.2]],0))</f>
        <v>0</v>
      </c>
    </row>
    <row r="32" spans="1:32" x14ac:dyDescent="0.3">
      <c r="A32" s="112">
        <v>43188</v>
      </c>
      <c r="B32" s="101" t="str">
        <f>IF(data[[#This Row],[Hdébut garde]]&lt;&gt;"","Garde",IF(data[[#This Row],[Hdébut corrigé]]&lt;&gt;"","Intervention",""))</f>
        <v>Intervention</v>
      </c>
      <c r="C32" s="146"/>
      <c r="D32" s="102"/>
      <c r="E32" s="147"/>
      <c r="F32" s="103"/>
      <c r="G32" s="30" t="s">
        <v>2</v>
      </c>
      <c r="H32" s="105">
        <v>0.78472222222222221</v>
      </c>
      <c r="I32" s="106">
        <v>0.86319444444444438</v>
      </c>
      <c r="J32" s="65">
        <f>IF(data[[#This Row],[Hdébut garde]]&lt;&gt;"",
data[[#This Row],[Hdébut garde]],
data[[#This Row],[Hdébut interv.]]+IF(data[[#This Row],[Hdébut interv.]]&lt;SUMPRODUCT((data[Date]=data[[#This Row],[Date]])*data[Hdébut garde]),1,0)
)</f>
        <v>0.78472222222222221</v>
      </c>
      <c r="K32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0.86319444444444438</v>
      </c>
      <c r="L32" s="66" t="str">
        <f>IF(OR(WEEKDAY(data[[#This Row],[Date]],2)=7,COUNTIF(JF,data[[#This Row],[Date]])=1),"oui","non")</f>
        <v>non</v>
      </c>
      <c r="M32" s="67">
        <f>MAX(0,(MIN(1,data[[#This Row],[Hfin corrigée]])-data[[#This Row],[Hdébut corrigé]])-data[[#This Row],[NUIT1.1]]-data[[#This Row],[NUIT1.2]])</f>
        <v>7.8472222222222165E-2</v>
      </c>
      <c r="N32" s="67">
        <f>IF(data[[#This Row],[Hfin Interv.]]="",0,(
MIN(FinNuit,MIN(1,data[[#This Row],[Hfin corrigée]]))-MIN(FinNuit,data[[#This Row],[Hdébut corrigé]])
))</f>
        <v>0</v>
      </c>
      <c r="O32" s="67">
        <f>MAX(0,(MAX(0,(MIN(1,data[[#This Row],[Hfin corrigée]])-DebNuit))-MAX(0,(data[[#This Row],[Hdébut corrigé]]-DebNuit))))</f>
        <v>0</v>
      </c>
      <c r="P32" s="66" t="str">
        <f>IF(OR(WEEKDAY(data[[#This Row],[Date]]+data[[#This Row],[Hfin corrigée]],2)=7,COUNTIF(JF,INT(data[[#This Row],[Date]]+data[[#This Row],[Hfin corrigée]]))=1),"oui","non")</f>
        <v>non</v>
      </c>
      <c r="Q32" s="67">
        <f>MAX(0,data[[#This Row],[Hfin corrigée]]-MAX(1,data[[#This Row],[Hdébut corrigé]]))-data[[#This Row],[NUIT2.1]]-data[[#This Row],[NUIT2.2]]</f>
        <v>0</v>
      </c>
      <c r="R32" s="67">
        <f>MAX(0,MIN(1+FinNuit,data[[#This Row],[Hfin corrigée]])-MAX(1,data[[#This Row],[Hdébut corrigé]]))</f>
        <v>0</v>
      </c>
      <c r="S32" s="67">
        <f>MAX(0,(data[[#This Row],[Hfin corrigée]]-DebNuit-1))</f>
        <v>0</v>
      </c>
      <c r="T32" s="68">
        <f>IF(data[[#This Row],[Garde / Interv.]]="Intervention",MAX(0,data[[#This Row],[Hfin corrigée]]-SUMPRODUCT((data[Date]=data[[#This Row],[Date]])*(data[Garde / Interv.]="Garde")*data[Hfin corrigée])),0)</f>
        <v>0</v>
      </c>
      <c r="U32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2" s="67">
        <f>MAX(0,IF(data[[#This Row],[Garde / Interv.]]="Intervention",(data[[#This Row],[Fin Dim ou Férié]]="non")*data[[#This Row],[JOUR2]]+(data[[#This Row],[Début Dim ou Férié]]="non")*data[[#This Row],[JOUR1]],0))</f>
        <v>7.8472222222222165E-2</v>
      </c>
      <c r="W32" s="67">
        <f>IF(data[[#This Row],[Garde / Interv.]]="Intervention",(data[[#This Row],[Fin Dim ou Férié]]="oui")*data[[#This Row],[JOUR2]]+(data[[#This Row],[Début Dim ou Férié]]="oui")*data[[#This Row],[JOUR1]],0)</f>
        <v>0</v>
      </c>
      <c r="X32" s="67">
        <f>MAX(0,IF(data[[#This Row],[Garde / Interv.]]="Intervention",data[[#This Row],[NUIT1.1]]+data[[#This Row],[NUIT1.2]]+data[[#This Row],[NUIT2.1]]+data[[#This Row],[NUIT2.2]],0))</f>
        <v>0</v>
      </c>
    </row>
    <row r="33" spans="1:29" x14ac:dyDescent="0.3">
      <c r="A33" s="112">
        <v>43188</v>
      </c>
      <c r="B33" s="101" t="str">
        <f>IF(data[[#This Row],[Hdébut garde]]&lt;&gt;"","Garde",IF(data[[#This Row],[Hdébut corrigé]]&lt;&gt;"","Intervention",""))</f>
        <v>Intervention</v>
      </c>
      <c r="C33" s="146"/>
      <c r="D33" s="102"/>
      <c r="E33" s="147"/>
      <c r="F33" s="103"/>
      <c r="G33" s="104" t="s">
        <v>83</v>
      </c>
      <c r="H33" s="105">
        <v>0.89583333333333337</v>
      </c>
      <c r="I33" s="106">
        <v>0.90694444444444444</v>
      </c>
      <c r="J33" s="65">
        <f>IF(data[[#This Row],[Hdébut garde]]&lt;&gt;"",
data[[#This Row],[Hdébut garde]],
data[[#This Row],[Hdébut interv.]]+IF(data[[#This Row],[Hdébut interv.]]&lt;SUMPRODUCT((data[Date]=data[[#This Row],[Date]])*data[Hdébut garde]),1,0)
)</f>
        <v>0.89583333333333337</v>
      </c>
      <c r="K33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0.90694444444444444</v>
      </c>
      <c r="L33" s="66" t="str">
        <f>IF(OR(WEEKDAY(data[[#This Row],[Date]],2)=7,COUNTIF(JF,data[[#This Row],[Date]])=1),"oui","non")</f>
        <v>non</v>
      </c>
      <c r="M33" s="67">
        <f>MAX(0,(MIN(1,data[[#This Row],[Hfin corrigée]])-data[[#This Row],[Hdébut corrigé]])-data[[#This Row],[NUIT1.1]]-data[[#This Row],[NUIT1.2]])</f>
        <v>1.1111111111111072E-2</v>
      </c>
      <c r="N33" s="67">
        <f>IF(data[[#This Row],[Hfin Interv.]]="",0,(
MIN(FinNuit,MIN(1,data[[#This Row],[Hfin corrigée]]))-MIN(FinNuit,data[[#This Row],[Hdébut corrigé]])
))</f>
        <v>0</v>
      </c>
      <c r="O33" s="67">
        <f>MAX(0,(MAX(0,(MIN(1,data[[#This Row],[Hfin corrigée]])-DebNuit))-MAX(0,(data[[#This Row],[Hdébut corrigé]]-DebNuit))))</f>
        <v>0</v>
      </c>
      <c r="P33" s="66" t="str">
        <f>IF(OR(WEEKDAY(data[[#This Row],[Date]]+data[[#This Row],[Hfin corrigée]],2)=7,COUNTIF(JF,INT(data[[#This Row],[Date]]+data[[#This Row],[Hfin corrigée]]))=1),"oui","non")</f>
        <v>non</v>
      </c>
      <c r="Q33" s="67">
        <f>MAX(0,data[[#This Row],[Hfin corrigée]]-MAX(1,data[[#This Row],[Hdébut corrigé]]))-data[[#This Row],[NUIT2.1]]-data[[#This Row],[NUIT2.2]]</f>
        <v>0</v>
      </c>
      <c r="R33" s="67">
        <f>MAX(0,MIN(1+FinNuit,data[[#This Row],[Hfin corrigée]])-MAX(1,data[[#This Row],[Hdébut corrigé]]))</f>
        <v>0</v>
      </c>
      <c r="S33" s="67">
        <f>MAX(0,(data[[#This Row],[Hfin corrigée]]-DebNuit-1))</f>
        <v>0</v>
      </c>
      <c r="T33" s="68">
        <f>IF(data[[#This Row],[Garde / Interv.]]="Intervention",MAX(0,data[[#This Row],[Hfin corrigée]]-SUMPRODUCT((data[Date]=data[[#This Row],[Date]])*(data[Garde / Interv.]="Garde")*data[Hfin corrigée])),0)</f>
        <v>0</v>
      </c>
      <c r="U33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3" s="67">
        <f>MAX(0,IF(data[[#This Row],[Garde / Interv.]]="Intervention",(data[[#This Row],[Fin Dim ou Férié]]="non")*data[[#This Row],[JOUR2]]+(data[[#This Row],[Début Dim ou Férié]]="non")*data[[#This Row],[JOUR1]],0))</f>
        <v>1.1111111111111072E-2</v>
      </c>
      <c r="W33" s="67">
        <f>IF(data[[#This Row],[Garde / Interv.]]="Intervention",(data[[#This Row],[Fin Dim ou Férié]]="oui")*data[[#This Row],[JOUR2]]+(data[[#This Row],[Début Dim ou Férié]]="oui")*data[[#This Row],[JOUR1]],0)</f>
        <v>0</v>
      </c>
      <c r="X33" s="67">
        <f>MAX(0,IF(data[[#This Row],[Garde / Interv.]]="Intervention",data[[#This Row],[NUIT1.1]]+data[[#This Row],[NUIT1.2]]+data[[#This Row],[NUIT2.1]]+data[[#This Row],[NUIT2.2]],0))</f>
        <v>0</v>
      </c>
      <c r="AA33" s="56" t="s">
        <v>105</v>
      </c>
      <c r="AB33" s="56" t="s">
        <v>104</v>
      </c>
    </row>
    <row r="34" spans="1:29" x14ac:dyDescent="0.3">
      <c r="A34" s="112">
        <v>43198</v>
      </c>
      <c r="B34" s="101" t="str">
        <f>IF(data[[#This Row],[Hdébut garde]]&lt;&gt;"","Garde",IF(data[[#This Row],[Hdébut corrigé]]&lt;&gt;"","Intervention",""))</f>
        <v>Garde</v>
      </c>
      <c r="C34" s="146">
        <v>0.33333333333333331</v>
      </c>
      <c r="D34" s="102">
        <v>0.25</v>
      </c>
      <c r="E34" s="147"/>
      <c r="F34" s="103"/>
      <c r="G34" s="104"/>
      <c r="H34" s="105"/>
      <c r="I34" s="106"/>
      <c r="J34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34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1.25</v>
      </c>
      <c r="L34" s="66" t="str">
        <f>IF(OR(WEEKDAY(data[[#This Row],[Date]],2)=7,COUNTIF(JF,data[[#This Row],[Date]])=1),"oui","non")</f>
        <v>oui</v>
      </c>
      <c r="M34" s="67">
        <f>MAX(0,(MIN(1,data[[#This Row],[Hfin corrigée]])-data[[#This Row],[Hdébut corrigé]])-data[[#This Row],[NUIT1.1]]-data[[#This Row],[NUIT1.2]])</f>
        <v>0.58333333333333337</v>
      </c>
      <c r="N34" s="67">
        <f>IF(data[[#This Row],[Hfin Interv.]]="",0,(
MIN(FinNuit,MIN(1,data[[#This Row],[Hfin corrigée]]))-MIN(FinNuit,data[[#This Row],[Hdébut corrigé]])
))</f>
        <v>0</v>
      </c>
      <c r="O34" s="67">
        <f>MAX(0,(MAX(0,(MIN(1,data[[#This Row],[Hfin corrigée]])-DebNuit))-MAX(0,(data[[#This Row],[Hdébut corrigé]]-DebNuit))))</f>
        <v>8.333333333333337E-2</v>
      </c>
      <c r="P34" s="66" t="str">
        <f>IF(OR(WEEKDAY(data[[#This Row],[Date]]+data[[#This Row],[Hfin corrigée]],2)=7,COUNTIF(JF,INT(data[[#This Row],[Date]]+data[[#This Row],[Hfin corrigée]]))=1),"oui","non")</f>
        <v>non</v>
      </c>
      <c r="Q34" s="67">
        <f>MAX(0,data[[#This Row],[Hfin corrigée]]-MAX(1,data[[#This Row],[Hdébut corrigé]]))-data[[#This Row],[NUIT2.1]]-data[[#This Row],[NUIT2.2]]</f>
        <v>0</v>
      </c>
      <c r="R34" s="67">
        <f>MAX(0,MIN(1+FinNuit,data[[#This Row],[Hfin corrigée]])-MAX(1,data[[#This Row],[Hdébut corrigé]]))</f>
        <v>0.25</v>
      </c>
      <c r="S34" s="67">
        <f>MAX(0,(data[[#This Row],[Hfin corrigée]]-DebNuit-1))</f>
        <v>0</v>
      </c>
      <c r="T34" s="68">
        <f>IF(data[[#This Row],[Garde / Interv.]]="Intervention",MAX(0,data[[#This Row],[Hfin corrigée]]-SUMPRODUCT((data[Date]=data[[#This Row],[Date]])*(data[Garde / Interv.]="Garde")*data[Hfin corrigée])),0)</f>
        <v>0</v>
      </c>
      <c r="U34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0.7333333333333335</v>
      </c>
      <c r="V34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4" s="67">
        <f>IF(data[[#This Row],[Garde / Interv.]]="Intervention",(data[[#This Row],[Fin Dim ou Férié]]="oui")*data[[#This Row],[JOUR2]]+(data[[#This Row],[Début Dim ou Férié]]="oui")*data[[#This Row],[JOUR1]],0)</f>
        <v>0</v>
      </c>
      <c r="X34" s="67">
        <f>MAX(0,IF(data[[#This Row],[Garde / Interv.]]="Intervention",data[[#This Row],[NUIT1.1]]+data[[#This Row],[NUIT1.2]]+data[[#This Row],[NUIT2.1]]+data[[#This Row],[NUIT2.2]],0))</f>
        <v>0</v>
      </c>
      <c r="Z34" s="172" t="s">
        <v>101</v>
      </c>
      <c r="AA34" s="173">
        <f>SUM(U34)</f>
        <v>0.7333333333333335</v>
      </c>
      <c r="AB34" s="171">
        <f>SUM(V35:X37)</f>
        <v>0.18333333333333324</v>
      </c>
      <c r="AC34" s="86">
        <f>AA34-AB34</f>
        <v>0.55000000000000027</v>
      </c>
    </row>
    <row r="35" spans="1:29" x14ac:dyDescent="0.3">
      <c r="A35" s="112">
        <v>43198</v>
      </c>
      <c r="B35" s="101" t="str">
        <f>IF(data[[#This Row],[Hdébut garde]]&lt;&gt;"","Garde",IF(data[[#This Row],[Hdébut corrigé]]&lt;&gt;"","Intervention",""))</f>
        <v>Intervention</v>
      </c>
      <c r="C35" s="146"/>
      <c r="D35" s="102"/>
      <c r="E35" s="147"/>
      <c r="F35" s="103"/>
      <c r="G35" s="104" t="s">
        <v>2</v>
      </c>
      <c r="H35" s="105">
        <v>0.41250000000000003</v>
      </c>
      <c r="I35" s="106">
        <v>0.4909722222222222</v>
      </c>
      <c r="J35" s="65">
        <f>IF(data[[#This Row],[Hdébut garde]]&lt;&gt;"",
data[[#This Row],[Hdébut garde]],
data[[#This Row],[Hdébut interv.]]+IF(data[[#This Row],[Hdébut interv.]]&lt;SUMPRODUCT((data[Date]=data[[#This Row],[Date]])*data[Hdébut garde]),1,0)
)</f>
        <v>0.41250000000000003</v>
      </c>
      <c r="K35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0.4909722222222222</v>
      </c>
      <c r="L35" s="66" t="str">
        <f>IF(OR(WEEKDAY(data[[#This Row],[Date]],2)=7,COUNTIF(JF,data[[#This Row],[Date]])=1),"oui","non")</f>
        <v>oui</v>
      </c>
      <c r="M35" s="67">
        <f>MAX(0,(MIN(1,data[[#This Row],[Hfin corrigée]])-data[[#This Row],[Hdébut corrigé]])-data[[#This Row],[NUIT1.1]]-data[[#This Row],[NUIT1.2]])</f>
        <v>7.8472222222222165E-2</v>
      </c>
      <c r="N35" s="67">
        <f>IF(data[[#This Row],[Hfin Interv.]]="",0,(
MIN(FinNuit,MIN(1,data[[#This Row],[Hfin corrigée]]))-MIN(FinNuit,data[[#This Row],[Hdébut corrigé]])
))</f>
        <v>0</v>
      </c>
      <c r="O35" s="67">
        <f>MAX(0,(MAX(0,(MIN(1,data[[#This Row],[Hfin corrigée]])-DebNuit))-MAX(0,(data[[#This Row],[Hdébut corrigé]]-DebNuit))))</f>
        <v>0</v>
      </c>
      <c r="P35" s="66" t="str">
        <f>IF(OR(WEEKDAY(data[[#This Row],[Date]]+data[[#This Row],[Hfin corrigée]],2)=7,COUNTIF(JF,INT(data[[#This Row],[Date]]+data[[#This Row],[Hfin corrigée]]))=1),"oui","non")</f>
        <v>oui</v>
      </c>
      <c r="Q35" s="67">
        <f>MAX(0,data[[#This Row],[Hfin corrigée]]-MAX(1,data[[#This Row],[Hdébut corrigé]]))-data[[#This Row],[NUIT2.1]]-data[[#This Row],[NUIT2.2]]</f>
        <v>0</v>
      </c>
      <c r="R35" s="67">
        <f>MAX(0,MIN(1+FinNuit,data[[#This Row],[Hfin corrigée]])-MAX(1,data[[#This Row],[Hdébut corrigé]]))</f>
        <v>0</v>
      </c>
      <c r="S35" s="67">
        <f>MAX(0,(data[[#This Row],[Hfin corrigée]]-DebNuit-1))</f>
        <v>0</v>
      </c>
      <c r="T35" s="68">
        <f>IF(data[[#This Row],[Garde / Interv.]]="Intervention",MAX(0,data[[#This Row],[Hfin corrigée]]-SUMPRODUCT((data[Date]=data[[#This Row],[Date]])*(data[Garde / Interv.]="Garde")*data[Hfin corrigée])),0)</f>
        <v>0</v>
      </c>
      <c r="U35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5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5" s="67">
        <f>IF(data[[#This Row],[Garde / Interv.]]="Intervention",(data[[#This Row],[Fin Dim ou Férié]]="oui")*data[[#This Row],[JOUR2]]+(data[[#This Row],[Début Dim ou Férié]]="oui")*data[[#This Row],[JOUR1]],0)</f>
        <v>7.8472222222222165E-2</v>
      </c>
      <c r="X35" s="67">
        <f>MAX(0,IF(data[[#This Row],[Garde / Interv.]]="Intervention",data[[#This Row],[NUIT1.1]]+data[[#This Row],[NUIT1.2]]+data[[#This Row],[NUIT2.1]]+data[[#This Row],[NUIT2.2]],0))</f>
        <v>0</v>
      </c>
      <c r="Z35" s="56" t="s">
        <v>102</v>
      </c>
      <c r="AB35" s="171">
        <f>Z36-AB34</f>
        <v>0.65000000000000013</v>
      </c>
    </row>
    <row r="36" spans="1:29" x14ac:dyDescent="0.3">
      <c r="A36" s="112">
        <v>43198</v>
      </c>
      <c r="B36" s="101" t="str">
        <f>IF(data[[#This Row],[Hdébut garde]]&lt;&gt;"","Garde",IF(data[[#This Row],[Hdébut corrigé]]&lt;&gt;"","Intervention",""))</f>
        <v>Intervention</v>
      </c>
      <c r="C36" s="146"/>
      <c r="D36" s="102"/>
      <c r="E36" s="147"/>
      <c r="F36" s="103"/>
      <c r="G36" s="104" t="s">
        <v>2</v>
      </c>
      <c r="H36" s="105">
        <v>0.4916666666666667</v>
      </c>
      <c r="I36" s="106">
        <v>0.54305555555555551</v>
      </c>
      <c r="J36" s="65">
        <f>IF(data[[#This Row],[Hdébut garde]]&lt;&gt;"",
data[[#This Row],[Hdébut garde]],
data[[#This Row],[Hdébut interv.]]+IF(data[[#This Row],[Hdébut interv.]]&lt;SUMPRODUCT((data[Date]=data[[#This Row],[Date]])*data[Hdébut garde]),1,0)
)</f>
        <v>0.4916666666666667</v>
      </c>
      <c r="K36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0.54305555555555551</v>
      </c>
      <c r="L36" s="66" t="str">
        <f>IF(OR(WEEKDAY(data[[#This Row],[Date]],2)=7,COUNTIF(JF,data[[#This Row],[Date]])=1),"oui","non")</f>
        <v>oui</v>
      </c>
      <c r="M36" s="67">
        <f>MAX(0,(MIN(1,data[[#This Row],[Hfin corrigée]])-data[[#This Row],[Hdébut corrigé]])-data[[#This Row],[NUIT1.1]]-data[[#This Row],[NUIT1.2]])</f>
        <v>5.1388888888888817E-2</v>
      </c>
      <c r="N36" s="67">
        <f>IF(data[[#This Row],[Hfin Interv.]]="",0,(
MIN(FinNuit,MIN(1,data[[#This Row],[Hfin corrigée]]))-MIN(FinNuit,data[[#This Row],[Hdébut corrigé]])
))</f>
        <v>0</v>
      </c>
      <c r="O36" s="67">
        <f>MAX(0,(MAX(0,(MIN(1,data[[#This Row],[Hfin corrigée]])-DebNuit))-MAX(0,(data[[#This Row],[Hdébut corrigé]]-DebNuit))))</f>
        <v>0</v>
      </c>
      <c r="P36" s="66" t="str">
        <f>IF(OR(WEEKDAY(data[[#This Row],[Date]]+data[[#This Row],[Hfin corrigée]],2)=7,COUNTIF(JF,INT(data[[#This Row],[Date]]+data[[#This Row],[Hfin corrigée]]))=1),"oui","non")</f>
        <v>oui</v>
      </c>
      <c r="Q36" s="67">
        <f>MAX(0,data[[#This Row],[Hfin corrigée]]-MAX(1,data[[#This Row],[Hdébut corrigé]]))-data[[#This Row],[NUIT2.1]]-data[[#This Row],[NUIT2.2]]</f>
        <v>0</v>
      </c>
      <c r="R36" s="67">
        <f>MAX(0,MIN(1+FinNuit,data[[#This Row],[Hfin corrigée]])-MAX(1,data[[#This Row],[Hdébut corrigé]]))</f>
        <v>0</v>
      </c>
      <c r="S36" s="67">
        <f>MAX(0,(data[[#This Row],[Hfin corrigée]]-DebNuit-1))</f>
        <v>0</v>
      </c>
      <c r="T36" s="68">
        <f>IF(data[[#This Row],[Garde / Interv.]]="Intervention",MAX(0,data[[#This Row],[Hfin corrigée]]-SUMPRODUCT((data[Date]=data[[#This Row],[Date]])*(data[Garde / Interv.]="Garde")*data[Hfin corrigée])),0)</f>
        <v>0</v>
      </c>
      <c r="U36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6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6" s="67">
        <f>IF(data[[#This Row],[Garde / Interv.]]="Intervention",(data[[#This Row],[Fin Dim ou Férié]]="oui")*data[[#This Row],[JOUR2]]+(data[[#This Row],[Début Dim ou Férié]]="oui")*data[[#This Row],[JOUR1]],0)</f>
        <v>5.1388888888888817E-2</v>
      </c>
      <c r="X36" s="67">
        <f>MAX(0,IF(data[[#This Row],[Garde / Interv.]]="Intervention",data[[#This Row],[NUIT1.1]]+data[[#This Row],[NUIT1.2]]+data[[#This Row],[NUIT2.1]]+data[[#This Row],[NUIT2.2]],0))</f>
        <v>0</v>
      </c>
      <c r="Z36" s="153">
        <v>0.83333333333333337</v>
      </c>
    </row>
    <row r="37" spans="1:29" x14ac:dyDescent="0.3">
      <c r="A37" s="112">
        <v>43198</v>
      </c>
      <c r="B37" s="101" t="str">
        <f>IF(data[[#This Row],[Hdébut garde]]&lt;&gt;"","Garde",IF(data[[#This Row],[Hdébut corrigé]]&lt;&gt;"","Intervention",""))</f>
        <v>Intervention</v>
      </c>
      <c r="C37" s="146"/>
      <c r="D37" s="102"/>
      <c r="E37" s="147"/>
      <c r="F37" s="103"/>
      <c r="G37" s="104" t="s">
        <v>2</v>
      </c>
      <c r="H37" s="105">
        <v>0.84166666666666667</v>
      </c>
      <c r="I37" s="106">
        <v>0.89513888888888893</v>
      </c>
      <c r="J37" s="65">
        <f>IF(data[[#This Row],[Hdébut garde]]&lt;&gt;"",
data[[#This Row],[Hdébut garde]],
data[[#This Row],[Hdébut interv.]]+IF(data[[#This Row],[Hdébut interv.]]&lt;SUMPRODUCT((data[Date]=data[[#This Row],[Date]])*data[Hdébut garde]),1,0)
)</f>
        <v>0.84166666666666667</v>
      </c>
      <c r="K3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0.89513888888888893</v>
      </c>
      <c r="L37" s="66" t="str">
        <f>IF(OR(WEEKDAY(data[[#This Row],[Date]],2)=7,COUNTIF(JF,data[[#This Row],[Date]])=1),"oui","non")</f>
        <v>oui</v>
      </c>
      <c r="M37" s="67">
        <f>MAX(0,(MIN(1,data[[#This Row],[Hfin corrigée]])-data[[#This Row],[Hdébut corrigé]])-data[[#This Row],[NUIT1.1]]-data[[#This Row],[NUIT1.2]])</f>
        <v>5.3472222222222254E-2</v>
      </c>
      <c r="N37" s="67">
        <f>IF(data[[#This Row],[Hfin Interv.]]="",0,(
MIN(FinNuit,MIN(1,data[[#This Row],[Hfin corrigée]]))-MIN(FinNuit,data[[#This Row],[Hdébut corrigé]])
))</f>
        <v>0</v>
      </c>
      <c r="O37" s="67">
        <f>MAX(0,(MAX(0,(MIN(1,data[[#This Row],[Hfin corrigée]])-DebNuit))-MAX(0,(data[[#This Row],[Hdébut corrigé]]-DebNuit))))</f>
        <v>0</v>
      </c>
      <c r="P37" s="66" t="str">
        <f>IF(OR(WEEKDAY(data[[#This Row],[Date]]+data[[#This Row],[Hfin corrigée]],2)=7,COUNTIF(JF,INT(data[[#This Row],[Date]]+data[[#This Row],[Hfin corrigée]]))=1),"oui","non")</f>
        <v>oui</v>
      </c>
      <c r="Q37" s="67">
        <f>MAX(0,data[[#This Row],[Hfin corrigée]]-MAX(1,data[[#This Row],[Hdébut corrigé]]))-data[[#This Row],[NUIT2.1]]-data[[#This Row],[NUIT2.2]]</f>
        <v>0</v>
      </c>
      <c r="R37" s="67">
        <f>MAX(0,MIN(1+FinNuit,data[[#This Row],[Hfin corrigée]])-MAX(1,data[[#This Row],[Hdébut corrigé]]))</f>
        <v>0</v>
      </c>
      <c r="S37" s="67">
        <f>MAX(0,(data[[#This Row],[Hfin corrigée]]-DebNuit-1))</f>
        <v>0</v>
      </c>
      <c r="T37" s="68">
        <f>IF(data[[#This Row],[Garde / Interv.]]="Intervention",MAX(0,data[[#This Row],[Hfin corrigée]]-SUMPRODUCT((data[Date]=data[[#This Row],[Date]])*(data[Garde / Interv.]="Garde")*data[Hfin corrigée])),0)</f>
        <v>0</v>
      </c>
      <c r="U37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7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7" s="67">
        <f>IF(data[[#This Row],[Garde / Interv.]]="Intervention",(data[[#This Row],[Fin Dim ou Férié]]="oui")*data[[#This Row],[JOUR2]]+(data[[#This Row],[Début Dim ou Férié]]="oui")*data[[#This Row],[JOUR1]],0)</f>
        <v>5.3472222222222254E-2</v>
      </c>
      <c r="X37" s="67">
        <f>MAX(0,IF(data[[#This Row],[Garde / Interv.]]="Intervention",data[[#This Row],[NUIT1.1]]+data[[#This Row],[NUIT1.2]]+data[[#This Row],[NUIT2.1]]+data[[#This Row],[NUIT2.2]],0))</f>
        <v>0</v>
      </c>
      <c r="Z37" s="86"/>
    </row>
    <row r="38" spans="1:29" x14ac:dyDescent="0.3">
      <c r="A38" s="111">
        <v>43225</v>
      </c>
      <c r="B38" s="76" t="str">
        <f>IF(data[[#This Row],[Hdébut garde]]&lt;&gt;"","Garde",IF(data[[#This Row],[Hdébut corrigé]]&lt;&gt;"","Intervention",""))</f>
        <v>Garde</v>
      </c>
      <c r="C38" s="60">
        <v>0.33333333333333331</v>
      </c>
      <c r="D38" s="59">
        <v>0.33333333333333331</v>
      </c>
      <c r="E38" s="148"/>
      <c r="F38" s="50"/>
      <c r="G38" s="28"/>
      <c r="H38" s="51"/>
      <c r="I38" s="49"/>
      <c r="J38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38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38" s="53" t="str">
        <f>IF(OR(WEEKDAY(data[[#This Row],[Date]],2)=7,COUNTIF(JF,data[[#This Row],[Date]])=1),"oui","non")</f>
        <v>non</v>
      </c>
      <c r="M38" s="54">
        <f>MAX(0,(MIN(1,data[[#This Row],[Hfin corrigée]])-data[[#This Row],[Hdébut corrigé]])-data[[#This Row],[NUIT1.1]]-data[[#This Row],[NUIT1.2]])</f>
        <v>0.58333333333333337</v>
      </c>
      <c r="N38" s="54">
        <f>IF(data[[#This Row],[Hfin Interv.]]="",0,(
MIN(FinNuit,MIN(1,data[[#This Row],[Hfin corrigée]]))-MIN(FinNuit,data[[#This Row],[Hdébut corrigé]])
))</f>
        <v>0</v>
      </c>
      <c r="O38" s="54">
        <f>MAX(0,(MAX(0,(MIN(1,data[[#This Row],[Hfin corrigée]])-DebNuit))-MAX(0,(data[[#This Row],[Hdébut corrigé]]-DebNuit))))</f>
        <v>8.333333333333337E-2</v>
      </c>
      <c r="P38" s="53" t="str">
        <f>IF(OR(WEEKDAY(data[[#This Row],[Date]]+data[[#This Row],[Hfin corrigée]],2)=7,COUNTIF(JF,INT(data[[#This Row],[Date]]+data[[#This Row],[Hfin corrigée]]))=1),"oui","non")</f>
        <v>oui</v>
      </c>
      <c r="Q38" s="54">
        <f>MAX(0,data[[#This Row],[Hfin corrigée]]-MAX(1,data[[#This Row],[Hdébut corrigé]]))-data[[#This Row],[NUIT2.1]]-data[[#This Row],[NUIT2.2]]</f>
        <v>4.1666666666666519E-2</v>
      </c>
      <c r="R38" s="54">
        <f>MAX(0,MIN(1+FinNuit,data[[#This Row],[Hfin corrigée]])-MAX(1,data[[#This Row],[Hdébut corrigé]]))</f>
        <v>0.29166666666666674</v>
      </c>
      <c r="S38" s="54">
        <f>MAX(0,(data[[#This Row],[Hfin corrigée]]-DebNuit-1))</f>
        <v>0</v>
      </c>
      <c r="T38" s="55">
        <f>IF(data[[#This Row],[Garde / Interv.]]="Intervention",MAX(0,data[[#This Row],[Hfin corrigée]]-SUMPRODUCT((data[Date]=data[[#This Row],[Date]])*(data[Garde / Interv.]="Garde")*data[Hfin corrigée])),0)</f>
        <v>0</v>
      </c>
      <c r="U38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0.80208333333333293</v>
      </c>
      <c r="V38" s="54">
        <f>MAX(0,IF(data[[#This Row],[Garde / Interv.]]="Intervention",(data[[#This Row],[Fin Dim ou Férié]]="non")*data[[#This Row],[JOUR2]]+(data[[#This Row],[Début Dim ou Férié]]="non")*data[[#This Row],[JOUR1]],0))</f>
        <v>0</v>
      </c>
      <c r="W38" s="54">
        <f>IF(data[[#This Row],[Garde / Interv.]]="Intervention",(data[[#This Row],[Fin Dim ou Férié]]="oui")*data[[#This Row],[JOUR2]]+(data[[#This Row],[Début Dim ou Férié]]="oui")*data[[#This Row],[JOUR1]],0)</f>
        <v>0</v>
      </c>
      <c r="X38" s="54">
        <f>MAX(0,IF(data[[#This Row],[Garde / Interv.]]="Intervention",data[[#This Row],[NUIT1.1]]+data[[#This Row],[NUIT1.2]]+data[[#This Row],[NUIT2.1]]+data[[#This Row],[NUIT2.2]],0))</f>
        <v>0</v>
      </c>
      <c r="Y38" s="56"/>
    </row>
    <row r="39" spans="1:29" s="57" customFormat="1" x14ac:dyDescent="0.3">
      <c r="A39" s="111">
        <v>43225</v>
      </c>
      <c r="B39" s="76" t="str">
        <f>IF(data[[#This Row],[Hdébut garde]]&lt;&gt;"","Garde",IF(data[[#This Row],[Hdébut corrigé]]&lt;&gt;"","Intervention",""))</f>
        <v>Intervention</v>
      </c>
      <c r="C39" s="60"/>
      <c r="D39" s="59"/>
      <c r="E39" s="148"/>
      <c r="F39" s="28"/>
      <c r="G39" s="28" t="s">
        <v>2</v>
      </c>
      <c r="H39" s="51">
        <v>0.60208333333333297</v>
      </c>
      <c r="I39" s="49">
        <v>0.61111111111111105</v>
      </c>
      <c r="J39" s="52">
        <f>IF(data[[#This Row],[Hdébut garde]]&lt;&gt;"",
data[[#This Row],[Hdébut garde]],
data[[#This Row],[Hdébut interv.]]+IF(data[[#This Row],[Hdébut interv.]]&lt;SUMPRODUCT((data[Date]=data[[#This Row],[Date]])*data[Hdébut garde]),1,0)
)</f>
        <v>0.60208333333333297</v>
      </c>
      <c r="K39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0.61111111111111105</v>
      </c>
      <c r="L39" s="53" t="str">
        <f>IF(OR(WEEKDAY(data[[#This Row],[Date]],2)=7,COUNTIF(JF,data[[#This Row],[Date]])=1),"oui","non")</f>
        <v>non</v>
      </c>
      <c r="M39" s="54">
        <f>MAX(0,(MIN(1,data[[#This Row],[Hfin corrigée]])-data[[#This Row],[Hdébut corrigé]])-data[[#This Row],[NUIT1.1]]-data[[#This Row],[NUIT1.2]])</f>
        <v>9.0277777777780788E-3</v>
      </c>
      <c r="N39" s="54">
        <f>IF(data[[#This Row],[Hfin Interv.]]="",0,(
MIN(FinNuit,MIN(1,data[[#This Row],[Hfin corrigée]]))-MIN(FinNuit,data[[#This Row],[Hdébut corrigé]])
))</f>
        <v>0</v>
      </c>
      <c r="O39" s="54">
        <f>MAX(0,(MAX(0,(MIN(1,data[[#This Row],[Hfin corrigée]])-DebNuit))-MAX(0,(data[[#This Row],[Hdébut corrigé]]-DebNuit))))</f>
        <v>0</v>
      </c>
      <c r="P39" s="53" t="str">
        <f>IF(OR(WEEKDAY(data[[#This Row],[Date]]+data[[#This Row],[Hfin corrigée]],2)=7,COUNTIF(JF,INT(data[[#This Row],[Date]]+data[[#This Row],[Hfin corrigée]]))=1),"oui","non")</f>
        <v>non</v>
      </c>
      <c r="Q39" s="54">
        <f>MAX(0,data[[#This Row],[Hfin corrigée]]-MAX(1,data[[#This Row],[Hdébut corrigé]]))-data[[#This Row],[NUIT2.1]]-data[[#This Row],[NUIT2.2]]</f>
        <v>0</v>
      </c>
      <c r="R39" s="54">
        <f>MAX(0,MIN(1+FinNuit,data[[#This Row],[Hfin corrigée]])-MAX(1,data[[#This Row],[Hdébut corrigé]]))</f>
        <v>0</v>
      </c>
      <c r="S39" s="54">
        <f>MAX(0,(data[[#This Row],[Hfin corrigée]]-DebNuit-1))</f>
        <v>0</v>
      </c>
      <c r="T39" s="55">
        <f>IF(data[[#This Row],[Garde / Interv.]]="Intervention",MAX(0,data[[#This Row],[Hfin corrigée]]-SUMPRODUCT((data[Date]=data[[#This Row],[Date]])*(data[Garde / Interv.]="Garde")*data[Hfin corrigée])),0)</f>
        <v>0</v>
      </c>
      <c r="U39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9" s="54">
        <f>MAX(0,IF(data[[#This Row],[Garde / Interv.]]="Intervention",(data[[#This Row],[Fin Dim ou Férié]]="non")*data[[#This Row],[JOUR2]]+(data[[#This Row],[Début Dim ou Férié]]="non")*data[[#This Row],[JOUR1]],0))</f>
        <v>9.0277777777780788E-3</v>
      </c>
      <c r="W39" s="54">
        <f>IF(data[[#This Row],[Garde / Interv.]]="Intervention",(data[[#This Row],[Fin Dim ou Férié]]="oui")*data[[#This Row],[JOUR2]]+(data[[#This Row],[Début Dim ou Férié]]="oui")*data[[#This Row],[JOUR1]],0)</f>
        <v>0</v>
      </c>
      <c r="X39" s="54">
        <f>MAX(0,IF(data[[#This Row],[Garde / Interv.]]="Intervention",data[[#This Row],[NUIT1.1]]+data[[#This Row],[NUIT1.2]]+data[[#This Row],[NUIT2.1]]+data[[#This Row],[NUIT2.2]],0))</f>
        <v>0</v>
      </c>
    </row>
    <row r="40" spans="1:29" x14ac:dyDescent="0.3">
      <c r="A40" s="111">
        <v>43225</v>
      </c>
      <c r="B40" s="76" t="str">
        <f>IF(data[[#This Row],[Hdébut garde]]&lt;&gt;"","Garde",IF(data[[#This Row],[Hdébut corrigé]]&lt;&gt;"","Intervention",""))</f>
        <v>Intervention</v>
      </c>
      <c r="C40" s="60"/>
      <c r="D40" s="59"/>
      <c r="E40" s="148"/>
      <c r="F40" s="28"/>
      <c r="G40" s="28" t="s">
        <v>2</v>
      </c>
      <c r="H40" s="51">
        <v>0.62708333333333299</v>
      </c>
      <c r="I40" s="49">
        <v>0.68611111111111101</v>
      </c>
      <c r="J40" s="52">
        <f>IF(data[[#This Row],[Hdébut garde]]&lt;&gt;"",
data[[#This Row],[Hdébut garde]],
data[[#This Row],[Hdébut interv.]]+IF(data[[#This Row],[Hdébut interv.]]&lt;SUMPRODUCT((data[Date]=data[[#This Row],[Date]])*data[Hdébut garde]),1,0)
)</f>
        <v>0.62708333333333299</v>
      </c>
      <c r="K40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0.68611111111111101</v>
      </c>
      <c r="L40" s="53" t="str">
        <f>IF(OR(WEEKDAY(data[[#This Row],[Date]],2)=7,COUNTIF(JF,data[[#This Row],[Date]])=1),"oui","non")</f>
        <v>non</v>
      </c>
      <c r="M40" s="54">
        <f>MAX(0,(MIN(1,data[[#This Row],[Hfin corrigée]])-data[[#This Row],[Hdébut corrigé]])-data[[#This Row],[NUIT1.1]]-data[[#This Row],[NUIT1.2]])</f>
        <v>5.9027777777778012E-2</v>
      </c>
      <c r="N40" s="54">
        <f>IF(data[[#This Row],[Hfin Interv.]]="",0,(
MIN(FinNuit,MIN(1,data[[#This Row],[Hfin corrigée]]))-MIN(FinNuit,data[[#This Row],[Hdébut corrigé]])
))</f>
        <v>0</v>
      </c>
      <c r="O40" s="54">
        <f>MAX(0,(MAX(0,(MIN(1,data[[#This Row],[Hfin corrigée]])-DebNuit))-MAX(0,(data[[#This Row],[Hdébut corrigé]]-DebNuit))))</f>
        <v>0</v>
      </c>
      <c r="P40" s="53" t="str">
        <f>IF(OR(WEEKDAY(data[[#This Row],[Date]]+data[[#This Row],[Hfin corrigée]],2)=7,COUNTIF(JF,INT(data[[#This Row],[Date]]+data[[#This Row],[Hfin corrigée]]))=1),"oui","non")</f>
        <v>non</v>
      </c>
      <c r="Q40" s="54">
        <f>MAX(0,data[[#This Row],[Hfin corrigée]]-MAX(1,data[[#This Row],[Hdébut corrigé]]))-data[[#This Row],[NUIT2.1]]-data[[#This Row],[NUIT2.2]]</f>
        <v>0</v>
      </c>
      <c r="R40" s="54">
        <f>MAX(0,MIN(1+FinNuit,data[[#This Row],[Hfin corrigée]])-MAX(1,data[[#This Row],[Hdébut corrigé]]))</f>
        <v>0</v>
      </c>
      <c r="S40" s="54">
        <f>MAX(0,(data[[#This Row],[Hfin corrigée]]-DebNuit-1))</f>
        <v>0</v>
      </c>
      <c r="T40" s="55">
        <f>IF(data[[#This Row],[Garde / Interv.]]="Intervention",MAX(0,data[[#This Row],[Hfin corrigée]]-SUMPRODUCT((data[Date]=data[[#This Row],[Date]])*(data[Garde / Interv.]="Garde")*data[Hfin corrigée])),0)</f>
        <v>0</v>
      </c>
      <c r="U40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0" s="54">
        <f>MAX(0,IF(data[[#This Row],[Garde / Interv.]]="Intervention",(data[[#This Row],[Fin Dim ou Férié]]="non")*data[[#This Row],[JOUR2]]+(data[[#This Row],[Début Dim ou Férié]]="non")*data[[#This Row],[JOUR1]],0))</f>
        <v>5.9027777777778012E-2</v>
      </c>
      <c r="W40" s="54">
        <f>IF(data[[#This Row],[Garde / Interv.]]="Intervention",(data[[#This Row],[Fin Dim ou Férié]]="oui")*data[[#This Row],[JOUR2]]+(data[[#This Row],[Début Dim ou Férié]]="oui")*data[[#This Row],[JOUR1]],0)</f>
        <v>0</v>
      </c>
      <c r="X40" s="54">
        <f>MAX(0,IF(data[[#This Row],[Garde / Interv.]]="Intervention",data[[#This Row],[NUIT1.1]]+data[[#This Row],[NUIT1.2]]+data[[#This Row],[NUIT2.1]]+data[[#This Row],[NUIT2.2]],0))</f>
        <v>0</v>
      </c>
      <c r="Y40" s="56"/>
      <c r="Z40" s="172" t="s">
        <v>103</v>
      </c>
      <c r="AA40" s="173">
        <f>SUM(U38:U49)</f>
        <v>2.8854166666666679</v>
      </c>
      <c r="AB40" s="86">
        <f>SUM(V39:X49)</f>
        <v>0.44791666666666519</v>
      </c>
      <c r="AC40" s="86">
        <f>AA40-AB40</f>
        <v>2.4375000000000027</v>
      </c>
    </row>
    <row r="41" spans="1:29" x14ac:dyDescent="0.3">
      <c r="A41" s="111">
        <v>43225</v>
      </c>
      <c r="B41" s="76" t="str">
        <f>IF(data[[#This Row],[Hdébut garde]]&lt;&gt;"","Garde",IF(data[[#This Row],[Hdébut corrigé]]&lt;&gt;"","Intervention",""))</f>
        <v>Intervention</v>
      </c>
      <c r="C41" s="60"/>
      <c r="D41" s="59"/>
      <c r="E41" s="148"/>
      <c r="F41" s="28"/>
      <c r="G41" s="28" t="s">
        <v>2</v>
      </c>
      <c r="H41" s="51">
        <v>0.84930555555555598</v>
      </c>
      <c r="I41" s="49">
        <v>0.91666666666666696</v>
      </c>
      <c r="J41" s="52">
        <f>IF(data[[#This Row],[Hdébut garde]]&lt;&gt;"",
data[[#This Row],[Hdébut garde]],
data[[#This Row],[Hdébut interv.]]+IF(data[[#This Row],[Hdébut interv.]]&lt;SUMPRODUCT((data[Date]=data[[#This Row],[Date]])*data[Hdébut garde]),1,0)
)</f>
        <v>0.84930555555555598</v>
      </c>
      <c r="K41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0.91666666666666696</v>
      </c>
      <c r="L41" s="53" t="str">
        <f>IF(OR(WEEKDAY(data[[#This Row],[Date]],2)=7,COUNTIF(JF,data[[#This Row],[Date]])=1),"oui","non")</f>
        <v>non</v>
      </c>
      <c r="M41" s="54">
        <f>MAX(0,(MIN(1,data[[#This Row],[Hfin corrigée]])-data[[#This Row],[Hdébut corrigé]])-data[[#This Row],[NUIT1.1]]-data[[#This Row],[NUIT1.2]])</f>
        <v>6.736111111111065E-2</v>
      </c>
      <c r="N41" s="54">
        <f>IF(data[[#This Row],[Hfin Interv.]]="",0,(
MIN(FinNuit,MIN(1,data[[#This Row],[Hfin corrigée]]))-MIN(FinNuit,data[[#This Row],[Hdébut corrigé]])
))</f>
        <v>0</v>
      </c>
      <c r="O41" s="54">
        <f>MAX(0,(MAX(0,(MIN(1,data[[#This Row],[Hfin corrigée]])-DebNuit))-MAX(0,(data[[#This Row],[Hdébut corrigé]]-DebNuit))))</f>
        <v>3.3306690738754696E-16</v>
      </c>
      <c r="P41" s="53" t="str">
        <f>IF(OR(WEEKDAY(data[[#This Row],[Date]]+data[[#This Row],[Hfin corrigée]],2)=7,COUNTIF(JF,INT(data[[#This Row],[Date]]+data[[#This Row],[Hfin corrigée]]))=1),"oui","non")</f>
        <v>non</v>
      </c>
      <c r="Q41" s="54">
        <f>MAX(0,data[[#This Row],[Hfin corrigée]]-MAX(1,data[[#This Row],[Hdébut corrigé]]))-data[[#This Row],[NUIT2.1]]-data[[#This Row],[NUIT2.2]]</f>
        <v>0</v>
      </c>
      <c r="R41" s="54">
        <f>MAX(0,MIN(1+FinNuit,data[[#This Row],[Hfin corrigée]])-MAX(1,data[[#This Row],[Hdébut corrigé]]))</f>
        <v>0</v>
      </c>
      <c r="S41" s="54">
        <f>MAX(0,(data[[#This Row],[Hfin corrigée]]-DebNuit-1))</f>
        <v>0</v>
      </c>
      <c r="T41" s="55">
        <f>IF(data[[#This Row],[Garde / Interv.]]="Intervention",MAX(0,data[[#This Row],[Hfin corrigée]]-SUMPRODUCT((data[Date]=data[[#This Row],[Date]])*(data[Garde / Interv.]="Garde")*data[Hfin corrigée])),0)</f>
        <v>0</v>
      </c>
      <c r="U41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1" s="54">
        <f>MAX(0,IF(data[[#This Row],[Garde / Interv.]]="Intervention",(data[[#This Row],[Fin Dim ou Férié]]="non")*data[[#This Row],[JOUR2]]+(data[[#This Row],[Début Dim ou Férié]]="non")*data[[#This Row],[JOUR1]],0))</f>
        <v>6.736111111111065E-2</v>
      </c>
      <c r="W41" s="54">
        <f>IF(data[[#This Row],[Garde / Interv.]]="Intervention",(data[[#This Row],[Fin Dim ou Férié]]="oui")*data[[#This Row],[JOUR2]]+(data[[#This Row],[Début Dim ou Férié]]="oui")*data[[#This Row],[JOUR1]],0)</f>
        <v>0</v>
      </c>
      <c r="X41" s="54">
        <f>MAX(0,IF(data[[#This Row],[Garde / Interv.]]="Intervention",data[[#This Row],[NUIT1.1]]+data[[#This Row],[NUIT1.2]]+data[[#This Row],[NUIT2.1]]+data[[#This Row],[NUIT2.2]],0))</f>
        <v>3.3306690738754696E-16</v>
      </c>
      <c r="Y41" s="58"/>
    </row>
    <row r="42" spans="1:29" x14ac:dyDescent="0.3">
      <c r="A42" s="113">
        <v>43225</v>
      </c>
      <c r="B42" s="77" t="str">
        <f>IF(data[[#This Row],[Hdébut garde]]&lt;&gt;"","Garde",IF(data[[#This Row],[Hdébut corrigé]]&lt;&gt;"","Intervention",""))</f>
        <v>Intervention</v>
      </c>
      <c r="C42" s="60"/>
      <c r="D42" s="59"/>
      <c r="E42" s="148"/>
      <c r="F42" s="29"/>
      <c r="G42" s="29" t="s">
        <v>2</v>
      </c>
      <c r="H42" s="60">
        <v>0.92361111111111105</v>
      </c>
      <c r="I42" s="59">
        <v>0.98611111111111105</v>
      </c>
      <c r="J42" s="61">
        <f>IF(data[[#This Row],[Hdébut garde]]&lt;&gt;"",
data[[#This Row],[Hdébut garde]],
data[[#This Row],[Hdébut interv.]]+IF(data[[#This Row],[Hdébut interv.]]&lt;SUMPRODUCT((data[Date]=data[[#This Row],[Date]])*data[Hdébut garde]),1,0)
)</f>
        <v>0.92361111111111105</v>
      </c>
      <c r="K42" s="61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0.98611111111111105</v>
      </c>
      <c r="L42" s="62" t="str">
        <f>IF(OR(WEEKDAY(data[[#This Row],[Date]],2)=7,COUNTIF(JF,data[[#This Row],[Date]])=1),"oui","non")</f>
        <v>non</v>
      </c>
      <c r="M42" s="63">
        <f>MAX(0,(MIN(1,data[[#This Row],[Hfin corrigée]])-data[[#This Row],[Hdébut corrigé]])-data[[#This Row],[NUIT1.1]]-data[[#This Row],[NUIT1.2]])</f>
        <v>0</v>
      </c>
      <c r="N42" s="63">
        <f>IF(data[[#This Row],[Hfin Interv.]]="",0,(
MIN(FinNuit,MIN(1,data[[#This Row],[Hfin corrigée]]))-MIN(FinNuit,data[[#This Row],[Hdébut corrigé]])
))</f>
        <v>0</v>
      </c>
      <c r="O42" s="63">
        <f>MAX(0,(MAX(0,(MIN(1,data[[#This Row],[Hfin corrigée]])-DebNuit))-MAX(0,(data[[#This Row],[Hdébut corrigé]]-DebNuit))))</f>
        <v>6.25E-2</v>
      </c>
      <c r="P42" s="62" t="str">
        <f>IF(OR(WEEKDAY(data[[#This Row],[Date]]+data[[#This Row],[Hfin corrigée]],2)=7,COUNTIF(JF,INT(data[[#This Row],[Date]]+data[[#This Row],[Hfin corrigée]]))=1),"oui","non")</f>
        <v>non</v>
      </c>
      <c r="Q42" s="63">
        <f>MAX(0,data[[#This Row],[Hfin corrigée]]-MAX(1,data[[#This Row],[Hdébut corrigé]]))-data[[#This Row],[NUIT2.1]]-data[[#This Row],[NUIT2.2]]</f>
        <v>0</v>
      </c>
      <c r="R42" s="63">
        <f>MAX(0,MIN(1+FinNuit,data[[#This Row],[Hfin corrigée]])-MAX(1,data[[#This Row],[Hdébut corrigé]]))</f>
        <v>0</v>
      </c>
      <c r="S42" s="63">
        <f>MAX(0,(data[[#This Row],[Hfin corrigée]]-DebNuit-1))</f>
        <v>0</v>
      </c>
      <c r="T42" s="64">
        <f>IF(data[[#This Row],[Garde / Interv.]]="Intervention",MAX(0,data[[#This Row],[Hfin corrigée]]-SUMPRODUCT((data[Date]=data[[#This Row],[Date]])*(data[Garde / Interv.]="Garde")*data[Hfin corrigée])),0)</f>
        <v>0</v>
      </c>
      <c r="U42" s="63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2" s="63">
        <f>MAX(0,IF(data[[#This Row],[Garde / Interv.]]="Intervention",(data[[#This Row],[Fin Dim ou Férié]]="non")*data[[#This Row],[JOUR2]]+(data[[#This Row],[Début Dim ou Férié]]="non")*data[[#This Row],[JOUR1]],0))</f>
        <v>0</v>
      </c>
      <c r="W42" s="63">
        <f>IF(data[[#This Row],[Garde / Interv.]]="Intervention",(data[[#This Row],[Fin Dim ou Férié]]="oui")*data[[#This Row],[JOUR2]]+(data[[#This Row],[Début Dim ou Férié]]="oui")*data[[#This Row],[JOUR1]],0)</f>
        <v>0</v>
      </c>
      <c r="X42" s="63">
        <f>MAX(0,IF(data[[#This Row],[Garde / Interv.]]="Intervention",data[[#This Row],[NUIT1.1]]+data[[#This Row],[NUIT1.2]]+data[[#This Row],[NUIT2.1]]+data[[#This Row],[NUIT2.2]],0))</f>
        <v>6.25E-2</v>
      </c>
      <c r="Y42" s="58"/>
    </row>
    <row r="43" spans="1:29" x14ac:dyDescent="0.3">
      <c r="A43" s="111">
        <v>43233</v>
      </c>
      <c r="B43" s="76" t="str">
        <f>IF(data[[#This Row],[Hdébut garde]]&lt;&gt;"","Garde",IF(data[[#This Row],[Hdébut corrigé]]&lt;&gt;"","Intervention",""))</f>
        <v>Garde</v>
      </c>
      <c r="C43" s="60">
        <v>0.41666666666666669</v>
      </c>
      <c r="D43" s="59">
        <v>0.33333333333333331</v>
      </c>
      <c r="E43" s="148"/>
      <c r="F43" s="28"/>
      <c r="G43" s="28"/>
      <c r="H43" s="51"/>
      <c r="I43" s="49"/>
      <c r="J43" s="52">
        <f>IF(data[[#This Row],[Hdébut garde]]&lt;&gt;"",
data[[#This Row],[Hdébut garde]],
data[[#This Row],[Hdébut interv.]]+IF(data[[#This Row],[Hdébut interv.]]&lt;SUMPRODUCT((data[Date]=data[[#This Row],[Date]])*data[Hdébut garde]),1,0)
)</f>
        <v>0.41666666666666669</v>
      </c>
      <c r="K4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43" s="53" t="str">
        <f>IF(OR(WEEKDAY(data[[#This Row],[Date]],2)=7,COUNTIF(JF,data[[#This Row],[Date]])=1),"oui","non")</f>
        <v>oui</v>
      </c>
      <c r="M43" s="54">
        <f>MAX(0,(MIN(1,data[[#This Row],[Hfin corrigée]])-data[[#This Row],[Hdébut corrigé]])-data[[#This Row],[NUIT1.1]]-data[[#This Row],[NUIT1.2]])</f>
        <v>0.49999999999999989</v>
      </c>
      <c r="N43" s="54">
        <f>IF(data[[#This Row],[Hfin Interv.]]="",0,(
MIN(FinNuit,MIN(1,data[[#This Row],[Hfin corrigée]]))-MIN(FinNuit,data[[#This Row],[Hdébut corrigé]])
))</f>
        <v>0</v>
      </c>
      <c r="O43" s="54">
        <f>MAX(0,(MAX(0,(MIN(1,data[[#This Row],[Hfin corrigée]])-DebNuit))-MAX(0,(data[[#This Row],[Hdébut corrigé]]-DebNuit))))</f>
        <v>8.333333333333337E-2</v>
      </c>
      <c r="P43" s="53" t="str">
        <f>IF(OR(WEEKDAY(data[[#This Row],[Date]]+data[[#This Row],[Hfin corrigée]],2)=7,COUNTIF(JF,INT(data[[#This Row],[Date]]+data[[#This Row],[Hfin corrigée]]))=1),"oui","non")</f>
        <v>non</v>
      </c>
      <c r="Q43" s="54">
        <f>MAX(0,data[[#This Row],[Hfin corrigée]]-MAX(1,data[[#This Row],[Hdébut corrigé]]))-data[[#This Row],[NUIT2.1]]-data[[#This Row],[NUIT2.2]]</f>
        <v>4.1666666666666519E-2</v>
      </c>
      <c r="R43" s="54">
        <f>MAX(0,MIN(1+FinNuit,data[[#This Row],[Hfin corrigée]])-MAX(1,data[[#This Row],[Hdébut corrigé]]))</f>
        <v>0.29166666666666674</v>
      </c>
      <c r="S43" s="54">
        <f>MAX(0,(data[[#This Row],[Hfin corrigée]]-DebNuit-1))</f>
        <v>0</v>
      </c>
      <c r="T43" s="55">
        <f>IF(data[[#This Row],[Garde / Interv.]]="Intervention",MAX(0,data[[#This Row],[Hfin corrigée]]-SUMPRODUCT((data[Date]=data[[#This Row],[Date]])*(data[Garde / Interv.]="Garde")*data[Hfin corrigée])),0)</f>
        <v>0</v>
      </c>
      <c r="U43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0.84513888888888944</v>
      </c>
      <c r="V43" s="54">
        <f>MAX(0,IF(data[[#This Row],[Garde / Interv.]]="Intervention",(data[[#This Row],[Fin Dim ou Férié]]="non")*data[[#This Row],[JOUR2]]+(data[[#This Row],[Début Dim ou Férié]]="non")*data[[#This Row],[JOUR1]],0))</f>
        <v>0</v>
      </c>
      <c r="W43" s="54">
        <f>IF(data[[#This Row],[Garde / Interv.]]="Intervention",(data[[#This Row],[Fin Dim ou Férié]]="oui")*data[[#This Row],[JOUR2]]+(data[[#This Row],[Début Dim ou Férié]]="oui")*data[[#This Row],[JOUR1]],0)</f>
        <v>0</v>
      </c>
      <c r="X43" s="54">
        <f>MAX(0,IF(data[[#This Row],[Garde / Interv.]]="Intervention",data[[#This Row],[NUIT1.1]]+data[[#This Row],[NUIT1.2]]+data[[#This Row],[NUIT2.1]]+data[[#This Row],[NUIT2.2]],0))</f>
        <v>0</v>
      </c>
      <c r="Y43" s="58"/>
    </row>
    <row r="44" spans="1:29" x14ac:dyDescent="0.3">
      <c r="A44" s="111">
        <v>43233</v>
      </c>
      <c r="B44" s="78" t="str">
        <f>IF(data[[#This Row],[Hdébut garde]]&lt;&gt;"","Garde",IF(data[[#This Row],[Hdébut corrigé]]&lt;&gt;"","Intervention",""))</f>
        <v>Intervention</v>
      </c>
      <c r="C44" s="60"/>
      <c r="D44" s="59"/>
      <c r="E44" s="148"/>
      <c r="F44" s="48"/>
      <c r="G44" s="30" t="s">
        <v>2</v>
      </c>
      <c r="H44" s="51">
        <v>0.76180555555555596</v>
      </c>
      <c r="I44" s="49">
        <v>0.83333333333333304</v>
      </c>
      <c r="J44" s="65">
        <f>IF(data[[#This Row],[Hdébut garde]]&lt;&gt;"",
data[[#This Row],[Hdébut garde]],
data[[#This Row],[Hdébut interv.]]+IF(data[[#This Row],[Hdébut interv.]]&lt;SUMPRODUCT((data[Date]=data[[#This Row],[Date]])*data[Hdébut garde]),1,0)
)</f>
        <v>0.76180555555555596</v>
      </c>
      <c r="K44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0.83333333333333304</v>
      </c>
      <c r="L44" s="66" t="str">
        <f>IF(OR(WEEKDAY(data[[#This Row],[Date]],2)=7,COUNTIF(JF,data[[#This Row],[Date]])=1),"oui","non")</f>
        <v>oui</v>
      </c>
      <c r="M44" s="67">
        <f>MAX(0,(MIN(1,data[[#This Row],[Hfin corrigée]])-data[[#This Row],[Hdébut corrigé]])-data[[#This Row],[NUIT1.1]]-data[[#This Row],[NUIT1.2]])</f>
        <v>7.152777777777708E-2</v>
      </c>
      <c r="N44" s="67">
        <f>IF(data[[#This Row],[Hfin Interv.]]="",0,(
MIN(FinNuit,MIN(1,data[[#This Row],[Hfin corrigée]]))-MIN(FinNuit,data[[#This Row],[Hdébut corrigé]])
))</f>
        <v>0</v>
      </c>
      <c r="O44" s="67">
        <f>MAX(0,(MAX(0,(MIN(1,data[[#This Row],[Hfin corrigée]])-DebNuit))-MAX(0,(data[[#This Row],[Hdébut corrigé]]-DebNuit))))</f>
        <v>0</v>
      </c>
      <c r="P44" s="66" t="str">
        <f>IF(OR(WEEKDAY(data[[#This Row],[Date]]+data[[#This Row],[Hfin corrigée]],2)=7,COUNTIF(JF,INT(data[[#This Row],[Date]]+data[[#This Row],[Hfin corrigée]]))=1),"oui","non")</f>
        <v>oui</v>
      </c>
      <c r="Q44" s="67">
        <f>MAX(0,data[[#This Row],[Hfin corrigée]]-MAX(1,data[[#This Row],[Hdébut corrigé]]))-data[[#This Row],[NUIT2.1]]-data[[#This Row],[NUIT2.2]]</f>
        <v>0</v>
      </c>
      <c r="R44" s="67">
        <f>MAX(0,MIN(1+FinNuit,data[[#This Row],[Hfin corrigée]])-MAX(1,data[[#This Row],[Hdébut corrigé]]))</f>
        <v>0</v>
      </c>
      <c r="S44" s="67">
        <f>MAX(0,(data[[#This Row],[Hfin corrigée]]-DebNuit-1))</f>
        <v>0</v>
      </c>
      <c r="T44" s="68">
        <f>IF(data[[#This Row],[Garde / Interv.]]="Intervention",MAX(0,data[[#This Row],[Hfin corrigée]]-SUMPRODUCT((data[Date]=data[[#This Row],[Date]])*(data[Garde / Interv.]="Garde")*data[Hfin corrigée])),0)</f>
        <v>0</v>
      </c>
      <c r="U44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4" s="67">
        <f>MAX(0,IF(data[[#This Row],[Garde / Interv.]]="Intervention",(data[[#This Row],[Fin Dim ou Férié]]="non")*data[[#This Row],[JOUR2]]+(data[[#This Row],[Début Dim ou Férié]]="non")*data[[#This Row],[JOUR1]],0))</f>
        <v>0</v>
      </c>
      <c r="W44" s="67">
        <f>IF(data[[#This Row],[Garde / Interv.]]="Intervention",(data[[#This Row],[Fin Dim ou Férié]]="oui")*data[[#This Row],[JOUR2]]+(data[[#This Row],[Début Dim ou Férié]]="oui")*data[[#This Row],[JOUR1]],0)</f>
        <v>7.152777777777708E-2</v>
      </c>
      <c r="X44" s="67">
        <f>MAX(0,IF(data[[#This Row],[Garde / Interv.]]="Intervention",data[[#This Row],[NUIT1.1]]+data[[#This Row],[NUIT1.2]]+data[[#This Row],[NUIT2.1]]+data[[#This Row],[NUIT2.2]],0))</f>
        <v>0</v>
      </c>
    </row>
    <row r="45" spans="1:29" x14ac:dyDescent="0.3">
      <c r="A45" s="111">
        <v>43239</v>
      </c>
      <c r="B45" s="78" t="str">
        <f>IF(data[[#This Row],[Hdébut garde]]&lt;&gt;"","Garde",IF(data[[#This Row],[Hdébut corrigé]]&lt;&gt;"","Intervention",""))</f>
        <v>Garde</v>
      </c>
      <c r="C45" s="60">
        <v>0.33333333333333331</v>
      </c>
      <c r="D45" s="59">
        <v>0.75</v>
      </c>
      <c r="E45" s="148"/>
      <c r="F45" s="48"/>
      <c r="G45" s="30"/>
      <c r="H45" s="51"/>
      <c r="I45" s="49"/>
      <c r="J45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45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</v>
      </c>
      <c r="L45" s="66" t="str">
        <f>IF(OR(WEEKDAY(data[[#This Row],[Date]],2)=7,COUNTIF(JF,data[[#This Row],[Date]])=1),"oui","non")</f>
        <v>non</v>
      </c>
      <c r="M45" s="67">
        <f>MAX(0,(MIN(1,data[[#This Row],[Hfin corrigée]])-data[[#This Row],[Hdébut corrigé]])-data[[#This Row],[NUIT1.1]]-data[[#This Row],[NUIT1.2]])</f>
        <v>0.41666666666666669</v>
      </c>
      <c r="N45" s="67">
        <f>IF(data[[#This Row],[Hfin Interv.]]="",0,(
MIN(FinNuit,MIN(1,data[[#This Row],[Hfin corrigée]]))-MIN(FinNuit,data[[#This Row],[Hdébut corrigé]])
))</f>
        <v>0</v>
      </c>
      <c r="O45" s="67">
        <f>MAX(0,(MAX(0,(MIN(1,data[[#This Row],[Hfin corrigée]])-DebNuit))-MAX(0,(data[[#This Row],[Hdébut corrigé]]-DebNuit))))</f>
        <v>0</v>
      </c>
      <c r="P45" s="66" t="str">
        <f>IF(OR(WEEKDAY(data[[#This Row],[Date]]+data[[#This Row],[Hfin corrigée]],2)=7,COUNTIF(JF,INT(data[[#This Row],[Date]]+data[[#This Row],[Hfin corrigée]]))=1),"oui","non")</f>
        <v>non</v>
      </c>
      <c r="Q45" s="67">
        <f>MAX(0,data[[#This Row],[Hfin corrigée]]-MAX(1,data[[#This Row],[Hdébut corrigé]]))-data[[#This Row],[NUIT2.1]]-data[[#This Row],[NUIT2.2]]</f>
        <v>0</v>
      </c>
      <c r="R45" s="67">
        <f>MAX(0,MIN(1+FinNuit,data[[#This Row],[Hfin corrigée]])-MAX(1,data[[#This Row],[Hdébut corrigé]]))</f>
        <v>0</v>
      </c>
      <c r="S45" s="67">
        <f>MAX(0,(data[[#This Row],[Hfin corrigée]]-DebNuit-1))</f>
        <v>0</v>
      </c>
      <c r="T45" s="68">
        <f>IF(data[[#This Row],[Garde / Interv.]]="Intervention",MAX(0,data[[#This Row],[Hfin corrigée]]-SUMPRODUCT((data[Date]=data[[#This Row],[Date]])*(data[Garde / Interv.]="Garde")*data[Hfin corrigée])),0)</f>
        <v>0</v>
      </c>
      <c r="U45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0.34722222222222265</v>
      </c>
      <c r="V45" s="67">
        <f>MAX(0,IF(data[[#This Row],[Garde / Interv.]]="Intervention",(data[[#This Row],[Fin Dim ou Férié]]="non")*data[[#This Row],[JOUR2]]+(data[[#This Row],[Début Dim ou Férié]]="non")*data[[#This Row],[JOUR1]],0))</f>
        <v>0</v>
      </c>
      <c r="W45" s="67">
        <f>IF(data[[#This Row],[Garde / Interv.]]="Intervention",(data[[#This Row],[Fin Dim ou Férié]]="oui")*data[[#This Row],[JOUR2]]+(data[[#This Row],[Début Dim ou Férié]]="oui")*data[[#This Row],[JOUR1]],0)</f>
        <v>0</v>
      </c>
      <c r="X45" s="67">
        <f>MAX(0,IF(data[[#This Row],[Garde / Interv.]]="Intervention",data[[#This Row],[NUIT1.1]]+data[[#This Row],[NUIT1.2]]+data[[#This Row],[NUIT2.1]]+data[[#This Row],[NUIT2.2]],0))</f>
        <v>0</v>
      </c>
      <c r="Z45" s="86"/>
    </row>
    <row r="46" spans="1:29" x14ac:dyDescent="0.3">
      <c r="A46" s="111">
        <v>43239</v>
      </c>
      <c r="B46" s="78" t="str">
        <f>IF(data[[#This Row],[Hdébut garde]]&lt;&gt;"","Garde",IF(data[[#This Row],[Hdébut corrigé]]&lt;&gt;"","Intervention",""))</f>
        <v>Intervention</v>
      </c>
      <c r="C46" s="60"/>
      <c r="D46" s="59"/>
      <c r="E46" s="148"/>
      <c r="F46" s="48"/>
      <c r="G46" s="30" t="s">
        <v>2</v>
      </c>
      <c r="H46" s="51">
        <v>0.42638888888888898</v>
      </c>
      <c r="I46" s="49">
        <v>0.49583333333333302</v>
      </c>
      <c r="J46" s="65">
        <f>IF(data[[#This Row],[Hdébut garde]]&lt;&gt;"",
data[[#This Row],[Hdébut garde]],
data[[#This Row],[Hdébut interv.]]+IF(data[[#This Row],[Hdébut interv.]]&lt;SUMPRODUCT((data[Date]=data[[#This Row],[Date]])*data[Hdébut garde]),1,0)
)</f>
        <v>0.42638888888888898</v>
      </c>
      <c r="K46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0.49583333333333302</v>
      </c>
      <c r="L46" s="66" t="str">
        <f>IF(OR(WEEKDAY(data[[#This Row],[Date]],2)=7,COUNTIF(JF,data[[#This Row],[Date]])=1),"oui","non")</f>
        <v>non</v>
      </c>
      <c r="M46" s="67">
        <f>MAX(0,(MIN(1,data[[#This Row],[Hfin corrigée]])-data[[#This Row],[Hdébut corrigé]])-data[[#This Row],[NUIT1.1]]-data[[#This Row],[NUIT1.2]])</f>
        <v>6.9444444444444031E-2</v>
      </c>
      <c r="N46" s="67">
        <f>IF(data[[#This Row],[Hfin Interv.]]="",0,(
MIN(FinNuit,MIN(1,data[[#This Row],[Hfin corrigée]]))-MIN(FinNuit,data[[#This Row],[Hdébut corrigé]])
))</f>
        <v>0</v>
      </c>
      <c r="O46" s="67">
        <f>MAX(0,(MAX(0,(MIN(1,data[[#This Row],[Hfin corrigée]])-DebNuit))-MAX(0,(data[[#This Row],[Hdébut corrigé]]-DebNuit))))</f>
        <v>0</v>
      </c>
      <c r="P46" s="66" t="str">
        <f>IF(OR(WEEKDAY(data[[#This Row],[Date]]+data[[#This Row],[Hfin corrigée]],2)=7,COUNTIF(JF,INT(data[[#This Row],[Date]]+data[[#This Row],[Hfin corrigée]]))=1),"oui","non")</f>
        <v>non</v>
      </c>
      <c r="Q46" s="67">
        <f>MAX(0,data[[#This Row],[Hfin corrigée]]-MAX(1,data[[#This Row],[Hdébut corrigé]]))-data[[#This Row],[NUIT2.1]]-data[[#This Row],[NUIT2.2]]</f>
        <v>0</v>
      </c>
      <c r="R46" s="67">
        <f>MAX(0,MIN(1+FinNuit,data[[#This Row],[Hfin corrigée]])-MAX(1,data[[#This Row],[Hdébut corrigé]]))</f>
        <v>0</v>
      </c>
      <c r="S46" s="67">
        <f>MAX(0,(data[[#This Row],[Hfin corrigée]]-DebNuit-1))</f>
        <v>0</v>
      </c>
      <c r="T46" s="68">
        <f>IF(data[[#This Row],[Garde / Interv.]]="Intervention",MAX(0,data[[#This Row],[Hfin corrigée]]-SUMPRODUCT((data[Date]=data[[#This Row],[Date]])*(data[Garde / Interv.]="Garde")*data[Hfin corrigée])),0)</f>
        <v>0</v>
      </c>
      <c r="U46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6" s="67">
        <f>MAX(0,IF(data[[#This Row],[Garde / Interv.]]="Intervention",(data[[#This Row],[Fin Dim ou Férié]]="non")*data[[#This Row],[JOUR2]]+(data[[#This Row],[Début Dim ou Férié]]="non")*data[[#This Row],[JOUR1]],0))</f>
        <v>6.9444444444444031E-2</v>
      </c>
      <c r="W46" s="67">
        <f>IF(data[[#This Row],[Garde / Interv.]]="Intervention",(data[[#This Row],[Fin Dim ou Férié]]="oui")*data[[#This Row],[JOUR2]]+(data[[#This Row],[Début Dim ou Férié]]="oui")*data[[#This Row],[JOUR1]],0)</f>
        <v>0</v>
      </c>
      <c r="X46" s="67">
        <f>MAX(0,IF(data[[#This Row],[Garde / Interv.]]="Intervention",data[[#This Row],[NUIT1.1]]+data[[#This Row],[NUIT1.2]]+data[[#This Row],[NUIT2.1]]+data[[#This Row],[NUIT2.2]],0))</f>
        <v>0</v>
      </c>
    </row>
    <row r="47" spans="1:29" x14ac:dyDescent="0.3">
      <c r="A47" s="111">
        <v>43246</v>
      </c>
      <c r="B47" s="78" t="str">
        <f>IF(data[[#This Row],[Hdébut garde]]&lt;&gt;"","Garde",IF(data[[#This Row],[Hdébut corrigé]]&lt;&gt;"","Intervention",""))</f>
        <v>Garde</v>
      </c>
      <c r="C47" s="60">
        <v>0.33333333333333331</v>
      </c>
      <c r="D47" s="59">
        <v>0.33333333333333331</v>
      </c>
      <c r="E47" s="148"/>
      <c r="F47" s="48"/>
      <c r="G47" s="30"/>
      <c r="H47" s="51"/>
      <c r="I47" s="49"/>
      <c r="J47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4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47" s="66" t="str">
        <f>IF(OR(WEEKDAY(data[[#This Row],[Date]],2)=7,COUNTIF(JF,data[[#This Row],[Date]])=1),"oui","non")</f>
        <v>non</v>
      </c>
      <c r="M47" s="67">
        <f>MAX(0,(MIN(1,data[[#This Row],[Hfin corrigée]])-data[[#This Row],[Hdébut corrigé]])-data[[#This Row],[NUIT1.1]]-data[[#This Row],[NUIT1.2]])</f>
        <v>0.58333333333333337</v>
      </c>
      <c r="N47" s="67">
        <f>IF(data[[#This Row],[Hfin Interv.]]="",0,(
MIN(FinNuit,MIN(1,data[[#This Row],[Hfin corrigée]]))-MIN(FinNuit,data[[#This Row],[Hdébut corrigé]])
))</f>
        <v>0</v>
      </c>
      <c r="O47" s="67">
        <f>MAX(0,(MAX(0,(MIN(1,data[[#This Row],[Hfin corrigée]])-DebNuit))-MAX(0,(data[[#This Row],[Hdébut corrigé]]-DebNuit))))</f>
        <v>8.333333333333337E-2</v>
      </c>
      <c r="P47" s="66" t="str">
        <f>IF(OR(WEEKDAY(data[[#This Row],[Date]]+data[[#This Row],[Hfin corrigée]],2)=7,COUNTIF(JF,INT(data[[#This Row],[Date]]+data[[#This Row],[Hfin corrigée]]))=1),"oui","non")</f>
        <v>oui</v>
      </c>
      <c r="Q47" s="67">
        <f>MAX(0,data[[#This Row],[Hfin corrigée]]-MAX(1,data[[#This Row],[Hdébut corrigé]]))-data[[#This Row],[NUIT2.1]]-data[[#This Row],[NUIT2.2]]</f>
        <v>4.1666666666666519E-2</v>
      </c>
      <c r="R47" s="67">
        <f>MAX(0,MIN(1+FinNuit,data[[#This Row],[Hfin corrigée]])-MAX(1,data[[#This Row],[Hdébut corrigé]]))</f>
        <v>0.29166666666666674</v>
      </c>
      <c r="S47" s="67">
        <f>MAX(0,(data[[#This Row],[Hfin corrigée]]-DebNuit-1))</f>
        <v>0</v>
      </c>
      <c r="T47" s="68">
        <f>IF(data[[#This Row],[Garde / Interv.]]="Intervention",MAX(0,data[[#This Row],[Hfin corrigée]]-SUMPRODUCT((data[Date]=data[[#This Row],[Date]])*(data[Garde / Interv.]="Garde")*data[Hfin corrigée])),0)</f>
        <v>0</v>
      </c>
      <c r="U47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0.89097222222222294</v>
      </c>
      <c r="V47" s="67">
        <f>MAX(0,IF(data[[#This Row],[Garde / Interv.]]="Intervention",(data[[#This Row],[Fin Dim ou Férié]]="non")*data[[#This Row],[JOUR2]]+(data[[#This Row],[Début Dim ou Férié]]="non")*data[[#This Row],[JOUR1]],0))</f>
        <v>0</v>
      </c>
      <c r="W47" s="67">
        <f>IF(data[[#This Row],[Garde / Interv.]]="Intervention",(data[[#This Row],[Fin Dim ou Férié]]="oui")*data[[#This Row],[JOUR2]]+(data[[#This Row],[Début Dim ou Férié]]="oui")*data[[#This Row],[JOUR1]],0)</f>
        <v>0</v>
      </c>
      <c r="X47" s="67">
        <f>MAX(0,IF(data[[#This Row],[Garde / Interv.]]="Intervention",data[[#This Row],[NUIT1.1]]+data[[#This Row],[NUIT1.2]]+data[[#This Row],[NUIT2.1]]+data[[#This Row],[NUIT2.2]],0))</f>
        <v>0</v>
      </c>
    </row>
    <row r="48" spans="1:29" x14ac:dyDescent="0.3">
      <c r="A48" s="111">
        <v>43246</v>
      </c>
      <c r="B48" s="78" t="str">
        <f>IF(data[[#This Row],[Hdébut garde]]&lt;&gt;"","Garde",IF(data[[#This Row],[Hdébut corrigé]]&lt;&gt;"","Intervention",""))</f>
        <v>Intervention</v>
      </c>
      <c r="C48" s="60"/>
      <c r="D48" s="59"/>
      <c r="E48" s="148"/>
      <c r="F48" s="48"/>
      <c r="G48" s="30" t="s">
        <v>2</v>
      </c>
      <c r="H48" s="51">
        <v>0.42638888888888898</v>
      </c>
      <c r="I48" s="49">
        <v>0.49583333333333302</v>
      </c>
      <c r="J48" s="65">
        <f>IF(data[[#This Row],[Hdébut garde]]&lt;&gt;"",
data[[#This Row],[Hdébut garde]],
data[[#This Row],[Hdébut interv.]]+IF(data[[#This Row],[Hdébut interv.]]&lt;SUMPRODUCT((data[Date]=data[[#This Row],[Date]])*data[Hdébut garde]),1,0)
)</f>
        <v>0.42638888888888898</v>
      </c>
      <c r="K4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0.49583333333333302</v>
      </c>
      <c r="L48" s="66" t="str">
        <f>IF(OR(WEEKDAY(data[[#This Row],[Date]],2)=7,COUNTIF(JF,data[[#This Row],[Date]])=1),"oui","non")</f>
        <v>non</v>
      </c>
      <c r="M48" s="67">
        <f>MAX(0,(MIN(1,data[[#This Row],[Hfin corrigée]])-data[[#This Row],[Hdébut corrigé]])-data[[#This Row],[NUIT1.1]]-data[[#This Row],[NUIT1.2]])</f>
        <v>6.9444444444444031E-2</v>
      </c>
      <c r="N48" s="67">
        <f>IF(data[[#This Row],[Hfin Interv.]]="",0,(
MIN(FinNuit,MIN(1,data[[#This Row],[Hfin corrigée]]))-MIN(FinNuit,data[[#This Row],[Hdébut corrigé]])
))</f>
        <v>0</v>
      </c>
      <c r="O48" s="67">
        <f>MAX(0,(MAX(0,(MIN(1,data[[#This Row],[Hfin corrigée]])-DebNuit))-MAX(0,(data[[#This Row],[Hdébut corrigé]]-DebNuit))))</f>
        <v>0</v>
      </c>
      <c r="P48" s="66" t="str">
        <f>IF(OR(WEEKDAY(data[[#This Row],[Date]]+data[[#This Row],[Hfin corrigée]],2)=7,COUNTIF(JF,INT(data[[#This Row],[Date]]+data[[#This Row],[Hfin corrigée]]))=1),"oui","non")</f>
        <v>non</v>
      </c>
      <c r="Q48" s="67">
        <f>MAX(0,data[[#This Row],[Hfin corrigée]]-MAX(1,data[[#This Row],[Hdébut corrigé]]))-data[[#This Row],[NUIT2.1]]-data[[#This Row],[NUIT2.2]]</f>
        <v>0</v>
      </c>
      <c r="R48" s="67">
        <f>MAX(0,MIN(1+FinNuit,data[[#This Row],[Hfin corrigée]])-MAX(1,data[[#This Row],[Hdébut corrigé]]))</f>
        <v>0</v>
      </c>
      <c r="S48" s="67">
        <f>MAX(0,(data[[#This Row],[Hfin corrigée]]-DebNuit-1))</f>
        <v>0</v>
      </c>
      <c r="T48" s="68">
        <f>IF(data[[#This Row],[Garde / Interv.]]="Intervention",MAX(0,data[[#This Row],[Hfin corrigée]]-SUMPRODUCT((data[Date]=data[[#This Row],[Date]])*(data[Garde / Interv.]="Garde")*data[Hfin corrigée])),0)</f>
        <v>0</v>
      </c>
      <c r="U48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8" s="67">
        <f>MAX(0,IF(data[[#This Row],[Garde / Interv.]]="Intervention",(data[[#This Row],[Fin Dim ou Férié]]="non")*data[[#This Row],[JOUR2]]+(data[[#This Row],[Début Dim ou Férié]]="non")*data[[#This Row],[JOUR1]],0))</f>
        <v>6.9444444444444031E-2</v>
      </c>
      <c r="W48" s="67">
        <f>IF(data[[#This Row],[Garde / Interv.]]="Intervention",(data[[#This Row],[Fin Dim ou Férié]]="oui")*data[[#This Row],[JOUR2]]+(data[[#This Row],[Début Dim ou Férié]]="oui")*data[[#This Row],[JOUR1]],0)</f>
        <v>0</v>
      </c>
      <c r="X48" s="67">
        <f>MAX(0,IF(data[[#This Row],[Garde / Interv.]]="Intervention",data[[#This Row],[NUIT1.1]]+data[[#This Row],[NUIT1.2]]+data[[#This Row],[NUIT2.1]]+data[[#This Row],[NUIT2.2]],0))</f>
        <v>0</v>
      </c>
    </row>
    <row r="49" spans="1:24" x14ac:dyDescent="0.3">
      <c r="A49" s="111">
        <v>43246</v>
      </c>
      <c r="B49" s="78" t="str">
        <f>IF(data[[#This Row],[Hdébut garde]]&lt;&gt;"","Garde",IF(data[[#This Row],[Hdébut corrigé]]&lt;&gt;"","Intervention",""))</f>
        <v>Intervention</v>
      </c>
      <c r="C49" s="60"/>
      <c r="D49" s="59"/>
      <c r="E49" s="148"/>
      <c r="F49" s="48"/>
      <c r="G49" s="30" t="s">
        <v>2</v>
      </c>
      <c r="H49" s="51">
        <v>0.65277777777777801</v>
      </c>
      <c r="I49" s="49">
        <v>0.69236111111111098</v>
      </c>
      <c r="J49" s="65">
        <f>IF(data[[#This Row],[Hdébut garde]]&lt;&gt;"",
data[[#This Row],[Hdébut garde]],
data[[#This Row],[Hdébut interv.]]+IF(data[[#This Row],[Hdébut interv.]]&lt;SUMPRODUCT((data[Date]=data[[#This Row],[Date]])*data[Hdébut garde]),1,0)
)</f>
        <v>0.65277777777777801</v>
      </c>
      <c r="K4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0.69236111111111098</v>
      </c>
      <c r="L49" s="66" t="str">
        <f>IF(OR(WEEKDAY(data[[#This Row],[Date]],2)=7,COUNTIF(JF,data[[#This Row],[Date]])=1),"oui","non")</f>
        <v>non</v>
      </c>
      <c r="M49" s="67">
        <f>MAX(0,(MIN(1,data[[#This Row],[Hfin corrigée]])-data[[#This Row],[Hdébut corrigé]])-data[[#This Row],[NUIT1.1]]-data[[#This Row],[NUIT1.2]])</f>
        <v>3.9583333333332971E-2</v>
      </c>
      <c r="N49" s="67">
        <f>IF(data[[#This Row],[Hfin Interv.]]="",0,(
MIN(FinNuit,MIN(1,data[[#This Row],[Hfin corrigée]]))-MIN(FinNuit,data[[#This Row],[Hdébut corrigé]])
))</f>
        <v>0</v>
      </c>
      <c r="O49" s="67">
        <f>MAX(0,(MAX(0,(MIN(1,data[[#This Row],[Hfin corrigée]])-DebNuit))-MAX(0,(data[[#This Row],[Hdébut corrigé]]-DebNuit))))</f>
        <v>0</v>
      </c>
      <c r="P49" s="66" t="str">
        <f>IF(OR(WEEKDAY(data[[#This Row],[Date]]+data[[#This Row],[Hfin corrigée]],2)=7,COUNTIF(JF,INT(data[[#This Row],[Date]]+data[[#This Row],[Hfin corrigée]]))=1),"oui","non")</f>
        <v>non</v>
      </c>
      <c r="Q49" s="67">
        <f>MAX(0,data[[#This Row],[Hfin corrigée]]-MAX(1,data[[#This Row],[Hdébut corrigé]]))-data[[#This Row],[NUIT2.1]]-data[[#This Row],[NUIT2.2]]</f>
        <v>0</v>
      </c>
      <c r="R49" s="67">
        <f>MAX(0,MIN(1+FinNuit,data[[#This Row],[Hfin corrigée]])-MAX(1,data[[#This Row],[Hdébut corrigé]]))</f>
        <v>0</v>
      </c>
      <c r="S49" s="67">
        <f>MAX(0,(data[[#This Row],[Hfin corrigée]]-DebNuit-1))</f>
        <v>0</v>
      </c>
      <c r="T49" s="68">
        <f>IF(data[[#This Row],[Garde / Interv.]]="Intervention",MAX(0,data[[#This Row],[Hfin corrigée]]-SUMPRODUCT((data[Date]=data[[#This Row],[Date]])*(data[Garde / Interv.]="Garde")*data[Hfin corrigée])),0)</f>
        <v>0</v>
      </c>
      <c r="U49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9" s="67">
        <f>MAX(0,IF(data[[#This Row],[Garde / Interv.]]="Intervention",(data[[#This Row],[Fin Dim ou Férié]]="non")*data[[#This Row],[JOUR2]]+(data[[#This Row],[Début Dim ou Férié]]="non")*data[[#This Row],[JOUR1]],0))</f>
        <v>3.9583333333332971E-2</v>
      </c>
      <c r="W49" s="67">
        <f>IF(data[[#This Row],[Garde / Interv.]]="Intervention",(data[[#This Row],[Fin Dim ou Férié]]="oui")*data[[#This Row],[JOUR2]]+(data[[#This Row],[Début Dim ou Férié]]="oui")*data[[#This Row],[JOUR1]],0)</f>
        <v>0</v>
      </c>
      <c r="X49" s="67">
        <f>MAX(0,IF(data[[#This Row],[Garde / Interv.]]="Intervention",data[[#This Row],[NUIT1.1]]+data[[#This Row],[NUIT1.2]]+data[[#This Row],[NUIT2.1]]+data[[#This Row],[NUIT2.2]],0))</f>
        <v>0</v>
      </c>
    </row>
    <row r="50" spans="1:24" x14ac:dyDescent="0.3">
      <c r="A50" s="111">
        <v>43253</v>
      </c>
      <c r="B50" s="78" t="str">
        <f>IF(data[[#This Row],[Hdébut garde]]&lt;&gt;"","Garde",IF(data[[#This Row],[Hdébut corrigé]]&lt;&gt;"","Intervention",""))</f>
        <v>Garde</v>
      </c>
      <c r="C50" s="51">
        <v>0.83333333333333337</v>
      </c>
      <c r="D50" s="49">
        <v>0.33333333333333331</v>
      </c>
      <c r="E50" s="149"/>
      <c r="F50" s="48"/>
      <c r="G50" s="30"/>
      <c r="H50" s="51"/>
      <c r="I50" s="49"/>
      <c r="J50" s="65">
        <f>IF(data[[#This Row],[Hdébut garde]]&lt;&gt;"",
data[[#This Row],[Hdébut garde]],
data[[#This Row],[Hdébut interv.]]+IF(data[[#This Row],[Hdébut interv.]]&lt;SUMPRODUCT((data[Date]=data[[#This Row],[Date]])*data[Hdébut garde]),1,0)
)</f>
        <v>0.83333333333333337</v>
      </c>
      <c r="K5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0" s="66" t="str">
        <f>IF(OR(WEEKDAY(data[[#This Row],[Date]],2)=7,COUNTIF(JF,data[[#This Row],[Date]])=1),"oui","non")</f>
        <v>non</v>
      </c>
      <c r="M50" s="67">
        <f>MAX(0,(MIN(1,data[[#This Row],[Hfin corrigée]])-data[[#This Row],[Hdébut corrigé]])-data[[#This Row],[NUIT1.1]]-data[[#This Row],[NUIT1.2]])</f>
        <v>8.3333333333333259E-2</v>
      </c>
      <c r="N50" s="67">
        <f>IF(data[[#This Row],[Hfin Interv.]]="",0,(
MIN(FinNuit,MIN(1,data[[#This Row],[Hfin corrigée]]))-MIN(FinNuit,data[[#This Row],[Hdébut corrigé]])
))</f>
        <v>0</v>
      </c>
      <c r="O50" s="67">
        <f>MAX(0,(MAX(0,(MIN(1,data[[#This Row],[Hfin corrigée]])-DebNuit))-MAX(0,(data[[#This Row],[Hdébut corrigé]]-DebNuit))))</f>
        <v>8.333333333333337E-2</v>
      </c>
      <c r="P50" s="66" t="str">
        <f>IF(OR(WEEKDAY(data[[#This Row],[Date]]+data[[#This Row],[Hfin corrigée]],2)=7,COUNTIF(JF,INT(data[[#This Row],[Date]]+data[[#This Row],[Hfin corrigée]]))=1),"oui","non")</f>
        <v>oui</v>
      </c>
      <c r="Q50" s="67">
        <f>MAX(0,data[[#This Row],[Hfin corrigée]]-MAX(1,data[[#This Row],[Hdébut corrigé]]))-data[[#This Row],[NUIT2.1]]-data[[#This Row],[NUIT2.2]]</f>
        <v>4.1666666666666519E-2</v>
      </c>
      <c r="R50" s="67">
        <f>MAX(0,MIN(1+FinNuit,data[[#This Row],[Hfin corrigée]])-MAX(1,data[[#This Row],[Hdébut corrigé]]))</f>
        <v>0.29166666666666674</v>
      </c>
      <c r="S50" s="67">
        <f>MAX(0,(data[[#This Row],[Hfin corrigée]]-DebNuit-1))</f>
        <v>0</v>
      </c>
      <c r="T50" s="68">
        <f>IF(data[[#This Row],[Garde / Interv.]]="Intervention",MAX(0,data[[#This Row],[Hfin corrigée]]-SUMPRODUCT((data[Date]=data[[#This Row],[Date]])*(data[Garde / Interv.]="Garde")*data[Hfin corrigée])),0)</f>
        <v>0</v>
      </c>
      <c r="U50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0.49999999999999989</v>
      </c>
      <c r="V50" s="67">
        <f>MAX(0,IF(data[[#This Row],[Garde / Interv.]]="Intervention",(data[[#This Row],[Fin Dim ou Férié]]="non")*data[[#This Row],[JOUR2]]+(data[[#This Row],[Début Dim ou Férié]]="non")*data[[#This Row],[JOUR1]],0))</f>
        <v>0</v>
      </c>
      <c r="W50" s="67">
        <f>IF(data[[#This Row],[Garde / Interv.]]="Intervention",(data[[#This Row],[Fin Dim ou Férié]]="oui")*data[[#This Row],[JOUR2]]+(data[[#This Row],[Début Dim ou Férié]]="oui")*data[[#This Row],[JOUR1]],0)</f>
        <v>0</v>
      </c>
      <c r="X50" s="67">
        <f>MAX(0,IF(data[[#This Row],[Garde / Interv.]]="Intervention",data[[#This Row],[NUIT1.1]]+data[[#This Row],[NUIT1.2]]+data[[#This Row],[NUIT2.1]]+data[[#This Row],[NUIT2.2]],0))</f>
        <v>0</v>
      </c>
    </row>
    <row r="51" spans="1:24" x14ac:dyDescent="0.3">
      <c r="A51" s="111">
        <v>43253</v>
      </c>
      <c r="B51" s="78" t="str">
        <f>IF(data[[#This Row],[Hdébut garde]]&lt;&gt;"","Garde",IF(data[[#This Row],[Hdébut corrigé]]&lt;&gt;"","Intervention",""))</f>
        <v>Intervention</v>
      </c>
      <c r="C51" s="51"/>
      <c r="D51" s="49"/>
      <c r="E51" s="149"/>
      <c r="F51" s="48"/>
      <c r="G51" s="30" t="s">
        <v>54</v>
      </c>
      <c r="H51" s="51"/>
      <c r="I51" s="49"/>
      <c r="J51" s="65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K51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L51" s="66" t="str">
        <f>IF(OR(WEEKDAY(data[[#This Row],[Date]],2)=7,COUNTIF(JF,data[[#This Row],[Date]])=1),"oui","non")</f>
        <v>non</v>
      </c>
      <c r="M51" s="67">
        <f>MAX(0,(MIN(1,data[[#This Row],[Hfin corrigée]])-data[[#This Row],[Hdébut corrigé]])-data[[#This Row],[NUIT1.1]]-data[[#This Row],[NUIT1.2]])</f>
        <v>0</v>
      </c>
      <c r="N51" s="67">
        <f>IF(data[[#This Row],[Hfin Interv.]]="",0,(
MIN(FinNuit,MIN(1,data[[#This Row],[Hfin corrigée]]))-MIN(FinNuit,data[[#This Row],[Hdébut corrigé]])
))</f>
        <v>0</v>
      </c>
      <c r="O51" s="67">
        <f>MAX(0,(MAX(0,(MIN(1,data[[#This Row],[Hfin corrigée]])-DebNuit))-MAX(0,(data[[#This Row],[Hdébut corrigé]]-DebNuit))))</f>
        <v>0</v>
      </c>
      <c r="P51" s="66" t="str">
        <f>IF(OR(WEEKDAY(data[[#This Row],[Date]]+data[[#This Row],[Hfin corrigée]],2)=7,COUNTIF(JF,INT(data[[#This Row],[Date]]+data[[#This Row],[Hfin corrigée]]))=1),"oui","non")</f>
        <v>oui</v>
      </c>
      <c r="Q51" s="67">
        <f>MAX(0,data[[#This Row],[Hfin corrigée]]-MAX(1,data[[#This Row],[Hdébut corrigé]]))-data[[#This Row],[NUIT2.1]]-data[[#This Row],[NUIT2.2]]</f>
        <v>0</v>
      </c>
      <c r="R51" s="67">
        <f>MAX(0,MIN(1+FinNuit,data[[#This Row],[Hfin corrigée]])-MAX(1,data[[#This Row],[Hdébut corrigé]]))</f>
        <v>0</v>
      </c>
      <c r="S51" s="67">
        <f>MAX(0,(data[[#This Row],[Hfin corrigée]]-DebNuit-1))</f>
        <v>0</v>
      </c>
      <c r="T51" s="68">
        <f>IF(data[[#This Row],[Garde / Interv.]]="Intervention",MAX(0,data[[#This Row],[Hfin corrigée]]-SUMPRODUCT((data[Date]=data[[#This Row],[Date]])*(data[Garde / Interv.]="Garde")*data[Hfin corrigée])),0)</f>
        <v>0</v>
      </c>
      <c r="U51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1" s="67">
        <f>MAX(0,IF(data[[#This Row],[Garde / Interv.]]="Intervention",(data[[#This Row],[Fin Dim ou Férié]]="non")*data[[#This Row],[JOUR2]]+(data[[#This Row],[Début Dim ou Férié]]="non")*data[[#This Row],[JOUR1]],0))</f>
        <v>0</v>
      </c>
      <c r="W51" s="67">
        <f>IF(data[[#This Row],[Garde / Interv.]]="Intervention",(data[[#This Row],[Fin Dim ou Férié]]="oui")*data[[#This Row],[JOUR2]]+(data[[#This Row],[Début Dim ou Férié]]="oui")*data[[#This Row],[JOUR1]],0)</f>
        <v>0</v>
      </c>
      <c r="X51" s="67">
        <f>MAX(0,IF(data[[#This Row],[Garde / Interv.]]="Intervention",data[[#This Row],[NUIT1.1]]+data[[#This Row],[NUIT1.2]]+data[[#This Row],[NUIT2.1]]+data[[#This Row],[NUIT2.2]],0))</f>
        <v>0</v>
      </c>
    </row>
    <row r="52" spans="1:24" x14ac:dyDescent="0.3">
      <c r="A52" s="111">
        <v>43258</v>
      </c>
      <c r="B52" s="78" t="str">
        <f>IF(data[[#This Row],[Hdébut garde]]&lt;&gt;"","Garde",IF(data[[#This Row],[Hdébut corrigé]]&lt;&gt;"","Intervention",""))</f>
        <v>Garde</v>
      </c>
      <c r="C52" s="144">
        <v>0.33333333333333331</v>
      </c>
      <c r="D52" s="70">
        <v>0.33333333333333331</v>
      </c>
      <c r="E52" s="145"/>
      <c r="F52" s="48"/>
      <c r="G52" s="30"/>
      <c r="H52" s="51"/>
      <c r="I52" s="49"/>
      <c r="J52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52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2" s="71" t="str">
        <f>IF(OR(WEEKDAY(data[[#This Row],[Date]],2)=7,COUNTIF(JF,data[[#This Row],[Date]])=1),"oui","non")</f>
        <v>non</v>
      </c>
      <c r="M52" s="54">
        <f>MAX(0,(MIN(1,data[[#This Row],[Hfin corrigée]])-data[[#This Row],[Hdébut corrigé]])-data[[#This Row],[NUIT1.1]]-data[[#This Row],[NUIT1.2]])</f>
        <v>0.58333333333333337</v>
      </c>
      <c r="N52" s="54">
        <f>IF(data[[#This Row],[Hfin Interv.]]="",0,(
MIN(FinNuit,MIN(1,data[[#This Row],[Hfin corrigée]]))-MIN(FinNuit,data[[#This Row],[Hdébut corrigé]])
))</f>
        <v>0</v>
      </c>
      <c r="O52" s="54">
        <f>MAX(0,(MAX(0,(MIN(1,data[[#This Row],[Hfin corrigée]])-DebNuit))-MAX(0,(data[[#This Row],[Hdébut corrigé]]-DebNuit))))</f>
        <v>8.333333333333337E-2</v>
      </c>
      <c r="P52" s="71" t="str">
        <f>IF(OR(WEEKDAY(data[[#This Row],[Date]]+data[[#This Row],[Hfin corrigée]],2)=7,COUNTIF(JF,INT(data[[#This Row],[Date]]+data[[#This Row],[Hfin corrigée]]))=1),"oui","non")</f>
        <v>non</v>
      </c>
      <c r="Q52" s="54">
        <f>MAX(0,data[[#This Row],[Hfin corrigée]]-MAX(1,data[[#This Row],[Hdébut corrigé]]))-data[[#This Row],[NUIT2.1]]-data[[#This Row],[NUIT2.2]]</f>
        <v>4.1666666666666519E-2</v>
      </c>
      <c r="R52" s="54">
        <f>MAX(0,MIN(1+FinNuit,data[[#This Row],[Hfin corrigée]])-MAX(1,data[[#This Row],[Hdébut corrigé]]))</f>
        <v>0.29166666666666674</v>
      </c>
      <c r="S52" s="54">
        <f>MAX(0,(data[[#This Row],[Hfin corrigée]]-DebNuit-1))</f>
        <v>0</v>
      </c>
      <c r="T52" s="55">
        <f>IF(data[[#This Row],[Garde / Interv.]]="Intervention",MAX(0,data[[#This Row],[Hfin corrigée]]-SUMPRODUCT((data[Date]=data[[#This Row],[Date]])*(data[Garde / Interv.]="Garde")*data[Hfin corrigée])),0)</f>
        <v>0</v>
      </c>
      <c r="U52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0.83125000000000004</v>
      </c>
      <c r="V52" s="54">
        <f>MAX(0,IF(data[[#This Row],[Garde / Interv.]]="Intervention",(data[[#This Row],[Fin Dim ou Férié]]="non")*data[[#This Row],[JOUR2]]+(data[[#This Row],[Début Dim ou Férié]]="non")*data[[#This Row],[JOUR1]],0))</f>
        <v>0</v>
      </c>
      <c r="W52" s="54">
        <f>IF(data[[#This Row],[Garde / Interv.]]="Intervention",(data[[#This Row],[Fin Dim ou Férié]]="oui")*data[[#This Row],[JOUR2]]+(data[[#This Row],[Début Dim ou Férié]]="oui")*data[[#This Row],[JOUR1]],0)</f>
        <v>0</v>
      </c>
      <c r="X52" s="54">
        <f>MAX(0,IF(data[[#This Row],[Garde / Interv.]]="Intervention",data[[#This Row],[NUIT1.1]]+data[[#This Row],[NUIT1.2]]+data[[#This Row],[NUIT2.1]]+data[[#This Row],[NUIT2.2]],0))</f>
        <v>0</v>
      </c>
    </row>
    <row r="53" spans="1:24" x14ac:dyDescent="0.3">
      <c r="A53" s="111">
        <v>43258</v>
      </c>
      <c r="B53" s="78" t="str">
        <f>IF(data[[#This Row],[Hdébut garde]]&lt;&gt;"","Garde",IF(data[[#This Row],[Hdébut corrigé]]&lt;&gt;"","Intervention",""))</f>
        <v>Intervention</v>
      </c>
      <c r="C53" s="144"/>
      <c r="D53" s="70"/>
      <c r="E53" s="145"/>
      <c r="F53" s="48" t="s">
        <v>68</v>
      </c>
      <c r="G53" s="30" t="s">
        <v>2</v>
      </c>
      <c r="H53" s="51">
        <v>0.58333333333333337</v>
      </c>
      <c r="I53" s="49">
        <v>0.65138888888888891</v>
      </c>
      <c r="J53" s="52">
        <f>IF(data[[#This Row],[Hdébut garde]]&lt;&gt;"",
data[[#This Row],[Hdébut garde]],
data[[#This Row],[Hdébut interv.]]+IF(data[[#This Row],[Hdébut interv.]]&lt;SUMPRODUCT((data[Date]=data[[#This Row],[Date]])*data[Hdébut garde]),1,0)
)</f>
        <v>0.58333333333333337</v>
      </c>
      <c r="K5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0.65138888888888891</v>
      </c>
      <c r="L53" s="71" t="str">
        <f>IF(OR(WEEKDAY(data[[#This Row],[Date]],2)=7,COUNTIF(JF,data[[#This Row],[Date]])=1),"oui","non")</f>
        <v>non</v>
      </c>
      <c r="M53" s="54">
        <f>MAX(0,(MIN(1,data[[#This Row],[Hfin corrigée]])-data[[#This Row],[Hdébut corrigé]])-data[[#This Row],[NUIT1.1]]-data[[#This Row],[NUIT1.2]])</f>
        <v>6.8055555555555536E-2</v>
      </c>
      <c r="N53" s="54">
        <f>IF(data[[#This Row],[Hfin Interv.]]="",0,(
MIN(FinNuit,MIN(1,data[[#This Row],[Hfin corrigée]]))-MIN(FinNuit,data[[#This Row],[Hdébut corrigé]])
))</f>
        <v>0</v>
      </c>
      <c r="O53" s="54">
        <f>MAX(0,(MAX(0,(MIN(1,data[[#This Row],[Hfin corrigée]])-DebNuit))-MAX(0,(data[[#This Row],[Hdébut corrigé]]-DebNuit))))</f>
        <v>0</v>
      </c>
      <c r="P53" s="71" t="str">
        <f>IF(OR(WEEKDAY(data[[#This Row],[Date]]+data[[#This Row],[Hfin corrigée]],2)=7,COUNTIF(JF,INT(data[[#This Row],[Date]]+data[[#This Row],[Hfin corrigée]]))=1),"oui","non")</f>
        <v>non</v>
      </c>
      <c r="Q53" s="54">
        <f>MAX(0,data[[#This Row],[Hfin corrigée]]-MAX(1,data[[#This Row],[Hdébut corrigé]]))-data[[#This Row],[NUIT2.1]]-data[[#This Row],[NUIT2.2]]</f>
        <v>0</v>
      </c>
      <c r="R53" s="54">
        <f>MAX(0,MIN(1+FinNuit,data[[#This Row],[Hfin corrigée]])-MAX(1,data[[#This Row],[Hdébut corrigé]]))</f>
        <v>0</v>
      </c>
      <c r="S53" s="54">
        <f>MAX(0,(data[[#This Row],[Hfin corrigée]]-DebNuit-1))</f>
        <v>0</v>
      </c>
      <c r="T53" s="55">
        <f>IF(data[[#This Row],[Garde / Interv.]]="Intervention",MAX(0,data[[#This Row],[Hfin corrigée]]-SUMPRODUCT((data[Date]=data[[#This Row],[Date]])*(data[Garde / Interv.]="Garde")*data[Hfin corrigée])),0)</f>
        <v>0</v>
      </c>
      <c r="U53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3" s="54">
        <f>MAX(0,IF(data[[#This Row],[Garde / Interv.]]="Intervention",(data[[#This Row],[Fin Dim ou Férié]]="non")*data[[#This Row],[JOUR2]]+(data[[#This Row],[Début Dim ou Férié]]="non")*data[[#This Row],[JOUR1]],0))</f>
        <v>6.8055555555555536E-2</v>
      </c>
      <c r="W53" s="54">
        <f>IF(data[[#This Row],[Garde / Interv.]]="Intervention",(data[[#This Row],[Fin Dim ou Férié]]="oui")*data[[#This Row],[JOUR2]]+(data[[#This Row],[Début Dim ou Férié]]="oui")*data[[#This Row],[JOUR1]],0)</f>
        <v>0</v>
      </c>
      <c r="X53" s="54">
        <f>MAX(0,IF(data[[#This Row],[Garde / Interv.]]="Intervention",data[[#This Row],[NUIT1.1]]+data[[#This Row],[NUIT1.2]]+data[[#This Row],[NUIT2.1]]+data[[#This Row],[NUIT2.2]],0))</f>
        <v>0</v>
      </c>
    </row>
    <row r="54" spans="1:24" x14ac:dyDescent="0.3">
      <c r="A54" s="111">
        <v>43258</v>
      </c>
      <c r="B54" s="78" t="str">
        <f>IF(data[[#This Row],[Hdébut garde]]&lt;&gt;"","Garde",IF(data[[#This Row],[Hdébut corrigé]]&lt;&gt;"","Intervention",""))</f>
        <v>Intervention</v>
      </c>
      <c r="C54" s="144"/>
      <c r="D54" s="70"/>
      <c r="E54" s="145"/>
      <c r="F54" s="48" t="s">
        <v>68</v>
      </c>
      <c r="G54" s="30" t="s">
        <v>2</v>
      </c>
      <c r="H54" s="51">
        <v>0.19305555555555554</v>
      </c>
      <c r="I54" s="49">
        <v>0.29375000000000001</v>
      </c>
      <c r="J54" s="52">
        <f>IF(data[[#This Row],[Hdébut garde]]&lt;&gt;"",
data[[#This Row],[Hdébut garde]],
data[[#This Row],[Hdébut interv.]]+IF(data[[#This Row],[Hdébut interv.]]&lt;SUMPRODUCT((data[Date]=data[[#This Row],[Date]])*data[Hdébut garde]),1,0)
)</f>
        <v>1.1930555555555555</v>
      </c>
      <c r="K54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1.29375</v>
      </c>
      <c r="L54" s="71" t="str">
        <f>IF(OR(WEEKDAY(data[[#This Row],[Date]],2)=7,COUNTIF(JF,data[[#This Row],[Date]])=1),"oui","non")</f>
        <v>non</v>
      </c>
      <c r="M54" s="54">
        <f>MAX(0,(MIN(1,data[[#This Row],[Hfin corrigée]])-data[[#This Row],[Hdébut corrigé]])-data[[#This Row],[NUIT1.1]]-data[[#This Row],[NUIT1.2]])</f>
        <v>0</v>
      </c>
      <c r="N54" s="54">
        <f>IF(data[[#This Row],[Hfin Interv.]]="",0,(
MIN(FinNuit,MIN(1,data[[#This Row],[Hfin corrigée]]))-MIN(FinNuit,data[[#This Row],[Hdébut corrigé]])
))</f>
        <v>0</v>
      </c>
      <c r="O54" s="54">
        <f>MAX(0,(MAX(0,(MIN(1,data[[#This Row],[Hfin corrigée]])-DebNuit))-MAX(0,(data[[#This Row],[Hdébut corrigé]]-DebNuit))))</f>
        <v>0</v>
      </c>
      <c r="P54" s="71" t="str">
        <f>IF(OR(WEEKDAY(data[[#This Row],[Date]]+data[[#This Row],[Hfin corrigée]],2)=7,COUNTIF(JF,INT(data[[#This Row],[Date]]+data[[#This Row],[Hfin corrigée]]))=1),"oui","non")</f>
        <v>non</v>
      </c>
      <c r="Q54" s="54">
        <f>MAX(0,data[[#This Row],[Hfin corrigée]]-MAX(1,data[[#This Row],[Hdébut corrigé]]))-data[[#This Row],[NUIT2.1]]-data[[#This Row],[NUIT2.2]]</f>
        <v>2.0833333333332149E-3</v>
      </c>
      <c r="R54" s="54">
        <f>MAX(0,MIN(1+FinNuit,data[[#This Row],[Hfin corrigée]])-MAX(1,data[[#This Row],[Hdébut corrigé]]))</f>
        <v>9.8611111111111205E-2</v>
      </c>
      <c r="S54" s="54">
        <f>MAX(0,(data[[#This Row],[Hfin corrigée]]-DebNuit-1))</f>
        <v>0</v>
      </c>
      <c r="T54" s="55">
        <f>IF(data[[#This Row],[Garde / Interv.]]="Intervention",MAX(0,data[[#This Row],[Hfin corrigée]]-SUMPRODUCT((data[Date]=data[[#This Row],[Date]])*(data[Garde / Interv.]="Garde")*data[Hfin corrigée])),0)</f>
        <v>0</v>
      </c>
      <c r="U54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4" s="54">
        <f>MAX(0,IF(data[[#This Row],[Garde / Interv.]]="Intervention",(data[[#This Row],[Fin Dim ou Férié]]="non")*data[[#This Row],[JOUR2]]+(data[[#This Row],[Début Dim ou Férié]]="non")*data[[#This Row],[JOUR1]],0))</f>
        <v>2.0833333333332149E-3</v>
      </c>
      <c r="W54" s="54">
        <f>IF(data[[#This Row],[Garde / Interv.]]="Intervention",(data[[#This Row],[Fin Dim ou Férié]]="oui")*data[[#This Row],[JOUR2]]+(data[[#This Row],[Début Dim ou Férié]]="oui")*data[[#This Row],[JOUR1]],0)</f>
        <v>0</v>
      </c>
      <c r="X54" s="54">
        <f>MAX(0,IF(data[[#This Row],[Garde / Interv.]]="Intervention",data[[#This Row],[NUIT1.1]]+data[[#This Row],[NUIT1.2]]+data[[#This Row],[NUIT2.1]]+data[[#This Row],[NUIT2.2]],0))</f>
        <v>9.8611111111111205E-2</v>
      </c>
    </row>
    <row r="55" spans="1:24" x14ac:dyDescent="0.3">
      <c r="A55" s="111">
        <v>43265</v>
      </c>
      <c r="B55" s="78" t="str">
        <f>IF(data[[#This Row],[Hdébut garde]]&lt;&gt;"","Garde",IF(data[[#This Row],[Hdébut corrigé]]&lt;&gt;"","Intervention",""))</f>
        <v>Garde</v>
      </c>
      <c r="C55" s="144">
        <v>0.33333333333333331</v>
      </c>
      <c r="D55" s="70">
        <v>0.33333333333333331</v>
      </c>
      <c r="E55" s="145"/>
      <c r="F55" s="48"/>
      <c r="G55" s="30"/>
      <c r="H55" s="51"/>
      <c r="I55" s="49"/>
      <c r="J55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55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5" s="71" t="str">
        <f>IF(OR(WEEKDAY(data[[#This Row],[Date]],2)=7,COUNTIF(JF,data[[#This Row],[Date]])=1),"oui","non")</f>
        <v>non</v>
      </c>
      <c r="M55" s="54">
        <f>MAX(0,(MIN(1,data[[#This Row],[Hfin corrigée]])-data[[#This Row],[Hdébut corrigé]])-data[[#This Row],[NUIT1.1]]-data[[#This Row],[NUIT1.2]])</f>
        <v>0.58333333333333337</v>
      </c>
      <c r="N55" s="54">
        <f>IF(data[[#This Row],[Hfin Interv.]]="",0,(
MIN(FinNuit,MIN(1,data[[#This Row],[Hfin corrigée]]))-MIN(FinNuit,data[[#This Row],[Hdébut corrigé]])
))</f>
        <v>0</v>
      </c>
      <c r="O55" s="54">
        <f>MAX(0,(MAX(0,(MIN(1,data[[#This Row],[Hfin corrigée]])-DebNuit))-MAX(0,(data[[#This Row],[Hdébut corrigé]]-DebNuit))))</f>
        <v>8.333333333333337E-2</v>
      </c>
      <c r="P55" s="71" t="str">
        <f>IF(OR(WEEKDAY(data[[#This Row],[Date]]+data[[#This Row],[Hfin corrigée]],2)=7,COUNTIF(JF,INT(data[[#This Row],[Date]]+data[[#This Row],[Hfin corrigée]]))=1),"oui","non")</f>
        <v>non</v>
      </c>
      <c r="Q55" s="54">
        <f>MAX(0,data[[#This Row],[Hfin corrigée]]-MAX(1,data[[#This Row],[Hdébut corrigé]]))-data[[#This Row],[NUIT2.1]]-data[[#This Row],[NUIT2.2]]</f>
        <v>4.1666666666666519E-2</v>
      </c>
      <c r="R55" s="54">
        <f>MAX(0,MIN(1+FinNuit,data[[#This Row],[Hfin corrigée]])-MAX(1,data[[#This Row],[Hdébut corrigé]]))</f>
        <v>0.29166666666666674</v>
      </c>
      <c r="S55" s="54">
        <f>MAX(0,(data[[#This Row],[Hfin corrigée]]-DebNuit-1))</f>
        <v>0</v>
      </c>
      <c r="T55" s="55">
        <f>IF(data[[#This Row],[Garde / Interv.]]="Intervention",MAX(0,data[[#This Row],[Hfin corrigée]]-SUMPRODUCT((data[Date]=data[[#This Row],[Date]])*(data[Garde / Interv.]="Garde")*data[Hfin corrigée])),0)</f>
        <v>0</v>
      </c>
      <c r="U55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0.89444444444444449</v>
      </c>
      <c r="V55" s="54">
        <f>MAX(0,IF(data[[#This Row],[Garde / Interv.]]="Intervention",(data[[#This Row],[Fin Dim ou Férié]]="non")*data[[#This Row],[JOUR2]]+(data[[#This Row],[Début Dim ou Férié]]="non")*data[[#This Row],[JOUR1]],0))</f>
        <v>0</v>
      </c>
      <c r="W55" s="54">
        <f>IF(data[[#This Row],[Garde / Interv.]]="Intervention",(data[[#This Row],[Fin Dim ou Férié]]="oui")*data[[#This Row],[JOUR2]]+(data[[#This Row],[Début Dim ou Férié]]="oui")*data[[#This Row],[JOUR1]],0)</f>
        <v>0</v>
      </c>
      <c r="X55" s="54">
        <f>MAX(0,IF(data[[#This Row],[Garde / Interv.]]="Intervention",data[[#This Row],[NUIT1.1]]+data[[#This Row],[NUIT1.2]]+data[[#This Row],[NUIT2.1]]+data[[#This Row],[NUIT2.2]],0))</f>
        <v>0</v>
      </c>
    </row>
    <row r="56" spans="1:24" x14ac:dyDescent="0.3">
      <c r="A56" s="111">
        <v>43265</v>
      </c>
      <c r="B56" s="78" t="str">
        <f>IF(data[[#This Row],[Hdébut garde]]&lt;&gt;"","Garde",IF(data[[#This Row],[Hdébut corrigé]]&lt;&gt;"","Intervention",""))</f>
        <v>Intervention</v>
      </c>
      <c r="C56" s="144"/>
      <c r="D56" s="70"/>
      <c r="E56" s="145"/>
      <c r="F56" s="48" t="s">
        <v>58</v>
      </c>
      <c r="G56" s="30" t="s">
        <v>2</v>
      </c>
      <c r="H56" s="51">
        <v>0.46111111111111108</v>
      </c>
      <c r="I56" s="49">
        <v>0.49513888888888885</v>
      </c>
      <c r="J56" s="52">
        <f>IF(data[[#This Row],[Hdébut garde]]&lt;&gt;"",
data[[#This Row],[Hdébut garde]],
data[[#This Row],[Hdébut interv.]]+IF(data[[#This Row],[Hdébut interv.]]&lt;SUMPRODUCT((data[Date]=data[[#This Row],[Date]])*data[Hdébut garde]),1,0)
)</f>
        <v>0.46111111111111108</v>
      </c>
      <c r="K56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0.49513888888888885</v>
      </c>
      <c r="L56" s="71" t="str">
        <f>IF(OR(WEEKDAY(data[[#This Row],[Date]],2)=7,COUNTIF(JF,data[[#This Row],[Date]])=1),"oui","non")</f>
        <v>non</v>
      </c>
      <c r="M56" s="54">
        <f>MAX(0,(MIN(1,data[[#This Row],[Hfin corrigée]])-data[[#This Row],[Hdébut corrigé]])-data[[#This Row],[NUIT1.1]]-data[[#This Row],[NUIT1.2]])</f>
        <v>3.4027777777777768E-2</v>
      </c>
      <c r="N56" s="54">
        <f>IF(data[[#This Row],[Hfin Interv.]]="",0,(
MIN(FinNuit,MIN(1,data[[#This Row],[Hfin corrigée]]))-MIN(FinNuit,data[[#This Row],[Hdébut corrigé]])
))</f>
        <v>0</v>
      </c>
      <c r="O56" s="54">
        <f>MAX(0,(MAX(0,(MIN(1,data[[#This Row],[Hfin corrigée]])-DebNuit))-MAX(0,(data[[#This Row],[Hdébut corrigé]]-DebNuit))))</f>
        <v>0</v>
      </c>
      <c r="P56" s="71" t="str">
        <f>IF(OR(WEEKDAY(data[[#This Row],[Date]]+data[[#This Row],[Hfin corrigée]],2)=7,COUNTIF(JF,INT(data[[#This Row],[Date]]+data[[#This Row],[Hfin corrigée]]))=1),"oui","non")</f>
        <v>non</v>
      </c>
      <c r="Q56" s="54">
        <f>MAX(0,data[[#This Row],[Hfin corrigée]]-MAX(1,data[[#This Row],[Hdébut corrigé]]))-data[[#This Row],[NUIT2.1]]-data[[#This Row],[NUIT2.2]]</f>
        <v>0</v>
      </c>
      <c r="R56" s="54">
        <f>MAX(0,MIN(1+FinNuit,data[[#This Row],[Hfin corrigée]])-MAX(1,data[[#This Row],[Hdébut corrigé]]))</f>
        <v>0</v>
      </c>
      <c r="S56" s="54">
        <f>MAX(0,(data[[#This Row],[Hfin corrigée]]-DebNuit-1))</f>
        <v>0</v>
      </c>
      <c r="T56" s="55">
        <f>IF(data[[#This Row],[Garde / Interv.]]="Intervention",MAX(0,data[[#This Row],[Hfin corrigée]]-SUMPRODUCT((data[Date]=data[[#This Row],[Date]])*(data[Garde / Interv.]="Garde")*data[Hfin corrigée])),0)</f>
        <v>0</v>
      </c>
      <c r="U56" s="5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6" s="54">
        <f>MAX(0,IF(data[[#This Row],[Garde / Interv.]]="Intervention",(data[[#This Row],[Fin Dim ou Férié]]="non")*data[[#This Row],[JOUR2]]+(data[[#This Row],[Début Dim ou Férié]]="non")*data[[#This Row],[JOUR1]],0))</f>
        <v>3.4027777777777768E-2</v>
      </c>
      <c r="W56" s="54">
        <f>IF(data[[#This Row],[Garde / Interv.]]="Intervention",(data[[#This Row],[Fin Dim ou Férié]]="oui")*data[[#This Row],[JOUR2]]+(data[[#This Row],[Début Dim ou Férié]]="oui")*data[[#This Row],[JOUR1]],0)</f>
        <v>0</v>
      </c>
      <c r="X56" s="54">
        <f>MAX(0,IF(data[[#This Row],[Garde / Interv.]]="Intervention",data[[#This Row],[NUIT1.1]]+data[[#This Row],[NUIT1.2]]+data[[#This Row],[NUIT2.1]]+data[[#This Row],[NUIT2.2]],0))</f>
        <v>0</v>
      </c>
    </row>
    <row r="57" spans="1:24" x14ac:dyDescent="0.3">
      <c r="A57" s="111">
        <v>43265</v>
      </c>
      <c r="B57" s="101" t="str">
        <f>IF(data[[#This Row],[Hdébut garde]]&lt;&gt;"","Garde",IF(data[[#This Row],[Hdébut corrigé]]&lt;&gt;"","Intervention",""))</f>
        <v>Intervention</v>
      </c>
      <c r="C57" s="146"/>
      <c r="D57" s="102"/>
      <c r="E57" s="147"/>
      <c r="F57" s="103" t="s">
        <v>69</v>
      </c>
      <c r="G57" s="104" t="s">
        <v>2</v>
      </c>
      <c r="H57" s="105">
        <v>0.52083333333333337</v>
      </c>
      <c r="I57" s="106">
        <v>0.56319444444444444</v>
      </c>
      <c r="J57" s="65">
        <f>IF(data[[#This Row],[Hdébut garde]]&lt;&gt;"",
data[[#This Row],[Hdébut garde]],
data[[#This Row],[Hdébut interv.]]+IF(data[[#This Row],[Hdébut interv.]]&lt;SUMPRODUCT((data[Date]=data[[#This Row],[Date]])*data[Hdébut garde]),1,0)
)</f>
        <v>0.52083333333333337</v>
      </c>
      <c r="K5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0.56319444444444444</v>
      </c>
      <c r="L57" s="66" t="str">
        <f>IF(OR(WEEKDAY(data[[#This Row],[Date]],2)=7,COUNTIF(JF,data[[#This Row],[Date]])=1),"oui","non")</f>
        <v>non</v>
      </c>
      <c r="M57" s="67">
        <f>MAX(0,(MIN(1,data[[#This Row],[Hfin corrigée]])-data[[#This Row],[Hdébut corrigé]])-data[[#This Row],[NUIT1.1]]-data[[#This Row],[NUIT1.2]])</f>
        <v>4.2361111111111072E-2</v>
      </c>
      <c r="N57" s="67">
        <f>IF(data[[#This Row],[Hfin Interv.]]="",0,(
MIN(FinNuit,MIN(1,data[[#This Row],[Hfin corrigée]]))-MIN(FinNuit,data[[#This Row],[Hdébut corrigé]])
))</f>
        <v>0</v>
      </c>
      <c r="O57" s="67">
        <f>MAX(0,(MAX(0,(MIN(1,data[[#This Row],[Hfin corrigée]])-DebNuit))-MAX(0,(data[[#This Row],[Hdébut corrigé]]-DebNuit))))</f>
        <v>0</v>
      </c>
      <c r="P57" s="66" t="str">
        <f>IF(OR(WEEKDAY(data[[#This Row],[Date]]+data[[#This Row],[Hfin corrigée]],2)=7,COUNTIF(JF,INT(data[[#This Row],[Date]]+data[[#This Row],[Hfin corrigée]]))=1),"oui","non")</f>
        <v>non</v>
      </c>
      <c r="Q57" s="67">
        <f>MAX(0,data[[#This Row],[Hfin corrigée]]-MAX(1,data[[#This Row],[Hdébut corrigé]]))-data[[#This Row],[NUIT2.1]]-data[[#This Row],[NUIT2.2]]</f>
        <v>0</v>
      </c>
      <c r="R57" s="67">
        <f>MAX(0,MIN(1+FinNuit,data[[#This Row],[Hfin corrigée]])-MAX(1,data[[#This Row],[Hdébut corrigé]]))</f>
        <v>0</v>
      </c>
      <c r="S57" s="67">
        <f>MAX(0,(data[[#This Row],[Hfin corrigée]]-DebNuit-1))</f>
        <v>0</v>
      </c>
      <c r="T57" s="68">
        <f>IF(data[[#This Row],[Garde / Interv.]]="Intervention",MAX(0,data[[#This Row],[Hfin corrigée]]-SUMPRODUCT((data[Date]=data[[#This Row],[Date]])*(data[Garde / Interv.]="Garde")*data[Hfin corrigée])),0)</f>
        <v>0</v>
      </c>
      <c r="U57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7" s="67">
        <f>MAX(0,IF(data[[#This Row],[Garde / Interv.]]="Intervention",(data[[#This Row],[Fin Dim ou Férié]]="non")*data[[#This Row],[JOUR2]]+(data[[#This Row],[Début Dim ou Férié]]="non")*data[[#This Row],[JOUR1]],0))</f>
        <v>4.2361111111111072E-2</v>
      </c>
      <c r="W57" s="67">
        <f>IF(data[[#This Row],[Garde / Interv.]]="Intervention",(data[[#This Row],[Fin Dim ou Férié]]="oui")*data[[#This Row],[JOUR2]]+(data[[#This Row],[Début Dim ou Férié]]="oui")*data[[#This Row],[JOUR1]],0)</f>
        <v>0</v>
      </c>
      <c r="X57" s="67">
        <f>MAX(0,IF(data[[#This Row],[Garde / Interv.]]="Intervention",data[[#This Row],[NUIT1.1]]+data[[#This Row],[NUIT1.2]]+data[[#This Row],[NUIT2.1]]+data[[#This Row],[NUIT2.2]],0))</f>
        <v>0</v>
      </c>
    </row>
    <row r="58" spans="1:24" x14ac:dyDescent="0.3">
      <c r="A58" s="111">
        <v>43265</v>
      </c>
      <c r="B58" s="101" t="str">
        <f>IF(data[[#This Row],[Hdébut garde]]&lt;&gt;"","Garde",IF(data[[#This Row],[Hdébut corrigé]]&lt;&gt;"","Intervention",""))</f>
        <v>Intervention</v>
      </c>
      <c r="C58" s="146"/>
      <c r="D58" s="102"/>
      <c r="E58" s="147"/>
      <c r="F58" s="103" t="s">
        <v>58</v>
      </c>
      <c r="G58" s="104" t="s">
        <v>2</v>
      </c>
      <c r="H58" s="105">
        <v>0.56458333333333333</v>
      </c>
      <c r="I58" s="106">
        <v>0.59375</v>
      </c>
      <c r="J58" s="65">
        <f>IF(data[[#This Row],[Hdébut garde]]&lt;&gt;"",
data[[#This Row],[Hdébut garde]],
data[[#This Row],[Hdébut interv.]]+IF(data[[#This Row],[Hdébut interv.]]&lt;SUMPRODUCT((data[Date]=data[[#This Row],[Date]])*data[Hdébut garde]),1,0)
)</f>
        <v>0.56458333333333333</v>
      </c>
      <c r="K5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0.59375</v>
      </c>
      <c r="L58" s="66" t="str">
        <f>IF(OR(WEEKDAY(data[[#This Row],[Date]],2)=7,COUNTIF(JF,data[[#This Row],[Date]])=1),"oui","non")</f>
        <v>non</v>
      </c>
      <c r="M58" s="67">
        <f>MAX(0,(MIN(1,data[[#This Row],[Hfin corrigée]])-data[[#This Row],[Hdébut corrigé]])-data[[#This Row],[NUIT1.1]]-data[[#This Row],[NUIT1.2]])</f>
        <v>2.9166666666666674E-2</v>
      </c>
      <c r="N58" s="67">
        <f>IF(data[[#This Row],[Hfin Interv.]]="",0,(
MIN(FinNuit,MIN(1,data[[#This Row],[Hfin corrigée]]))-MIN(FinNuit,data[[#This Row],[Hdébut corrigé]])
))</f>
        <v>0</v>
      </c>
      <c r="O58" s="67">
        <f>MAX(0,(MAX(0,(MIN(1,data[[#This Row],[Hfin corrigée]])-DebNuit))-MAX(0,(data[[#This Row],[Hdébut corrigé]]-DebNuit))))</f>
        <v>0</v>
      </c>
      <c r="P58" s="66" t="str">
        <f>IF(OR(WEEKDAY(data[[#This Row],[Date]]+data[[#This Row],[Hfin corrigée]],2)=7,COUNTIF(JF,INT(data[[#This Row],[Date]]+data[[#This Row],[Hfin corrigée]]))=1),"oui","non")</f>
        <v>non</v>
      </c>
      <c r="Q58" s="67">
        <f>MAX(0,data[[#This Row],[Hfin corrigée]]-MAX(1,data[[#This Row],[Hdébut corrigé]]))-data[[#This Row],[NUIT2.1]]-data[[#This Row],[NUIT2.2]]</f>
        <v>0</v>
      </c>
      <c r="R58" s="67">
        <f>MAX(0,MIN(1+FinNuit,data[[#This Row],[Hfin corrigée]])-MAX(1,data[[#This Row],[Hdébut corrigé]]))</f>
        <v>0</v>
      </c>
      <c r="S58" s="67">
        <f>MAX(0,(data[[#This Row],[Hfin corrigée]]-DebNuit-1))</f>
        <v>0</v>
      </c>
      <c r="T58" s="68">
        <f>IF(data[[#This Row],[Garde / Interv.]]="Intervention",MAX(0,data[[#This Row],[Hfin corrigée]]-SUMPRODUCT((data[Date]=data[[#This Row],[Date]])*(data[Garde / Interv.]="Garde")*data[Hfin corrigée])),0)</f>
        <v>0</v>
      </c>
      <c r="U58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8" s="67">
        <f>MAX(0,IF(data[[#This Row],[Garde / Interv.]]="Intervention",(data[[#This Row],[Fin Dim ou Férié]]="non")*data[[#This Row],[JOUR2]]+(data[[#This Row],[Début Dim ou Férié]]="non")*data[[#This Row],[JOUR1]],0))</f>
        <v>2.9166666666666674E-2</v>
      </c>
      <c r="W58" s="67">
        <f>IF(data[[#This Row],[Garde / Interv.]]="Intervention",(data[[#This Row],[Fin Dim ou Férié]]="oui")*data[[#This Row],[JOUR2]]+(data[[#This Row],[Début Dim ou Férié]]="oui")*data[[#This Row],[JOUR1]],0)</f>
        <v>0</v>
      </c>
      <c r="X58" s="67">
        <f>MAX(0,IF(data[[#This Row],[Garde / Interv.]]="Intervention",data[[#This Row],[NUIT1.1]]+data[[#This Row],[NUIT1.2]]+data[[#This Row],[NUIT2.1]]+data[[#This Row],[NUIT2.2]],0))</f>
        <v>0</v>
      </c>
    </row>
    <row r="59" spans="1:24" x14ac:dyDescent="0.3">
      <c r="A59" s="112">
        <v>43344</v>
      </c>
      <c r="B59" s="101" t="str">
        <f>IF(data[[#This Row],[Hdébut garde]]&lt;&gt;"","Garde",IF(data[[#This Row],[Hdébut corrigé]]&lt;&gt;"","Intervention",""))</f>
        <v>Garde</v>
      </c>
      <c r="C59" s="146">
        <v>0.33333333333333331</v>
      </c>
      <c r="D59" s="102">
        <v>0.375</v>
      </c>
      <c r="E59" s="147" t="s">
        <v>87</v>
      </c>
      <c r="F59" s="103"/>
      <c r="G59" s="104"/>
      <c r="H59" s="105"/>
      <c r="I59" s="106"/>
      <c r="J59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5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1.375</v>
      </c>
      <c r="L59" s="66" t="str">
        <f>IF(OR(WEEKDAY(data[[#This Row],[Date]],2)=7,COUNTIF(JF,data[[#This Row],[Date]])=1),"oui","non")</f>
        <v>non</v>
      </c>
      <c r="M59" s="67">
        <f>MAX(0,(MIN(1,data[[#This Row],[Hfin corrigée]])-data[[#This Row],[Hdébut corrigé]])-data[[#This Row],[NUIT1.1]]-data[[#This Row],[NUIT1.2]])</f>
        <v>0.58333333333333337</v>
      </c>
      <c r="N59" s="67">
        <f>IF(data[[#This Row],[Hfin Interv.]]="",0,(
MIN(FinNuit,MIN(1,data[[#This Row],[Hfin corrigée]]))-MIN(FinNuit,data[[#This Row],[Hdébut corrigé]])
))</f>
        <v>0</v>
      </c>
      <c r="O59" s="67">
        <f>MAX(0,(MAX(0,(MIN(1,data[[#This Row],[Hfin corrigée]])-DebNuit))-MAX(0,(data[[#This Row],[Hdébut corrigé]]-DebNuit))))</f>
        <v>8.333333333333337E-2</v>
      </c>
      <c r="P59" s="66" t="str">
        <f>IF(OR(WEEKDAY(data[[#This Row],[Date]]+data[[#This Row],[Hfin corrigée]],2)=7,COUNTIF(JF,INT(data[[#This Row],[Date]]+data[[#This Row],[Hfin corrigée]]))=1),"oui","non")</f>
        <v>oui</v>
      </c>
      <c r="Q59" s="67">
        <f>MAX(0,data[[#This Row],[Hfin corrigée]]-MAX(1,data[[#This Row],[Hdébut corrigé]]))-data[[#This Row],[NUIT2.1]]-data[[#This Row],[NUIT2.2]]</f>
        <v>8.3333333333333259E-2</v>
      </c>
      <c r="R59" s="67">
        <f>MAX(0,MIN(1+FinNuit,data[[#This Row],[Hfin corrigée]])-MAX(1,data[[#This Row],[Hdébut corrigé]]))</f>
        <v>0.29166666666666674</v>
      </c>
      <c r="S59" s="67">
        <f>MAX(0,(data[[#This Row],[Hfin corrigée]]-DebNuit-1))</f>
        <v>0</v>
      </c>
      <c r="T59" s="68">
        <f>IF(data[[#This Row],[Garde / Interv.]]="Intervention",MAX(0,data[[#This Row],[Hfin corrigée]]-SUMPRODUCT((data[Date]=data[[#This Row],[Date]])*(data[Garde / Interv.]="Garde")*data[Hfin corrigée])),0)</f>
        <v>0</v>
      </c>
      <c r="U59" s="170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0.95833333333333348</v>
      </c>
      <c r="V59" s="67">
        <f>MAX(0,IF(data[[#This Row],[Garde / Interv.]]="Intervention",(data[[#This Row],[Fin Dim ou Férié]]="non")*data[[#This Row],[JOUR2]]+(data[[#This Row],[Début Dim ou Férié]]="non")*data[[#This Row],[JOUR1]],0))</f>
        <v>0</v>
      </c>
      <c r="W59" s="67">
        <f>IF(data[[#This Row],[Garde / Interv.]]="Intervention",(data[[#This Row],[Fin Dim ou Férié]]="oui")*data[[#This Row],[JOUR2]]+(data[[#This Row],[Début Dim ou Férié]]="oui")*data[[#This Row],[JOUR1]],0)</f>
        <v>0</v>
      </c>
      <c r="X59" s="67">
        <f>MAX(0,IF(data[[#This Row],[Garde / Interv.]]="Intervention",data[[#This Row],[NUIT1.1]]+data[[#This Row],[NUIT1.2]]+data[[#This Row],[NUIT2.1]]+data[[#This Row],[NUIT2.2]],0))</f>
        <v>0</v>
      </c>
    </row>
    <row r="60" spans="1:24" x14ac:dyDescent="0.3">
      <c r="A60" s="112">
        <v>43344</v>
      </c>
      <c r="B60" s="101" t="str">
        <f>IF(data[[#This Row],[Hdébut garde]]&lt;&gt;"","Garde",IF(data[[#This Row],[Hdébut corrigé]]&lt;&gt;"","Intervention",""))</f>
        <v>Intervention</v>
      </c>
      <c r="C60" s="146"/>
      <c r="D60" s="102"/>
      <c r="E60" s="147"/>
      <c r="F60" s="103"/>
      <c r="G60" s="104"/>
      <c r="H60" s="105">
        <v>0.29166666666666669</v>
      </c>
      <c r="I60" s="106">
        <v>0.375</v>
      </c>
      <c r="J60" s="65">
        <f>IF(data[[#This Row],[Hdébut garde]]&lt;&gt;"",
data[[#This Row],[Hdébut garde]],
data[[#This Row],[Hdébut interv.]]+IF(data[[#This Row],[Hdébut interv.]]&lt;SUMPRODUCT((data[Date]=data[[#This Row],[Date]])*data[Hdébut garde]),1,0)
)</f>
        <v>1.2916666666666667</v>
      </c>
      <c r="K6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1.375</v>
      </c>
      <c r="L60" s="66" t="str">
        <f>IF(OR(WEEKDAY(data[[#This Row],[Date]],2)=7,COUNTIF(JF,data[[#This Row],[Date]])=1),"oui","non")</f>
        <v>non</v>
      </c>
      <c r="M60" s="67">
        <f>MAX(0,(MIN(1,data[[#This Row],[Hfin corrigée]])-data[[#This Row],[Hdébut corrigé]])-data[[#This Row],[NUIT1.1]]-data[[#This Row],[NUIT1.2]])</f>
        <v>0</v>
      </c>
      <c r="N60" s="67">
        <f>IF(data[[#This Row],[Hfin Interv.]]="",0,(
MIN(FinNuit,MIN(1,data[[#This Row],[Hfin corrigée]]))-MIN(FinNuit,data[[#This Row],[Hdébut corrigé]])
))</f>
        <v>0</v>
      </c>
      <c r="O60" s="67">
        <f>MAX(0,(MAX(0,(MIN(1,data[[#This Row],[Hfin corrigée]])-DebNuit))-MAX(0,(data[[#This Row],[Hdébut corrigé]]-DebNuit))))</f>
        <v>0</v>
      </c>
      <c r="P60" s="66" t="str">
        <f>IF(OR(WEEKDAY(data[[#This Row],[Date]]+data[[#This Row],[Hfin corrigée]],2)=7,COUNTIF(JF,INT(data[[#This Row],[Date]]+data[[#This Row],[Hfin corrigée]]))=1),"oui","non")</f>
        <v>oui</v>
      </c>
      <c r="Q60" s="67">
        <f>MAX(0,data[[#This Row],[Hfin corrigée]]-MAX(1,data[[#This Row],[Hdébut corrigé]]))-data[[#This Row],[NUIT2.1]]-data[[#This Row],[NUIT2.2]]</f>
        <v>8.3333333333333259E-2</v>
      </c>
      <c r="R60" s="67">
        <f>MAX(0,MIN(1+FinNuit,data[[#This Row],[Hfin corrigée]])-MAX(1,data[[#This Row],[Hdébut corrigé]]))</f>
        <v>0</v>
      </c>
      <c r="S60" s="67">
        <f>MAX(0,(data[[#This Row],[Hfin corrigée]]-DebNuit-1))</f>
        <v>0</v>
      </c>
      <c r="T60" s="68">
        <f>IF(data[[#This Row],[Garde / Interv.]]="Intervention",MAX(0,data[[#This Row],[Hfin corrigée]]-SUMPRODUCT((data[Date]=data[[#This Row],[Date]])*(data[Garde / Interv.]="Garde")*data[Hfin corrigée])),0)</f>
        <v>0</v>
      </c>
      <c r="U60" s="6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0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0" s="67">
        <f>IF(data[[#This Row],[Garde / Interv.]]="Intervention",(data[[#This Row],[Fin Dim ou Férié]]="oui")*data[[#This Row],[JOUR2]]+(data[[#This Row],[Début Dim ou Férié]]="oui")*data[[#This Row],[JOUR1]],0)</f>
        <v>8.3333333333333259E-2</v>
      </c>
      <c r="X60" s="67">
        <f>MAX(0,IF(data[[#This Row],[Garde / Interv.]]="Intervention",data[[#This Row],[NUIT1.1]]+data[[#This Row],[NUIT1.2]]+data[[#This Row],[NUIT2.1]]+data[[#This Row],[NUIT2.2]],0))</f>
        <v>0</v>
      </c>
    </row>
  </sheetData>
  <mergeCells count="2">
    <mergeCell ref="Z22:AC22"/>
    <mergeCell ref="AD16:AE16"/>
  </mergeCells>
  <dataValidations count="3">
    <dataValidation type="list" allowBlank="1" showInputMessage="1" showErrorMessage="1" sqref="G2:G60" xr:uid="{00000000-0002-0000-0000-000000000000}">
      <formula1>véhicule</formula1>
    </dataValidation>
    <dataValidation type="list" allowBlank="1" showInputMessage="1" showErrorMessage="1" sqref="F2:F60" xr:uid="{00000000-0002-0000-0000-000001000000}">
      <formula1>Motifs</formula1>
    </dataValidation>
    <dataValidation type="list" allowBlank="1" showInputMessage="1" showErrorMessage="1" sqref="E2:E60" xr:uid="{86F572F6-EA8C-4978-9140-E83F56334E26}">
      <formula1>réponses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workbookViewId="0"/>
  </sheetViews>
  <sheetFormatPr baseColWidth="10" defaultColWidth="16" defaultRowHeight="14.4" x14ac:dyDescent="0.3"/>
  <cols>
    <col min="1" max="2" width="16" style="17"/>
    <col min="3" max="4" width="16" style="16"/>
    <col min="5" max="9" width="16" style="2"/>
    <col min="10" max="12" width="16" style="19"/>
    <col min="13" max="13" width="16" style="20"/>
    <col min="14" max="14" width="16" style="21"/>
    <col min="15" max="16384" width="16" style="16"/>
  </cols>
  <sheetData>
    <row r="1" spans="1:14" s="15" customFormat="1" x14ac:dyDescent="0.3">
      <c r="A1" s="22" t="s">
        <v>26</v>
      </c>
      <c r="B1" s="22" t="s">
        <v>13</v>
      </c>
      <c r="C1" s="23" t="s">
        <v>20</v>
      </c>
      <c r="D1" s="23" t="s">
        <v>21</v>
      </c>
      <c r="E1" s="23" t="s">
        <v>22</v>
      </c>
      <c r="F1" s="23" t="s">
        <v>23</v>
      </c>
      <c r="G1" s="23" t="s">
        <v>24</v>
      </c>
      <c r="H1" s="23" t="s">
        <v>25</v>
      </c>
    </row>
    <row r="2" spans="1:14" x14ac:dyDescent="0.3">
      <c r="A2" s="17">
        <v>0.16666666666666666</v>
      </c>
      <c r="B2" s="17">
        <v>0.20833333333333334</v>
      </c>
      <c r="C2" s="18">
        <f>MAX(0,(MIN(1,test[[#This Row],[Hfin corrigée]])-test[[#This Row],[Hdébut corrigé]])-test[[#This Row],[NUIT1.1]]-test[[#This Row],[NUIT1.2]])</f>
        <v>0</v>
      </c>
      <c r="D2" s="18">
        <f>MIN(FinNuit,MIN(1,test[[#This Row],[Hfin corrigée]]))-MIN(FinNuit,test[[#This Row],[Hdébut corrigé]])</f>
        <v>4.1666666666666685E-2</v>
      </c>
      <c r="E2" s="18">
        <f>MAX(0,(MAX(0,(MIN(1,test[[#This Row],[Hfin corrigée]])-DebNuit))-MAX(0,(test[[#This Row],[Hdébut corrigé]]-DebNuit))))</f>
        <v>0</v>
      </c>
      <c r="F2" s="18">
        <f>MAX(0,test[[#This Row],[Hfin corrigée]]-MAX(1,test[[#This Row],[Hdébut corrigé]]))-test[[#This Row],[NUIT2.1]]-test[[#This Row],[NUIT2.2]]</f>
        <v>0</v>
      </c>
      <c r="G2" s="18">
        <f>MAX(0,MIN(1+FinNuit,test[[#This Row],[Hfin corrigée]])-MAX(1,test[[#This Row],[Hdébut corrigé]]))</f>
        <v>0</v>
      </c>
      <c r="H2" s="18">
        <f>MAX(0,(test[[#This Row],[Hfin corrigée]]-DebNuit-1))</f>
        <v>0</v>
      </c>
      <c r="I2" s="16"/>
      <c r="J2" s="16"/>
      <c r="K2" s="16"/>
      <c r="L2" s="16"/>
      <c r="M2" s="16"/>
      <c r="N2" s="16"/>
    </row>
    <row r="3" spans="1:14" x14ac:dyDescent="0.3">
      <c r="A3" s="17">
        <v>0.16666666666666666</v>
      </c>
      <c r="B3" s="17">
        <v>0.375</v>
      </c>
      <c r="C3" s="18">
        <f>MAX(0,(MIN(1,test[[#This Row],[Hfin corrigée]])-test[[#This Row],[Hdébut corrigé]])-test[[#This Row],[NUIT1.1]]-test[[#This Row],[NUIT1.2]])</f>
        <v>8.3333333333333315E-2</v>
      </c>
      <c r="D3" s="18">
        <f>MIN(FinNuit,MIN(1,test[[#This Row],[Hfin corrigée]]))-MIN(FinNuit,test[[#This Row],[Hdébut corrigé]])</f>
        <v>0.12500000000000003</v>
      </c>
      <c r="E3" s="18">
        <f>MAX(0,(MAX(0,(MIN(1,test[[#This Row],[Hfin corrigée]])-DebNuit))-MAX(0,(test[[#This Row],[Hdébut corrigé]]-DebNuit))))</f>
        <v>0</v>
      </c>
      <c r="F3" s="18">
        <f>MAX(0,test[[#This Row],[Hfin corrigée]]-MAX(1,test[[#This Row],[Hdébut corrigé]]))-test[[#This Row],[NUIT2.1]]-test[[#This Row],[NUIT2.2]]</f>
        <v>0</v>
      </c>
      <c r="G3" s="18">
        <f>MAX(0,MIN(1+FinNuit,test[[#This Row],[Hfin corrigée]])-MAX(1,test[[#This Row],[Hdébut corrigé]]))</f>
        <v>0</v>
      </c>
      <c r="H3" s="18">
        <f>MAX(0,(test[[#This Row],[Hfin corrigée]]-DebNuit-1))</f>
        <v>0</v>
      </c>
      <c r="I3" s="16"/>
      <c r="J3" s="16"/>
      <c r="K3" s="16"/>
      <c r="L3" s="16"/>
      <c r="M3" s="16"/>
      <c r="N3" s="16"/>
    </row>
    <row r="4" spans="1:14" x14ac:dyDescent="0.3">
      <c r="A4" s="17">
        <v>0.16666666666666666</v>
      </c>
      <c r="B4" s="17">
        <v>0.75</v>
      </c>
      <c r="C4" s="19">
        <f>MAX(0,(MIN(1,test[[#This Row],[Hfin corrigée]])-test[[#This Row],[Hdébut corrigé]])-test[[#This Row],[NUIT1.1]]-test[[#This Row],[NUIT1.2]])</f>
        <v>0.45833333333333337</v>
      </c>
      <c r="D4" s="19">
        <f>MIN(FinNuit,MIN(1,test[[#This Row],[Hfin corrigée]]))-MIN(FinNuit,test[[#This Row],[Hdébut corrigé]])</f>
        <v>0.12500000000000003</v>
      </c>
      <c r="E4" s="19">
        <f>MAX(0,(MAX(0,(MIN(1,test[[#This Row],[Hfin corrigée]])-DebNuit))-MAX(0,(test[[#This Row],[Hdébut corrigé]]-DebNuit))))</f>
        <v>0</v>
      </c>
      <c r="F4" s="19">
        <f>MAX(0,test[[#This Row],[Hfin corrigée]]-MAX(1,test[[#This Row],[Hdébut corrigé]]))-test[[#This Row],[NUIT2.1]]-test[[#This Row],[NUIT2.2]]</f>
        <v>0</v>
      </c>
      <c r="G4" s="19">
        <f>MAX(0,MIN(1+FinNuit,test[[#This Row],[Hfin corrigée]])-MAX(1,test[[#This Row],[Hdébut corrigé]]))</f>
        <v>0</v>
      </c>
      <c r="H4" s="19">
        <f>MAX(0,(test[[#This Row],[Hfin corrigée]]-DebNuit-1))</f>
        <v>0</v>
      </c>
    </row>
    <row r="5" spans="1:14" x14ac:dyDescent="0.3">
      <c r="A5" s="17">
        <v>0.33333333333333331</v>
      </c>
      <c r="B5" s="17">
        <v>0.95833333333333337</v>
      </c>
      <c r="C5" s="19">
        <f>MAX(0,(MIN(1,test[[#This Row],[Hfin corrigée]])-test[[#This Row],[Hdébut corrigé]])-test[[#This Row],[NUIT1.1]]-test[[#This Row],[NUIT1.2]])</f>
        <v>0.58333333333333326</v>
      </c>
      <c r="D5" s="19">
        <f>MIN(FinNuit,MIN(1,test[[#This Row],[Hfin corrigée]]))-MIN(FinNuit,test[[#This Row],[Hdébut corrigé]])</f>
        <v>0</v>
      </c>
      <c r="E5" s="19">
        <f>MAX(0,(MAX(0,(MIN(1,test[[#This Row],[Hfin corrigée]])-DebNuit))-MAX(0,(test[[#This Row],[Hdébut corrigé]]-DebNuit))))</f>
        <v>4.1666666666666741E-2</v>
      </c>
      <c r="F5" s="19">
        <f>MAX(0,test[[#This Row],[Hfin corrigée]]-MAX(1,test[[#This Row],[Hdébut corrigé]]))-test[[#This Row],[NUIT2.1]]-test[[#This Row],[NUIT2.2]]</f>
        <v>0</v>
      </c>
      <c r="G5" s="19">
        <f>MAX(0,MIN(1+FinNuit,test[[#This Row],[Hfin corrigée]])-MAX(1,test[[#This Row],[Hdébut corrigé]]))</f>
        <v>0</v>
      </c>
      <c r="H5" s="19">
        <f>MAX(0,(test[[#This Row],[Hfin corrigée]]-DebNuit-1))</f>
        <v>0</v>
      </c>
    </row>
    <row r="6" spans="1:14" x14ac:dyDescent="0.3">
      <c r="A6" s="17">
        <v>1.0416666666666667</v>
      </c>
      <c r="B6" s="17">
        <v>1.3333333333333333</v>
      </c>
      <c r="C6" s="19">
        <f>MAX(0,(MIN(1,test[[#This Row],[Hfin corrigée]])-test[[#This Row],[Hdébut corrigé]])-test[[#This Row],[NUIT1.1]]-test[[#This Row],[NUIT1.2]])</f>
        <v>0</v>
      </c>
      <c r="D6" s="19">
        <f>MIN(FinNuit,MIN(1,test[[#This Row],[Hfin corrigée]]))-MIN(FinNuit,test[[#This Row],[Hdébut corrigé]])</f>
        <v>0</v>
      </c>
      <c r="E6" s="19">
        <f>MAX(0,(MAX(0,(MIN(1,test[[#This Row],[Hfin corrigée]])-DebNuit))-MAX(0,(test[[#This Row],[Hdébut corrigé]]-DebNuit))))</f>
        <v>0</v>
      </c>
      <c r="F6" s="19">
        <f>MAX(0,test[[#This Row],[Hfin corrigée]]-MAX(1,test[[#This Row],[Hdébut corrigé]]))-test[[#This Row],[NUIT2.1]]-test[[#This Row],[NUIT2.2]]</f>
        <v>4.1666666666666519E-2</v>
      </c>
      <c r="G6" s="19">
        <f>MAX(0,MIN(1+FinNuit,test[[#This Row],[Hfin corrigée]])-MAX(1,test[[#This Row],[Hdébut corrigé]]))</f>
        <v>0.25</v>
      </c>
      <c r="H6" s="19">
        <f>MAX(0,(test[[#This Row],[Hfin corrigée]]-DebNuit-1))</f>
        <v>0</v>
      </c>
    </row>
    <row r="7" spans="1:14" x14ac:dyDescent="0.3">
      <c r="A7" s="17">
        <v>0.16666666666666666</v>
      </c>
      <c r="B7" s="17">
        <v>0.95833333333333337</v>
      </c>
      <c r="C7" s="19">
        <f>MAX(0,(MIN(1,test[[#This Row],[Hfin corrigée]])-test[[#This Row],[Hdébut corrigé]])-test[[#This Row],[NUIT1.1]]-test[[#This Row],[NUIT1.2]])</f>
        <v>0.625</v>
      </c>
      <c r="D7" s="19">
        <f>MIN(FinNuit,MIN(1,test[[#This Row],[Hfin corrigée]]))-MIN(FinNuit,test[[#This Row],[Hdébut corrigé]])</f>
        <v>0.12500000000000003</v>
      </c>
      <c r="E7" s="19">
        <f>MAX(0,(MAX(0,(MIN(1,test[[#This Row],[Hfin corrigée]])-DebNuit))-MAX(0,(test[[#This Row],[Hdébut corrigé]]-DebNuit))))</f>
        <v>4.1666666666666741E-2</v>
      </c>
      <c r="F7" s="19">
        <f>MAX(0,test[[#This Row],[Hfin corrigée]]-MAX(1,test[[#This Row],[Hdébut corrigé]]))-test[[#This Row],[NUIT2.1]]-test[[#This Row],[NUIT2.2]]</f>
        <v>0</v>
      </c>
      <c r="G7" s="19">
        <f>MAX(0,MIN(1+FinNuit,test[[#This Row],[Hfin corrigée]])-MAX(1,test[[#This Row],[Hdébut corrigé]]))</f>
        <v>0</v>
      </c>
      <c r="H7" s="19">
        <f>MAX(0,(test[[#This Row],[Hfin corrigée]]-DebNuit-1))</f>
        <v>0</v>
      </c>
    </row>
    <row r="8" spans="1:14" x14ac:dyDescent="0.3">
      <c r="A8" s="17">
        <v>0.5</v>
      </c>
      <c r="B8" s="17">
        <v>1.6666666666666667</v>
      </c>
      <c r="C8" s="19">
        <f>MAX(0,(MIN(1,test[[#This Row],[Hfin corrigée]])-test[[#This Row],[Hdébut corrigé]])-test[[#This Row],[NUIT1.1]]-test[[#This Row],[NUIT1.2]])</f>
        <v>0.41666666666666663</v>
      </c>
      <c r="D8" s="19">
        <f>MIN(FinNuit,MIN(1,test[[#This Row],[Hfin corrigée]]))-MIN(FinNuit,test[[#This Row],[Hdébut corrigé]])</f>
        <v>0</v>
      </c>
      <c r="E8" s="19">
        <f>MAX(0,(MAX(0,(MIN(1,test[[#This Row],[Hfin corrigée]])-DebNuit))-MAX(0,(test[[#This Row],[Hdébut corrigé]]-DebNuit))))</f>
        <v>8.333333333333337E-2</v>
      </c>
      <c r="F8" s="19">
        <f>MAX(0,test[[#This Row],[Hfin corrigée]]-MAX(1,test[[#This Row],[Hdébut corrigé]]))-test[[#This Row],[NUIT2.1]]-test[[#This Row],[NUIT2.2]]</f>
        <v>0.375</v>
      </c>
      <c r="G8" s="19">
        <f>MAX(0,MIN(1+FinNuit,test[[#This Row],[Hfin corrigée]])-MAX(1,test[[#This Row],[Hdébut corrigé]]))</f>
        <v>0.29166666666666674</v>
      </c>
      <c r="H8" s="19">
        <f>MAX(0,(test[[#This Row],[Hfin corrigée]]-DebNuit-1))</f>
        <v>0</v>
      </c>
    </row>
    <row r="9" spans="1:14" x14ac:dyDescent="0.3">
      <c r="A9" s="17">
        <v>0</v>
      </c>
      <c r="B9" s="17">
        <v>2</v>
      </c>
      <c r="C9" s="19">
        <f>MAX(0,(MIN(1,test[[#This Row],[Hfin corrigée]])-test[[#This Row],[Hdébut corrigé]])-test[[#This Row],[NUIT1.1]]-test[[#This Row],[NUIT1.2]])</f>
        <v>0.62499999999999989</v>
      </c>
      <c r="D9" s="19">
        <f>MIN(FinNuit,MIN(1,test[[#This Row],[Hfin corrigée]]))-MIN(FinNuit,test[[#This Row],[Hdébut corrigé]])</f>
        <v>0.29166666666666669</v>
      </c>
      <c r="E9" s="19">
        <f>MAX(0,(MAX(0,(MIN(1,test[[#This Row],[Hfin corrigée]])-DebNuit))-MAX(0,(test[[#This Row],[Hdébut corrigé]]-DebNuit))))</f>
        <v>8.333333333333337E-2</v>
      </c>
      <c r="F9" s="19">
        <f>MAX(0,test[[#This Row],[Hfin corrigée]]-MAX(1,test[[#This Row],[Hdébut corrigé]]))-test[[#This Row],[NUIT2.1]]-test[[#This Row],[NUIT2.2]]</f>
        <v>0.62499999999999978</v>
      </c>
      <c r="G9" s="19">
        <f>MAX(0,MIN(1+FinNuit,test[[#This Row],[Hfin corrigée]])-MAX(1,test[[#This Row],[Hdébut corrigé]]))</f>
        <v>0.29166666666666674</v>
      </c>
      <c r="H9" s="19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7"/>
  <sheetViews>
    <sheetView showZeros="0" tabSelected="1" workbookViewId="0">
      <pane xSplit="2" ySplit="1" topLeftCell="C6" activePane="bottomRight" state="frozen"/>
      <selection pane="topRight" activeCell="C1" sqref="C1"/>
      <selection pane="bottomLeft" activeCell="A2" sqref="A2"/>
      <selection pane="bottomRight" activeCell="D5" sqref="D5"/>
    </sheetView>
  </sheetViews>
  <sheetFormatPr baseColWidth="10" defaultRowHeight="14.4" x14ac:dyDescent="0.3"/>
  <cols>
    <col min="1" max="2" width="8.109375" customWidth="1"/>
    <col min="3" max="4" width="10.6640625" customWidth="1"/>
    <col min="5" max="10" width="7.88671875" customWidth="1"/>
    <col min="11" max="12" width="9.21875" customWidth="1"/>
    <col min="13" max="16" width="10.6640625" hidden="1" customWidth="1"/>
    <col min="17" max="17" width="11.33203125" style="40" bestFit="1" customWidth="1"/>
    <col min="18" max="18" width="11.33203125" style="40" customWidth="1"/>
    <col min="19" max="19" width="12.44140625" style="40" bestFit="1" customWidth="1"/>
    <col min="20" max="21" width="10.21875" style="40" bestFit="1" customWidth="1"/>
    <col min="22" max="22" width="20.77734375" customWidth="1"/>
  </cols>
  <sheetData>
    <row r="1" spans="1:24" ht="73.2" customHeight="1" x14ac:dyDescent="0.3">
      <c r="A1" s="85" t="s">
        <v>47</v>
      </c>
      <c r="B1" s="115" t="s">
        <v>48</v>
      </c>
      <c r="C1" s="178" t="s">
        <v>14</v>
      </c>
      <c r="D1" s="179"/>
      <c r="E1" s="186" t="s">
        <v>17</v>
      </c>
      <c r="F1" s="186"/>
      <c r="G1" s="186" t="s">
        <v>15</v>
      </c>
      <c r="H1" s="186"/>
      <c r="I1" s="186" t="s">
        <v>16</v>
      </c>
      <c r="J1" s="178"/>
      <c r="K1" s="187" t="s">
        <v>55</v>
      </c>
      <c r="L1" s="188"/>
      <c r="M1" s="115" t="s">
        <v>49</v>
      </c>
      <c r="N1" s="115" t="s">
        <v>52</v>
      </c>
      <c r="O1" s="115" t="s">
        <v>51</v>
      </c>
      <c r="P1" s="116" t="s">
        <v>53</v>
      </c>
      <c r="Q1" s="117" t="s">
        <v>50</v>
      </c>
      <c r="R1" s="118" t="s">
        <v>85</v>
      </c>
      <c r="S1" s="118" t="s">
        <v>84</v>
      </c>
      <c r="T1" s="119" t="s">
        <v>74</v>
      </c>
      <c r="U1" s="119" t="s">
        <v>76</v>
      </c>
    </row>
    <row r="2" spans="1:24" x14ac:dyDescent="0.3">
      <c r="A2" s="25">
        <v>2018</v>
      </c>
      <c r="B2" s="24">
        <f>DATE($A$2,ROW()-1,1)</f>
        <v>43101</v>
      </c>
      <c r="C2" s="132">
        <f>SUMPRODUCT(data[[Durée sans interv.]:[Durée interv. nuit]]*(data[Date]&gt;=B2)*(data[Date]&lt;=EOMONTH(B2,0)))-F2-H2-J2</f>
        <v>2.3645833333333335</v>
      </c>
      <c r="D2" s="107">
        <f t="shared" ref="D2:D13" si="0">IF(C2=0,0,ROUNDUP(C2*4*24+1/60/24,0)/4/24)</f>
        <v>2.375</v>
      </c>
      <c r="E2" s="84">
        <f>SUMPRODUCT(data[Durée interv. jour]*(data[Date]&gt;=B2)*(data[Date]&lt;=EOMONTH(B2,0)))</f>
        <v>0.53958333333333353</v>
      </c>
      <c r="F2" s="26">
        <f>IF(E2=0,0,ROUNDUP(E2*4*24+1/60/24,0)/4/24)</f>
        <v>0.54166666666666663</v>
      </c>
      <c r="G2" s="84">
        <f>SUMPRODUCT(data[Durée interv. dim ou férié]*(data[Date]&gt;=B2)*(data[Date]&lt;=EOMONTH(B2,0)))</f>
        <v>0</v>
      </c>
      <c r="H2" s="26">
        <f t="shared" ref="H2:H13" si="1">IF(G2=0,0,ROUNDUP(G2*4*24+1/60/24,0)/4/24)</f>
        <v>0</v>
      </c>
      <c r="I2" s="84">
        <f>SUMPRODUCT(data[Durée interv. nuit]*(data[Date]&gt;=B2)*(data[Date]&lt;=EOMONTH(B2,0)))</f>
        <v>8.5416666666666696E-2</v>
      </c>
      <c r="J2" s="26">
        <f t="shared" ref="J2:J13" si="2">IF(I2=0,0,ROUNDUP(I2*4*24+1/60/24,0)/4/24)</f>
        <v>9.375E-2</v>
      </c>
      <c r="K2" s="108">
        <f t="shared" ref="K2:K13" si="3">E2+G2+I2</f>
        <v>0.62500000000000022</v>
      </c>
      <c r="L2" s="36">
        <f t="shared" ref="L2:L13" si="4">+F2+H2+J2</f>
        <v>0.63541666666666663</v>
      </c>
      <c r="M2" s="27">
        <f t="shared" ref="M2:M13" si="5">24*(TAUX1*C2)</f>
        <v>325.745</v>
      </c>
      <c r="N2" s="27">
        <f t="shared" ref="N2:N13" si="6">24*(TAUX2*F2)</f>
        <v>99.580000000000013</v>
      </c>
      <c r="O2" s="27">
        <f t="shared" ref="O2:O13" si="7">24*(TAUX3*H2)</f>
        <v>0</v>
      </c>
      <c r="P2" s="37">
        <f t="shared" ref="P2:P13" si="8">24*(TAUX4*J2)</f>
        <v>34.47</v>
      </c>
      <c r="Q2" s="93">
        <f t="shared" ref="Q2:Q13" si="9">24*(TAUX1*D2+TAUX2*F2+TAUX3*H2+TAUX4*J2)</f>
        <v>461.23</v>
      </c>
      <c r="R2" s="138">
        <f>(Paramètres!$B$38/12)-Q2</f>
        <v>497.10333333333335</v>
      </c>
      <c r="S2" s="136">
        <f>Paramètres!B38-'Calcul indemnités mensuelles'!Q2</f>
        <v>11038.77</v>
      </c>
      <c r="T2" s="94">
        <f t="shared" ref="T2:T13" si="10">SUM(C2,L2)</f>
        <v>3</v>
      </c>
      <c r="U2" s="182">
        <f>SUM(T2:T4)</f>
        <v>4.8937499999999998</v>
      </c>
      <c r="V2" s="98">
        <f>T2</f>
        <v>3</v>
      </c>
    </row>
    <row r="3" spans="1:24" x14ac:dyDescent="0.3">
      <c r="A3" s="88"/>
      <c r="B3" s="24">
        <f t="shared" ref="B3:B13" si="11">DATE($A$2,ROW()-1,1)</f>
        <v>43132</v>
      </c>
      <c r="C3" s="132">
        <f>SUMPRODUCT(data[[Durée sans interv.]:[Durée interv. nuit]]*(data[Date]&gt;=B3)*(data[Date]&lt;=EOMONTH(B3,0)))-F3-H3-J3</f>
        <v>0</v>
      </c>
      <c r="D3" s="107">
        <f t="shared" si="0"/>
        <v>0</v>
      </c>
      <c r="E3" s="84">
        <f>SUMPRODUCT(data[Durée interv. jour]*(data[Date]&gt;=B3)*(data[Date]&lt;=EOMONTH(B3,0)))</f>
        <v>0</v>
      </c>
      <c r="F3" s="26">
        <f t="shared" ref="F3:F13" si="12">IF(E3=0,0,ROUNDUP(E3*4*24+1/60/24,0)/4/24)</f>
        <v>0</v>
      </c>
      <c r="G3" s="84">
        <f>SUMPRODUCT(data[Durée interv. dim ou férié]*(data[Date]&gt;=B3)*(data[Date]&lt;=EOMONTH(B3,0)))</f>
        <v>0</v>
      </c>
      <c r="H3" s="26">
        <f t="shared" si="1"/>
        <v>0</v>
      </c>
      <c r="I3" s="84">
        <f>SUMPRODUCT(data[Durée interv. nuit]*(data[Date]&gt;=B3)*(data[Date]&lt;=EOMONTH(B3,0)))</f>
        <v>0</v>
      </c>
      <c r="J3" s="26">
        <f t="shared" si="2"/>
        <v>0</v>
      </c>
      <c r="K3" s="108">
        <f t="shared" si="3"/>
        <v>0</v>
      </c>
      <c r="L3" s="36">
        <f t="shared" si="4"/>
        <v>0</v>
      </c>
      <c r="M3" s="27">
        <f t="shared" si="5"/>
        <v>0</v>
      </c>
      <c r="N3" s="27">
        <f t="shared" si="6"/>
        <v>0</v>
      </c>
      <c r="O3" s="27">
        <f t="shared" si="7"/>
        <v>0</v>
      </c>
      <c r="P3" s="37">
        <f t="shared" si="8"/>
        <v>0</v>
      </c>
      <c r="Q3" s="95">
        <f t="shared" si="9"/>
        <v>0</v>
      </c>
      <c r="R3" s="127">
        <f>((Paramètres!$B$38/12)+R2)-Q3</f>
        <v>1455.4366666666667</v>
      </c>
      <c r="S3" s="136">
        <f t="shared" ref="S3:S13" si="13">S2-Q3</f>
        <v>11038.77</v>
      </c>
      <c r="T3" s="94">
        <f t="shared" si="10"/>
        <v>0</v>
      </c>
      <c r="U3" s="183"/>
      <c r="V3" s="98">
        <f t="shared" ref="V3:V13" si="14">T3</f>
        <v>0</v>
      </c>
    </row>
    <row r="4" spans="1:24" x14ac:dyDescent="0.3">
      <c r="A4" s="142"/>
      <c r="B4" s="141">
        <f t="shared" si="11"/>
        <v>43160</v>
      </c>
      <c r="C4" s="132">
        <f>SUMPRODUCT(data[[Durée sans interv.]:[Durée interv. nuit]]*(data[Date]&gt;=B4)*(data[Date]&lt;=EOMONTH(B4,0)))-F4-H4-J4</f>
        <v>1.2791666666666666</v>
      </c>
      <c r="D4" s="107">
        <f t="shared" si="0"/>
        <v>1.28125</v>
      </c>
      <c r="E4" s="84">
        <f>SUMPRODUCT(data[Durée interv. jour]*(data[Date]&gt;=B4)*(data[Date]&lt;=EOMONTH(B4,0)))</f>
        <v>0.53194444444444422</v>
      </c>
      <c r="F4" s="26">
        <f t="shared" si="12"/>
        <v>0.54166666666666663</v>
      </c>
      <c r="G4" s="84">
        <f>SUMPRODUCT(data[Durée interv. dim ou férié]*(data[Date]&gt;=B4)*(data[Date]&lt;=EOMONTH(B4,0)))</f>
        <v>0</v>
      </c>
      <c r="H4" s="26">
        <f t="shared" si="1"/>
        <v>0</v>
      </c>
      <c r="I4" s="84">
        <f>SUMPRODUCT(data[Durée interv. nuit]*(data[Date]&gt;=B4)*(data[Date]&lt;=EOMONTH(B4,0)))</f>
        <v>7.0833333333333304E-2</v>
      </c>
      <c r="J4" s="26">
        <f t="shared" si="2"/>
        <v>7.2916666666666671E-2</v>
      </c>
      <c r="K4" s="108">
        <f t="shared" si="3"/>
        <v>0.60277777777777752</v>
      </c>
      <c r="L4" s="36">
        <f t="shared" si="4"/>
        <v>0.61458333333333326</v>
      </c>
      <c r="M4" s="27">
        <f t="shared" si="5"/>
        <v>176.21799999999999</v>
      </c>
      <c r="N4" s="27">
        <f t="shared" si="6"/>
        <v>99.580000000000013</v>
      </c>
      <c r="O4" s="27">
        <f t="shared" si="7"/>
        <v>0</v>
      </c>
      <c r="P4" s="37">
        <f t="shared" si="8"/>
        <v>26.810000000000002</v>
      </c>
      <c r="Q4" s="95">
        <f t="shared" si="9"/>
        <v>302.89499999999998</v>
      </c>
      <c r="R4" s="127">
        <f>((Paramètres!$B$38/12)+R3)-Q4</f>
        <v>2110.875</v>
      </c>
      <c r="S4" s="136">
        <f t="shared" si="13"/>
        <v>10735.875</v>
      </c>
      <c r="T4" s="94">
        <f t="shared" si="10"/>
        <v>1.8937499999999998</v>
      </c>
      <c r="U4" s="184"/>
      <c r="V4" s="98">
        <f t="shared" si="14"/>
        <v>1.8937499999999998</v>
      </c>
    </row>
    <row r="5" spans="1:24" x14ac:dyDescent="0.3">
      <c r="A5" s="140"/>
      <c r="B5" s="24">
        <f t="shared" si="11"/>
        <v>43191</v>
      </c>
      <c r="C5" s="132">
        <f>SUMPRODUCT(data[[Durée sans interv.]:[Durée interv. nuit]]*(data[Date]&gt;=B5)*(data[Date]&lt;=EOMONTH(B5,0)))-F5-H5-J5</f>
        <v>0.72916666666666674</v>
      </c>
      <c r="D5" s="107">
        <f t="shared" si="0"/>
        <v>0.73958333333333337</v>
      </c>
      <c r="E5" s="84">
        <f>SUMPRODUCT(data[Durée interv. jour]*(data[Date]&gt;=B5)*(data[Date]&lt;=EOMONTH(B5,0)))</f>
        <v>0</v>
      </c>
      <c r="F5" s="26">
        <f t="shared" si="12"/>
        <v>0</v>
      </c>
      <c r="G5" s="84">
        <f>SUMPRODUCT(data[Durée interv. dim ou férié]*(data[Date]&gt;=B5)*(data[Date]&lt;=EOMONTH(B5,0)))</f>
        <v>0.18333333333333324</v>
      </c>
      <c r="H5" s="26">
        <f t="shared" si="1"/>
        <v>0.1875</v>
      </c>
      <c r="I5" s="84">
        <f>SUMPRODUCT(data[Durée interv. nuit]*(data[Date]&gt;=B5)*(data[Date]&lt;=EOMONTH(B5,0)))</f>
        <v>0</v>
      </c>
      <c r="J5" s="26">
        <f t="shared" si="2"/>
        <v>0</v>
      </c>
      <c r="K5" s="108">
        <f t="shared" si="3"/>
        <v>0.18333333333333324</v>
      </c>
      <c r="L5" s="36">
        <f t="shared" si="4"/>
        <v>0.1875</v>
      </c>
      <c r="M5" s="27">
        <f t="shared" si="5"/>
        <v>100.45000000000002</v>
      </c>
      <c r="N5" s="27">
        <f t="shared" si="6"/>
        <v>0</v>
      </c>
      <c r="O5" s="27">
        <f t="shared" si="7"/>
        <v>51.704999999999998</v>
      </c>
      <c r="P5" s="37">
        <f t="shared" si="8"/>
        <v>0</v>
      </c>
      <c r="Q5" s="95">
        <f t="shared" si="9"/>
        <v>153.59000000000003</v>
      </c>
      <c r="R5" s="127">
        <f>((Paramètres!$B$38/12)+R4)-Q5</f>
        <v>2915.6183333333333</v>
      </c>
      <c r="S5" s="136">
        <f t="shared" si="13"/>
        <v>10582.285</v>
      </c>
      <c r="T5" s="94">
        <f t="shared" si="10"/>
        <v>0.91666666666666674</v>
      </c>
      <c r="U5" s="182">
        <f>SUM(T5:T7)</f>
        <v>6.7500000000000009</v>
      </c>
      <c r="V5" s="98">
        <f t="shared" si="14"/>
        <v>0.91666666666666674</v>
      </c>
    </row>
    <row r="6" spans="1:24" x14ac:dyDescent="0.3">
      <c r="A6" s="88"/>
      <c r="B6" s="24">
        <f t="shared" si="11"/>
        <v>43221</v>
      </c>
      <c r="C6" s="132">
        <f>SUMPRODUCT(data[[Durée sans interv.]:[Durée interv. nuit]]*(data[Date]&gt;=B6)*(data[Date]&lt;=EOMONTH(B6,0)))-F6-H6-J6</f>
        <v>2.8645833333333339</v>
      </c>
      <c r="D6" s="107">
        <f t="shared" si="0"/>
        <v>2.875</v>
      </c>
      <c r="E6" s="84">
        <f>SUMPRODUCT(data[Durée interv. jour]*(data[Date]&gt;=B6)*(data[Date]&lt;=EOMONTH(B6,0)))</f>
        <v>0.31388888888888777</v>
      </c>
      <c r="F6" s="26">
        <f t="shared" si="12"/>
        <v>0.32291666666666669</v>
      </c>
      <c r="G6" s="84">
        <f>SUMPRODUCT(data[Durée interv. dim ou férié]*(data[Date]&gt;=B6)*(data[Date]&lt;=EOMONTH(B6,0)))</f>
        <v>7.152777777777708E-2</v>
      </c>
      <c r="H6" s="26">
        <f t="shared" si="1"/>
        <v>7.2916666666666671E-2</v>
      </c>
      <c r="I6" s="84">
        <f>SUMPRODUCT(data[Durée interv. nuit]*(data[Date]&gt;=B6)*(data[Date]&lt;=EOMONTH(B6,0)))</f>
        <v>6.2500000000000333E-2</v>
      </c>
      <c r="J6" s="26">
        <f t="shared" si="2"/>
        <v>7.2916666666666671E-2</v>
      </c>
      <c r="K6" s="108">
        <f t="shared" si="3"/>
        <v>0.44791666666666519</v>
      </c>
      <c r="L6" s="36">
        <f t="shared" si="4"/>
        <v>0.46875000000000006</v>
      </c>
      <c r="M6" s="27">
        <f t="shared" si="5"/>
        <v>394.62500000000006</v>
      </c>
      <c r="N6" s="27">
        <f t="shared" si="6"/>
        <v>59.365000000000002</v>
      </c>
      <c r="O6" s="27">
        <f t="shared" si="7"/>
        <v>20.107500000000002</v>
      </c>
      <c r="P6" s="37">
        <f t="shared" si="8"/>
        <v>26.810000000000002</v>
      </c>
      <c r="Q6" s="95">
        <f t="shared" si="9"/>
        <v>502.34249999999997</v>
      </c>
      <c r="R6" s="127">
        <f>((Paramètres!$B$38/12)+R5)-Q6</f>
        <v>3371.6091666666671</v>
      </c>
      <c r="S6" s="136">
        <f t="shared" si="13"/>
        <v>10079.942499999999</v>
      </c>
      <c r="T6" s="94">
        <f t="shared" si="10"/>
        <v>3.3333333333333339</v>
      </c>
      <c r="U6" s="183"/>
      <c r="V6" s="98">
        <f t="shared" si="14"/>
        <v>3.3333333333333339</v>
      </c>
      <c r="W6" s="88"/>
      <c r="X6" s="87"/>
    </row>
    <row r="7" spans="1:24" x14ac:dyDescent="0.3">
      <c r="B7" s="24">
        <f t="shared" si="11"/>
        <v>43252</v>
      </c>
      <c r="C7" s="132">
        <f>SUMPRODUCT(data[[Durée sans interv.]:[Durée interv. nuit]]*(data[Date]&gt;=B7)*(data[Date]&lt;=EOMONTH(B7,0)))-F7-H7-J7</f>
        <v>2.21875</v>
      </c>
      <c r="D7" s="107">
        <f t="shared" si="0"/>
        <v>2.2291666666666665</v>
      </c>
      <c r="E7" s="84">
        <f>SUMPRODUCT(data[Durée interv. jour]*(data[Date]&gt;=B7)*(data[Date]&lt;=EOMONTH(B7,0)))</f>
        <v>0.17569444444444426</v>
      </c>
      <c r="F7" s="26">
        <f t="shared" si="12"/>
        <v>0.17708333333333334</v>
      </c>
      <c r="G7" s="84">
        <f>SUMPRODUCT(data[Durée interv. dim ou férié]*(data[Date]&gt;=B7)*(data[Date]&lt;=EOMONTH(B7,0)))</f>
        <v>0</v>
      </c>
      <c r="H7" s="26">
        <f t="shared" si="1"/>
        <v>0</v>
      </c>
      <c r="I7" s="84">
        <f>SUMPRODUCT(data[Durée interv. nuit]*(data[Date]&gt;=B7)*(data[Date]&lt;=EOMONTH(B7,0)))</f>
        <v>9.8611111111111205E-2</v>
      </c>
      <c r="J7" s="26">
        <f t="shared" si="2"/>
        <v>0.10416666666666667</v>
      </c>
      <c r="K7" s="108">
        <f t="shared" si="3"/>
        <v>0.27430555555555547</v>
      </c>
      <c r="L7" s="36">
        <f t="shared" si="4"/>
        <v>0.28125</v>
      </c>
      <c r="M7" s="27">
        <f t="shared" si="5"/>
        <v>305.65500000000003</v>
      </c>
      <c r="N7" s="27">
        <f t="shared" si="6"/>
        <v>32.555</v>
      </c>
      <c r="O7" s="27">
        <f t="shared" si="7"/>
        <v>0</v>
      </c>
      <c r="P7" s="37">
        <f t="shared" si="8"/>
        <v>38.300000000000004</v>
      </c>
      <c r="Q7" s="95">
        <f t="shared" si="9"/>
        <v>377.94499999999999</v>
      </c>
      <c r="R7" s="127">
        <f>((Paramètres!$B$38/12)+R6)-Q7</f>
        <v>3951.9974999999999</v>
      </c>
      <c r="S7" s="136">
        <f t="shared" si="13"/>
        <v>9701.9974999999995</v>
      </c>
      <c r="T7" s="94">
        <f t="shared" si="10"/>
        <v>2.5</v>
      </c>
      <c r="U7" s="184"/>
      <c r="V7" s="98">
        <f t="shared" si="14"/>
        <v>2.5</v>
      </c>
      <c r="W7" s="88"/>
      <c r="X7" s="87"/>
    </row>
    <row r="8" spans="1:24" x14ac:dyDescent="0.3">
      <c r="B8" s="24">
        <f t="shared" si="11"/>
        <v>43282</v>
      </c>
      <c r="C8" s="132">
        <f>SUMPRODUCT(data[[Durée sans interv.]:[Durée interv. nuit]]*(data[Date]&gt;=B8)*(data[Date]&lt;=EOMONTH(B8,0)))-F8-H8-J8</f>
        <v>0</v>
      </c>
      <c r="D8" s="107">
        <f t="shared" si="0"/>
        <v>0</v>
      </c>
      <c r="E8" s="84">
        <f>SUMPRODUCT(data[Durée interv. jour]*(data[Date]&gt;=B8)*(data[Date]&lt;=EOMONTH(B8,0)))</f>
        <v>0</v>
      </c>
      <c r="F8" s="26">
        <f t="shared" si="12"/>
        <v>0</v>
      </c>
      <c r="G8" s="84">
        <f>SUMPRODUCT(data[Durée interv. dim ou férié]*(data[Date]&gt;=B8)*(data[Date]&lt;=EOMONTH(B8,0)))</f>
        <v>0</v>
      </c>
      <c r="H8" s="26">
        <f t="shared" si="1"/>
        <v>0</v>
      </c>
      <c r="I8" s="84">
        <f>SUMPRODUCT(data[Durée interv. nuit]*(data[Date]&gt;=B8)*(data[Date]&lt;=EOMONTH(B8,0)))</f>
        <v>0</v>
      </c>
      <c r="J8" s="26">
        <f t="shared" si="2"/>
        <v>0</v>
      </c>
      <c r="K8" s="108">
        <f t="shared" si="3"/>
        <v>0</v>
      </c>
      <c r="L8" s="36">
        <f t="shared" si="4"/>
        <v>0</v>
      </c>
      <c r="M8" s="27">
        <f t="shared" si="5"/>
        <v>0</v>
      </c>
      <c r="N8" s="27">
        <f t="shared" si="6"/>
        <v>0</v>
      </c>
      <c r="O8" s="27">
        <f t="shared" si="7"/>
        <v>0</v>
      </c>
      <c r="P8" s="37">
        <f t="shared" si="8"/>
        <v>0</v>
      </c>
      <c r="Q8" s="95">
        <f t="shared" si="9"/>
        <v>0</v>
      </c>
      <c r="R8" s="127">
        <f>((Paramètres!$B$38/12)+R7)-Q8</f>
        <v>4910.3308333333334</v>
      </c>
      <c r="S8" s="136">
        <f t="shared" si="13"/>
        <v>9701.9974999999995</v>
      </c>
      <c r="T8" s="94">
        <f t="shared" si="10"/>
        <v>0</v>
      </c>
      <c r="U8" s="182">
        <f>SUM(T8:T10)</f>
        <v>1.0416666666666667</v>
      </c>
      <c r="V8" s="98">
        <f t="shared" si="14"/>
        <v>0</v>
      </c>
    </row>
    <row r="9" spans="1:24" x14ac:dyDescent="0.3">
      <c r="B9" s="24">
        <f t="shared" si="11"/>
        <v>43313</v>
      </c>
      <c r="C9" s="132">
        <f>SUMPRODUCT(data[[Durée sans interv.]:[Durée interv. nuit]]*(data[Date]&gt;=B9)*(data[Date]&lt;=EOMONTH(B9,0)))-F9-H9-J9</f>
        <v>0</v>
      </c>
      <c r="D9" s="107">
        <f t="shared" si="0"/>
        <v>0</v>
      </c>
      <c r="E9" s="84">
        <f>SUMPRODUCT(data[Durée interv. jour]*(data[Date]&gt;=B9)*(data[Date]&lt;=EOMONTH(B9,0)))</f>
        <v>0</v>
      </c>
      <c r="F9" s="26">
        <f t="shared" si="12"/>
        <v>0</v>
      </c>
      <c r="G9" s="84">
        <f>SUMPRODUCT(data[Durée interv. dim ou férié]*(data[Date]&gt;=B9)*(data[Date]&lt;=EOMONTH(B9,0)))</f>
        <v>0</v>
      </c>
      <c r="H9" s="26">
        <f t="shared" si="1"/>
        <v>0</v>
      </c>
      <c r="I9" s="84">
        <f>SUMPRODUCT(data[Durée interv. nuit]*(data[Date]&gt;=B9)*(data[Date]&lt;=EOMONTH(B9,0)))</f>
        <v>0</v>
      </c>
      <c r="J9" s="26">
        <f t="shared" si="2"/>
        <v>0</v>
      </c>
      <c r="K9" s="108">
        <f t="shared" si="3"/>
        <v>0</v>
      </c>
      <c r="L9" s="36">
        <f t="shared" si="4"/>
        <v>0</v>
      </c>
      <c r="M9" s="27">
        <f t="shared" si="5"/>
        <v>0</v>
      </c>
      <c r="N9" s="27">
        <f t="shared" si="6"/>
        <v>0</v>
      </c>
      <c r="O9" s="27">
        <f t="shared" si="7"/>
        <v>0</v>
      </c>
      <c r="P9" s="37">
        <f t="shared" si="8"/>
        <v>0</v>
      </c>
      <c r="Q9" s="95">
        <f t="shared" si="9"/>
        <v>0</v>
      </c>
      <c r="R9" s="127">
        <f>((Paramètres!$B$38/12)+R8)-Q9</f>
        <v>5868.6641666666665</v>
      </c>
      <c r="S9" s="136">
        <f t="shared" si="13"/>
        <v>9701.9974999999995</v>
      </c>
      <c r="T9" s="94">
        <f t="shared" si="10"/>
        <v>0</v>
      </c>
      <c r="U9" s="183"/>
      <c r="V9" s="98">
        <f t="shared" si="14"/>
        <v>0</v>
      </c>
    </row>
    <row r="10" spans="1:24" x14ac:dyDescent="0.3">
      <c r="B10" s="24">
        <f t="shared" si="11"/>
        <v>43344</v>
      </c>
      <c r="C10" s="168">
        <f>SUMPRODUCT(data[[Durée sans interv.]:[Durée interv. nuit]]*(data[Date]&gt;=B10)*(data[Date]&lt;=EOMONTH(B10,0)))-F10-H10-J10</f>
        <v>0.94791666666666674</v>
      </c>
      <c r="D10" s="107">
        <f t="shared" si="0"/>
        <v>0.95833333333333337</v>
      </c>
      <c r="E10" s="84">
        <f>SUMPRODUCT(data[Durée interv. jour]*(data[Date]&gt;=B10)*(data[Date]&lt;=EOMONTH(B10,0)))</f>
        <v>0</v>
      </c>
      <c r="F10" s="26">
        <f t="shared" si="12"/>
        <v>0</v>
      </c>
      <c r="G10" s="84">
        <f>SUMPRODUCT(data[Durée interv. dim ou férié]*(data[Date]&gt;=B10)*(data[Date]&lt;=EOMONTH(B10,0)))</f>
        <v>8.3333333333333259E-2</v>
      </c>
      <c r="H10" s="26">
        <f t="shared" si="1"/>
        <v>9.375E-2</v>
      </c>
      <c r="I10" s="84">
        <f>SUMPRODUCT(data[Durée interv. nuit]*(data[Date]&gt;=B10)*(data[Date]&lt;=EOMONTH(B10,0)))</f>
        <v>0</v>
      </c>
      <c r="J10" s="26">
        <f t="shared" si="2"/>
        <v>0</v>
      </c>
      <c r="K10" s="108">
        <f t="shared" si="3"/>
        <v>8.3333333333333259E-2</v>
      </c>
      <c r="L10" s="36">
        <f t="shared" si="4"/>
        <v>9.375E-2</v>
      </c>
      <c r="M10" s="27">
        <f t="shared" si="5"/>
        <v>130.58500000000001</v>
      </c>
      <c r="N10" s="27">
        <f t="shared" si="6"/>
        <v>0</v>
      </c>
      <c r="O10" s="27">
        <f t="shared" si="7"/>
        <v>25.852499999999999</v>
      </c>
      <c r="P10" s="37">
        <f t="shared" si="8"/>
        <v>0</v>
      </c>
      <c r="Q10" s="95">
        <f t="shared" si="9"/>
        <v>157.8725</v>
      </c>
      <c r="R10" s="127">
        <f>((Paramètres!$B$38/12)+R9)-Q10</f>
        <v>6669.1249999999991</v>
      </c>
      <c r="S10" s="136">
        <f t="shared" si="13"/>
        <v>9544.125</v>
      </c>
      <c r="T10" s="94">
        <f t="shared" si="10"/>
        <v>1.0416666666666667</v>
      </c>
      <c r="U10" s="184"/>
      <c r="V10" s="98">
        <f t="shared" si="14"/>
        <v>1.0416666666666667</v>
      </c>
    </row>
    <row r="11" spans="1:24" x14ac:dyDescent="0.3">
      <c r="B11" s="24">
        <f t="shared" si="11"/>
        <v>43374</v>
      </c>
      <c r="C11" s="132">
        <f>SUMPRODUCT(data[[Durée sans interv.]:[Durée interv. nuit]]*(data[Date]&gt;=B11)*(data[Date]&lt;=EOMONTH(B11,0)))-F11-H11-J11</f>
        <v>0</v>
      </c>
      <c r="D11" s="107">
        <f t="shared" si="0"/>
        <v>0</v>
      </c>
      <c r="E11" s="84">
        <f>SUMPRODUCT(data[Durée interv. jour]*(data[Date]&gt;=B11)*(data[Date]&lt;=EOMONTH(B11,0)))</f>
        <v>0</v>
      </c>
      <c r="F11" s="26">
        <f t="shared" si="12"/>
        <v>0</v>
      </c>
      <c r="G11" s="84">
        <f>SUMPRODUCT(data[Durée interv. dim ou férié]*(data[Date]&gt;=B11)*(data[Date]&lt;=EOMONTH(B11,0)))</f>
        <v>0</v>
      </c>
      <c r="H11" s="26">
        <f t="shared" si="1"/>
        <v>0</v>
      </c>
      <c r="I11" s="84">
        <f>SUMPRODUCT(data[Durée interv. nuit]*(data[Date]&gt;=B11)*(data[Date]&lt;=EOMONTH(B11,0)))</f>
        <v>0</v>
      </c>
      <c r="J11" s="26">
        <f t="shared" si="2"/>
        <v>0</v>
      </c>
      <c r="K11" s="108">
        <f t="shared" si="3"/>
        <v>0</v>
      </c>
      <c r="L11" s="36">
        <f t="shared" si="4"/>
        <v>0</v>
      </c>
      <c r="M11" s="27">
        <f t="shared" si="5"/>
        <v>0</v>
      </c>
      <c r="N11" s="39">
        <f t="shared" si="6"/>
        <v>0</v>
      </c>
      <c r="O11" s="27">
        <f t="shared" si="7"/>
        <v>0</v>
      </c>
      <c r="P11" s="37">
        <f t="shared" si="8"/>
        <v>0</v>
      </c>
      <c r="Q11" s="95">
        <f t="shared" si="9"/>
        <v>0</v>
      </c>
      <c r="R11" s="127">
        <f>((Paramètres!$B$38/12)+R10)-Q11</f>
        <v>7627.4583333333321</v>
      </c>
      <c r="S11" s="136">
        <f t="shared" si="13"/>
        <v>9544.125</v>
      </c>
      <c r="T11" s="94">
        <f t="shared" si="10"/>
        <v>0</v>
      </c>
      <c r="U11" s="182">
        <f>SUM(T11:T13)</f>
        <v>0</v>
      </c>
      <c r="V11" s="98">
        <f t="shared" si="14"/>
        <v>0</v>
      </c>
    </row>
    <row r="12" spans="1:24" x14ac:dyDescent="0.3">
      <c r="B12" s="24">
        <f t="shared" si="11"/>
        <v>43405</v>
      </c>
      <c r="C12" s="132">
        <f>SUMPRODUCT(data[[Durée sans interv.]:[Durée interv. nuit]]*(data[Date]&gt;=B12)*(data[Date]&lt;=EOMONTH(B12,0)))-F12-H12-J12</f>
        <v>0</v>
      </c>
      <c r="D12" s="107">
        <f t="shared" si="0"/>
        <v>0</v>
      </c>
      <c r="E12" s="84">
        <f>SUMPRODUCT(data[Durée interv. jour]*(data[Date]&gt;=B12)*(data[Date]&lt;=EOMONTH(B12,0)))</f>
        <v>0</v>
      </c>
      <c r="F12" s="26">
        <f t="shared" si="12"/>
        <v>0</v>
      </c>
      <c r="G12" s="84">
        <f>SUMPRODUCT(data[Durée interv. dim ou férié]*(data[Date]&gt;=B12)*(data[Date]&lt;=EOMONTH(B12,0)))</f>
        <v>0</v>
      </c>
      <c r="H12" s="26">
        <f t="shared" si="1"/>
        <v>0</v>
      </c>
      <c r="I12" s="84">
        <f>SUMPRODUCT(data[Durée interv. nuit]*(data[Date]&gt;=B12)*(data[Date]&lt;=EOMONTH(B12,0)))</f>
        <v>0</v>
      </c>
      <c r="J12" s="26">
        <f t="shared" si="2"/>
        <v>0</v>
      </c>
      <c r="K12" s="108">
        <f t="shared" si="3"/>
        <v>0</v>
      </c>
      <c r="L12" s="36">
        <f t="shared" si="4"/>
        <v>0</v>
      </c>
      <c r="M12" s="27">
        <f t="shared" si="5"/>
        <v>0</v>
      </c>
      <c r="N12" s="27">
        <f t="shared" si="6"/>
        <v>0</v>
      </c>
      <c r="O12" s="27">
        <f t="shared" si="7"/>
        <v>0</v>
      </c>
      <c r="P12" s="37">
        <f t="shared" si="8"/>
        <v>0</v>
      </c>
      <c r="Q12" s="95">
        <f t="shared" si="9"/>
        <v>0</v>
      </c>
      <c r="R12" s="127">
        <f>((Paramètres!$B$38/12)+R11)-Q12</f>
        <v>8585.7916666666661</v>
      </c>
      <c r="S12" s="136">
        <f t="shared" si="13"/>
        <v>9544.125</v>
      </c>
      <c r="T12" s="94">
        <f t="shared" si="10"/>
        <v>0</v>
      </c>
      <c r="U12" s="183"/>
      <c r="V12" s="98">
        <f t="shared" si="14"/>
        <v>0</v>
      </c>
    </row>
    <row r="13" spans="1:24" ht="15" thickBot="1" x14ac:dyDescent="0.35">
      <c r="B13" s="34">
        <f t="shared" si="11"/>
        <v>43435</v>
      </c>
      <c r="C13" s="133">
        <f>SUMPRODUCT(data[[Durée sans interv.]:[Durée interv. nuit]]*(data[Date]&gt;=B13)*(data[Date]&lt;=EOMONTH(B13,0)))-F13-H13-J13</f>
        <v>0</v>
      </c>
      <c r="D13" s="120">
        <f t="shared" si="0"/>
        <v>0</v>
      </c>
      <c r="E13" s="121">
        <f>SUMPRODUCT(data[Durée interv. jour]*(data[Date]&gt;=B13)*(data[Date]&lt;=EOMONTH(B13,0)))</f>
        <v>0</v>
      </c>
      <c r="F13" s="122">
        <f t="shared" si="12"/>
        <v>0</v>
      </c>
      <c r="G13" s="121">
        <f>SUMPRODUCT(data[Durée interv. dim ou férié]*(data[Date]&gt;=B13)*(data[Date]&lt;=EOMONTH(B13,0)))</f>
        <v>0</v>
      </c>
      <c r="H13" s="122">
        <f t="shared" si="1"/>
        <v>0</v>
      </c>
      <c r="I13" s="121">
        <f>SUMPRODUCT(data[Durée interv. nuit]*(data[Date]&gt;=B13)*(data[Date]&lt;=EOMONTH(B13,0)))</f>
        <v>0</v>
      </c>
      <c r="J13" s="122">
        <f t="shared" si="2"/>
        <v>0</v>
      </c>
      <c r="K13" s="123">
        <f t="shared" si="3"/>
        <v>0</v>
      </c>
      <c r="L13" s="124">
        <f t="shared" si="4"/>
        <v>0</v>
      </c>
      <c r="M13" s="35">
        <f t="shared" si="5"/>
        <v>0</v>
      </c>
      <c r="N13" s="35">
        <f t="shared" si="6"/>
        <v>0</v>
      </c>
      <c r="O13" s="35">
        <f t="shared" si="7"/>
        <v>0</v>
      </c>
      <c r="P13" s="38">
        <f t="shared" si="8"/>
        <v>0</v>
      </c>
      <c r="Q13" s="96">
        <f t="shared" si="9"/>
        <v>0</v>
      </c>
      <c r="R13" s="128">
        <f>((Paramètres!$B$38/12)+R12)-Q13</f>
        <v>9544.125</v>
      </c>
      <c r="S13" s="137">
        <f t="shared" si="13"/>
        <v>9544.125</v>
      </c>
      <c r="T13" s="125">
        <f t="shared" si="10"/>
        <v>0</v>
      </c>
      <c r="U13" s="185"/>
      <c r="V13" s="98">
        <f t="shared" si="14"/>
        <v>0</v>
      </c>
    </row>
    <row r="14" spans="1:24" ht="15" thickTop="1" x14ac:dyDescent="0.3">
      <c r="B14" s="31" t="s">
        <v>46</v>
      </c>
      <c r="C14" s="32"/>
      <c r="D14" s="134">
        <f>SUM(D2:D13)</f>
        <v>10.458333333333334</v>
      </c>
      <c r="E14" s="135"/>
      <c r="F14" s="135">
        <f>SUM(F2:F13)</f>
        <v>1.5833333333333333</v>
      </c>
      <c r="G14" s="135"/>
      <c r="H14" s="135">
        <f>SUM(H2:H13)</f>
        <v>0.35416666666666669</v>
      </c>
      <c r="I14" s="135"/>
      <c r="J14" s="135">
        <f>SUM(J2:J13)</f>
        <v>0.34375000000000006</v>
      </c>
      <c r="K14" s="32">
        <f t="shared" ref="K14:P14" si="15">SUM(K2:K13)</f>
        <v>2.216666666666665</v>
      </c>
      <c r="L14" s="32">
        <f t="shared" si="15"/>
        <v>2.28125</v>
      </c>
      <c r="M14" s="33">
        <f t="shared" si="15"/>
        <v>1433.278</v>
      </c>
      <c r="N14" s="33">
        <f t="shared" si="15"/>
        <v>291.08000000000004</v>
      </c>
      <c r="O14" s="33">
        <f t="shared" si="15"/>
        <v>97.664999999999992</v>
      </c>
      <c r="P14" s="33">
        <f t="shared" si="15"/>
        <v>126.39000000000001</v>
      </c>
      <c r="Q14" s="97">
        <f>SUM(Q2:Q13)</f>
        <v>1955.8749999999998</v>
      </c>
      <c r="R14" s="139"/>
      <c r="S14" s="126">
        <f>S13</f>
        <v>9544.125</v>
      </c>
      <c r="T14" s="180">
        <f>T2+T3+T4+T5+T6+T7+T8+T9+T10+T11+T12+T13</f>
        <v>12.685416666666667</v>
      </c>
      <c r="U14" s="181"/>
    </row>
    <row r="17" spans="20:20" x14ac:dyDescent="0.3">
      <c r="T17" s="109"/>
    </row>
  </sheetData>
  <autoFilter ref="A1:B14" xr:uid="{00000000-0009-0000-0000-000002000000}"/>
  <mergeCells count="10">
    <mergeCell ref="C1:D1"/>
    <mergeCell ref="T14:U14"/>
    <mergeCell ref="U5:U7"/>
    <mergeCell ref="U8:U10"/>
    <mergeCell ref="U11:U13"/>
    <mergeCell ref="E1:F1"/>
    <mergeCell ref="G1:H1"/>
    <mergeCell ref="I1:J1"/>
    <mergeCell ref="K1:L1"/>
    <mergeCell ref="U2:U4"/>
  </mergeCells>
  <conditionalFormatting sqref="Q14">
    <cfRule type="cellIs" dxfId="3" priority="23" operator="lessThan">
      <formula>10999</formula>
    </cfRule>
    <cfRule type="cellIs" dxfId="2" priority="24" operator="lessThan">
      <formula>10999</formula>
    </cfRule>
    <cfRule type="cellIs" dxfId="1" priority="25" operator="greaterThan">
      <formula>11000</formula>
    </cfRule>
    <cfRule type="cellIs" dxfId="0" priority="26" operator="greaterThan">
      <formula>11000</formula>
    </cfRule>
  </conditionalFormatting>
  <conditionalFormatting sqref="V2:V13">
    <cfRule type="dataBar" priority="1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{11F39588-8EF6-46A7-A5DF-26C74BFA5799}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G2:G13 I2:I13 E2:E13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1F39588-8EF6-46A7-A5DF-26C74BFA579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V2:V13</xm:sqref>
        </x14:conditionalFormatting>
        <x14:conditionalFormatting xmlns:xm="http://schemas.microsoft.com/office/excel/2006/main">
          <x14:cfRule type="iconSet" priority="3" id="{FB008B51-FF19-44C1-94B7-86421E3C11FC}">
            <x14:iconSet iconSet="3Symbols2" custom="1">
              <x14:cfvo type="percent">
                <xm:f>0</xm:f>
              </x14:cfvo>
              <x14:cfvo type="num">
                <xm:f>Paramètres!$B$34</xm:f>
              </x14:cfvo>
              <x14:cfvo type="num" gte="0">
                <xm:f>Paramètres!$B$34</xm:f>
              </x14:cfvo>
              <x14:cfIcon iconSet="NoIcons" iconId="0"/>
              <x14:cfIcon iconSet="3Triangles" iconId="2"/>
              <x14:cfIcon iconSet="3Symbols" iconId="1"/>
            </x14:iconSet>
          </x14:cfRule>
          <xm:sqref>T2:T13</xm:sqref>
        </x14:conditionalFormatting>
        <x14:conditionalFormatting xmlns:xm="http://schemas.microsoft.com/office/excel/2006/main">
          <x14:cfRule type="iconSet" priority="2" id="{BDCDBB67-7EAA-4DB3-ACBF-68EA50B70175}">
            <x14:iconSet iconSet="3Symbols" custom="1">
              <x14:cfvo type="percent">
                <xm:f>0</xm:f>
              </x14:cfvo>
              <x14:cfvo type="num">
                <xm:f>Paramètres!$B$36</xm:f>
              </x14:cfvo>
              <x14:cfvo type="num">
                <xm:f>Paramètres!$B$33</xm:f>
              </x14:cfvo>
              <x14:cfIcon iconSet="3Symbols" iconId="0"/>
              <x14:cfIcon iconSet="3Symbols" iconId="2"/>
              <x14:cfIcon iconSet="3Symbols" iconId="1"/>
            </x14:iconSet>
          </x14:cfRule>
          <xm:sqref>U2:U13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441"/>
  <sheetViews>
    <sheetView workbookViewId="0">
      <selection activeCell="H7" sqref="H7"/>
    </sheetView>
  </sheetViews>
  <sheetFormatPr baseColWidth="10" defaultColWidth="10.88671875" defaultRowHeight="14.4" x14ac:dyDescent="0.3"/>
  <cols>
    <col min="1" max="1" width="21.33203125" style="3" bestFit="1" customWidth="1"/>
    <col min="2" max="2" width="20.33203125" style="10" bestFit="1" customWidth="1"/>
    <col min="3" max="16384" width="10.88671875" style="3"/>
  </cols>
  <sheetData>
    <row r="1" spans="1:8" x14ac:dyDescent="0.3">
      <c r="A1" s="4" t="s">
        <v>28</v>
      </c>
      <c r="B1" s="9">
        <v>0.29166666666666669</v>
      </c>
      <c r="E1" s="4" t="s">
        <v>72</v>
      </c>
      <c r="F1" s="3" t="s">
        <v>73</v>
      </c>
      <c r="H1" s="3" t="s">
        <v>88</v>
      </c>
    </row>
    <row r="2" spans="1:8" x14ac:dyDescent="0.3">
      <c r="A2" s="4" t="s">
        <v>29</v>
      </c>
      <c r="B2" s="9">
        <v>0.91666666666666663</v>
      </c>
      <c r="E2" s="80">
        <v>0</v>
      </c>
      <c r="F2" s="83">
        <f>ROUNDUP(E2*4*24+1/60/24,0)/4/24</f>
        <v>1.0416666666666666E-2</v>
      </c>
      <c r="H2" s="3" t="s">
        <v>87</v>
      </c>
    </row>
    <row r="3" spans="1:8" x14ac:dyDescent="0.3">
      <c r="E3" s="81">
        <v>6.9444444444444447E-4</v>
      </c>
      <c r="F3" s="83">
        <f t="shared" ref="F3:F66" si="0">ROUNDUP(E3*4*24+1/60/24,0)/4/24</f>
        <v>1.0416666666666666E-2</v>
      </c>
    </row>
    <row r="4" spans="1:8" x14ac:dyDescent="0.3">
      <c r="A4" s="4" t="s">
        <v>30</v>
      </c>
      <c r="B4" s="11">
        <v>5.74</v>
      </c>
      <c r="E4" s="81">
        <v>1.38888888888889E-3</v>
      </c>
      <c r="F4" s="83">
        <f t="shared" si="0"/>
        <v>1.0416666666666666E-2</v>
      </c>
    </row>
    <row r="5" spans="1:8" x14ac:dyDescent="0.3">
      <c r="A5" s="4" t="s">
        <v>31</v>
      </c>
      <c r="B5" s="11">
        <v>7.66</v>
      </c>
      <c r="E5" s="81">
        <v>2.0833333333333298E-3</v>
      </c>
      <c r="F5" s="83">
        <f t="shared" si="0"/>
        <v>1.0416666666666666E-2</v>
      </c>
    </row>
    <row r="6" spans="1:8" x14ac:dyDescent="0.3">
      <c r="A6" s="4" t="s">
        <v>32</v>
      </c>
      <c r="B6" s="11">
        <v>11.49</v>
      </c>
      <c r="E6" s="81">
        <v>2.7777777777777801E-3</v>
      </c>
      <c r="F6" s="83">
        <f t="shared" si="0"/>
        <v>1.0416666666666666E-2</v>
      </c>
    </row>
    <row r="7" spans="1:8" x14ac:dyDescent="0.3">
      <c r="A7" s="4" t="s">
        <v>33</v>
      </c>
      <c r="B7" s="11">
        <v>15.32</v>
      </c>
      <c r="E7" s="81">
        <v>3.4722222222222199E-3</v>
      </c>
      <c r="F7" s="83">
        <f t="shared" si="0"/>
        <v>1.0416666666666666E-2</v>
      </c>
    </row>
    <row r="8" spans="1:8" x14ac:dyDescent="0.3">
      <c r="E8" s="81">
        <v>4.1666666666666701E-3</v>
      </c>
      <c r="F8" s="83">
        <f t="shared" si="0"/>
        <v>1.0416666666666666E-2</v>
      </c>
    </row>
    <row r="9" spans="1:8" x14ac:dyDescent="0.3">
      <c r="A9" s="5" t="s">
        <v>27</v>
      </c>
      <c r="B9" s="8" t="s">
        <v>2</v>
      </c>
      <c r="E9" s="81">
        <v>4.8611111111111103E-3</v>
      </c>
      <c r="F9" s="83">
        <f t="shared" si="0"/>
        <v>1.0416666666666666E-2</v>
      </c>
    </row>
    <row r="10" spans="1:8" x14ac:dyDescent="0.3">
      <c r="A10" s="6"/>
      <c r="B10" s="8" t="s">
        <v>4</v>
      </c>
      <c r="E10" s="81">
        <v>5.5555555555555601E-3</v>
      </c>
      <c r="F10" s="83">
        <f t="shared" si="0"/>
        <v>1.0416666666666666E-2</v>
      </c>
    </row>
    <row r="11" spans="1:8" x14ac:dyDescent="0.3">
      <c r="A11" s="6"/>
      <c r="B11" s="8" t="s">
        <v>3</v>
      </c>
      <c r="E11" s="81">
        <v>6.2500000000000003E-3</v>
      </c>
      <c r="F11" s="83">
        <f t="shared" si="0"/>
        <v>1.0416666666666666E-2</v>
      </c>
    </row>
    <row r="12" spans="1:8" x14ac:dyDescent="0.3">
      <c r="A12" s="6"/>
      <c r="B12" s="8" t="s">
        <v>5</v>
      </c>
      <c r="E12" s="81">
        <v>6.9444444444444397E-3</v>
      </c>
      <c r="F12" s="83">
        <f t="shared" si="0"/>
        <v>1.0416666666666666E-2</v>
      </c>
    </row>
    <row r="13" spans="1:8" x14ac:dyDescent="0.3">
      <c r="A13" s="6"/>
      <c r="B13" s="8" t="s">
        <v>83</v>
      </c>
      <c r="E13" s="81">
        <v>7.6388888888888904E-3</v>
      </c>
      <c r="F13" s="83">
        <f t="shared" si="0"/>
        <v>1.0416666666666666E-2</v>
      </c>
    </row>
    <row r="14" spans="1:8" x14ac:dyDescent="0.3">
      <c r="A14" s="7"/>
      <c r="B14" s="8" t="s">
        <v>54</v>
      </c>
      <c r="E14" s="81">
        <v>8.3333333333333297E-3</v>
      </c>
      <c r="F14" s="83">
        <f t="shared" si="0"/>
        <v>1.0416666666666666E-2</v>
      </c>
    </row>
    <row r="15" spans="1:8" x14ac:dyDescent="0.3">
      <c r="E15" s="81">
        <v>9.0277777777777804E-3</v>
      </c>
      <c r="F15" s="83">
        <f t="shared" si="0"/>
        <v>1.0416666666666666E-2</v>
      </c>
    </row>
    <row r="16" spans="1:8" x14ac:dyDescent="0.3">
      <c r="A16" s="5" t="s">
        <v>67</v>
      </c>
      <c r="B16" s="8" t="s">
        <v>60</v>
      </c>
      <c r="E16" s="81">
        <v>9.7222222222222206E-3</v>
      </c>
      <c r="F16" s="83">
        <f t="shared" si="0"/>
        <v>1.0416666666666666E-2</v>
      </c>
    </row>
    <row r="17" spans="1:6" x14ac:dyDescent="0.3">
      <c r="A17" s="6"/>
      <c r="B17" s="8" t="s">
        <v>56</v>
      </c>
      <c r="E17" s="81">
        <v>1.0416666666666701E-2</v>
      </c>
      <c r="F17" s="83">
        <f t="shared" si="0"/>
        <v>2.0833333333333332E-2</v>
      </c>
    </row>
    <row r="18" spans="1:6" x14ac:dyDescent="0.3">
      <c r="A18" s="6"/>
      <c r="B18" s="8" t="s">
        <v>70</v>
      </c>
      <c r="E18" s="81">
        <v>1.1111111111111099E-2</v>
      </c>
      <c r="F18" s="83">
        <f t="shared" si="0"/>
        <v>2.0833333333333332E-2</v>
      </c>
    </row>
    <row r="19" spans="1:6" x14ac:dyDescent="0.3">
      <c r="A19" s="6"/>
      <c r="B19" s="8" t="s">
        <v>69</v>
      </c>
      <c r="E19" s="81">
        <v>1.18055555555556E-2</v>
      </c>
      <c r="F19" s="83">
        <f t="shared" si="0"/>
        <v>2.0833333333333332E-2</v>
      </c>
    </row>
    <row r="20" spans="1:6" x14ac:dyDescent="0.3">
      <c r="A20" s="6"/>
      <c r="B20" s="8" t="s">
        <v>71</v>
      </c>
      <c r="E20" s="81">
        <v>1.2500000000000001E-2</v>
      </c>
      <c r="F20" s="83">
        <f t="shared" si="0"/>
        <v>2.0833333333333332E-2</v>
      </c>
    </row>
    <row r="21" spans="1:6" x14ac:dyDescent="0.3">
      <c r="A21" s="6"/>
      <c r="B21" s="8" t="s">
        <v>61</v>
      </c>
      <c r="E21" s="81">
        <v>1.3194444444444399E-2</v>
      </c>
      <c r="F21" s="83">
        <f t="shared" si="0"/>
        <v>2.0833333333333332E-2</v>
      </c>
    </row>
    <row r="22" spans="1:6" x14ac:dyDescent="0.3">
      <c r="A22" s="6"/>
      <c r="B22" s="8" t="s">
        <v>58</v>
      </c>
      <c r="E22" s="81">
        <v>1.38888888888889E-2</v>
      </c>
      <c r="F22" s="83">
        <f t="shared" si="0"/>
        <v>2.0833333333333332E-2</v>
      </c>
    </row>
    <row r="23" spans="1:6" x14ac:dyDescent="0.3">
      <c r="A23" s="6"/>
      <c r="B23" s="8" t="s">
        <v>68</v>
      </c>
      <c r="E23" s="81">
        <v>1.4583333333333301E-2</v>
      </c>
      <c r="F23" s="83">
        <f t="shared" si="0"/>
        <v>2.0833333333333332E-2</v>
      </c>
    </row>
    <row r="24" spans="1:6" x14ac:dyDescent="0.3">
      <c r="A24" s="6"/>
      <c r="B24" s="8" t="s">
        <v>63</v>
      </c>
      <c r="E24" s="81">
        <v>1.52777777777778E-2</v>
      </c>
      <c r="F24" s="83">
        <f t="shared" si="0"/>
        <v>2.0833333333333332E-2</v>
      </c>
    </row>
    <row r="25" spans="1:6" x14ac:dyDescent="0.3">
      <c r="A25" s="6"/>
      <c r="B25" s="8" t="s">
        <v>59</v>
      </c>
      <c r="E25" s="81">
        <v>1.59722222222222E-2</v>
      </c>
      <c r="F25" s="83">
        <f t="shared" si="0"/>
        <v>2.0833333333333332E-2</v>
      </c>
    </row>
    <row r="26" spans="1:6" x14ac:dyDescent="0.3">
      <c r="A26" s="6"/>
      <c r="B26" s="8" t="s">
        <v>57</v>
      </c>
      <c r="E26" s="81">
        <v>1.6666666666666701E-2</v>
      </c>
      <c r="F26" s="83">
        <f t="shared" si="0"/>
        <v>2.0833333333333332E-2</v>
      </c>
    </row>
    <row r="27" spans="1:6" x14ac:dyDescent="0.3">
      <c r="A27" s="6"/>
      <c r="B27" s="8" t="s">
        <v>64</v>
      </c>
      <c r="E27" s="81">
        <v>1.7361111111111101E-2</v>
      </c>
      <c r="F27" s="83">
        <f t="shared" si="0"/>
        <v>2.0833333333333332E-2</v>
      </c>
    </row>
    <row r="28" spans="1:6" x14ac:dyDescent="0.3">
      <c r="A28" s="6"/>
      <c r="B28" s="8" t="s">
        <v>62</v>
      </c>
      <c r="E28" s="81">
        <v>1.8055555555555599E-2</v>
      </c>
      <c r="F28" s="83">
        <f t="shared" si="0"/>
        <v>2.0833333333333332E-2</v>
      </c>
    </row>
    <row r="29" spans="1:6" x14ac:dyDescent="0.3">
      <c r="A29" s="6"/>
      <c r="B29" s="8" t="s">
        <v>65</v>
      </c>
      <c r="E29" s="81">
        <v>1.8749999999999999E-2</v>
      </c>
      <c r="F29" s="83">
        <f t="shared" si="0"/>
        <v>2.0833333333333332E-2</v>
      </c>
    </row>
    <row r="30" spans="1:6" x14ac:dyDescent="0.3">
      <c r="A30" s="7"/>
      <c r="B30" s="8"/>
      <c r="E30" s="81">
        <v>1.94444444444444E-2</v>
      </c>
      <c r="F30" s="83">
        <f t="shared" si="0"/>
        <v>2.0833333333333332E-2</v>
      </c>
    </row>
    <row r="31" spans="1:6" x14ac:dyDescent="0.3">
      <c r="E31" s="81">
        <v>2.0138888888888901E-2</v>
      </c>
      <c r="F31" s="83">
        <f t="shared" si="0"/>
        <v>2.0833333333333332E-2</v>
      </c>
    </row>
    <row r="32" spans="1:6" x14ac:dyDescent="0.3">
      <c r="A32" s="129" t="s">
        <v>77</v>
      </c>
      <c r="B32" s="91">
        <v>60</v>
      </c>
      <c r="E32" s="81">
        <v>2.0833333333333301E-2</v>
      </c>
      <c r="F32" s="83">
        <f t="shared" si="0"/>
        <v>3.125E-2</v>
      </c>
    </row>
    <row r="33" spans="1:6" x14ac:dyDescent="0.3">
      <c r="A33" s="89" t="s">
        <v>78</v>
      </c>
      <c r="B33" s="92">
        <f>B34*3</f>
        <v>15</v>
      </c>
      <c r="E33" s="81">
        <v>2.1527777777777798E-2</v>
      </c>
      <c r="F33" s="83">
        <f t="shared" si="0"/>
        <v>3.125E-2</v>
      </c>
    </row>
    <row r="34" spans="1:6" x14ac:dyDescent="0.3">
      <c r="A34" s="130" t="s">
        <v>79</v>
      </c>
      <c r="B34" s="92">
        <v>5</v>
      </c>
      <c r="E34" s="81">
        <v>2.2222222222222199E-2</v>
      </c>
      <c r="F34" s="83">
        <f t="shared" si="0"/>
        <v>3.125E-2</v>
      </c>
    </row>
    <row r="35" spans="1:6" x14ac:dyDescent="0.3">
      <c r="A35" s="130" t="s">
        <v>80</v>
      </c>
      <c r="B35" s="92">
        <v>16</v>
      </c>
      <c r="E35" s="81">
        <v>2.29166666666667E-2</v>
      </c>
      <c r="F35" s="83">
        <f t="shared" si="0"/>
        <v>3.125E-2</v>
      </c>
    </row>
    <row r="36" spans="1:6" x14ac:dyDescent="0.3">
      <c r="A36" s="130" t="s">
        <v>81</v>
      </c>
      <c r="B36" s="92">
        <v>4</v>
      </c>
      <c r="E36" s="81">
        <v>2.36111111111111E-2</v>
      </c>
      <c r="F36" s="83">
        <f t="shared" si="0"/>
        <v>3.125E-2</v>
      </c>
    </row>
    <row r="37" spans="1:6" x14ac:dyDescent="0.3">
      <c r="A37" s="89" t="s">
        <v>82</v>
      </c>
      <c r="B37" s="92">
        <v>0</v>
      </c>
      <c r="E37" s="81">
        <v>2.4305555555555601E-2</v>
      </c>
      <c r="F37" s="83">
        <f t="shared" si="0"/>
        <v>3.125E-2</v>
      </c>
    </row>
    <row r="38" spans="1:6" x14ac:dyDescent="0.3">
      <c r="A38" s="131" t="s">
        <v>75</v>
      </c>
      <c r="B38" s="90">
        <v>11500</v>
      </c>
      <c r="E38" s="81">
        <v>2.5000000000000001E-2</v>
      </c>
      <c r="F38" s="83">
        <f t="shared" si="0"/>
        <v>3.125E-2</v>
      </c>
    </row>
    <row r="39" spans="1:6" x14ac:dyDescent="0.3">
      <c r="E39" s="81">
        <v>2.5694444444444402E-2</v>
      </c>
      <c r="F39" s="83">
        <f t="shared" si="0"/>
        <v>3.125E-2</v>
      </c>
    </row>
    <row r="40" spans="1:6" x14ac:dyDescent="0.3">
      <c r="E40" s="81">
        <v>2.6388888888888899E-2</v>
      </c>
      <c r="F40" s="83">
        <f t="shared" si="0"/>
        <v>3.125E-2</v>
      </c>
    </row>
    <row r="41" spans="1:6" x14ac:dyDescent="0.3">
      <c r="E41" s="81">
        <v>2.70833333333333E-2</v>
      </c>
      <c r="F41" s="83">
        <f t="shared" si="0"/>
        <v>3.125E-2</v>
      </c>
    </row>
    <row r="42" spans="1:6" x14ac:dyDescent="0.3">
      <c r="E42" s="81">
        <v>2.7777777777777801E-2</v>
      </c>
      <c r="F42" s="83">
        <f t="shared" si="0"/>
        <v>3.125E-2</v>
      </c>
    </row>
    <row r="43" spans="1:6" x14ac:dyDescent="0.3">
      <c r="E43" s="81">
        <v>2.8472222222222201E-2</v>
      </c>
      <c r="F43" s="83">
        <f t="shared" si="0"/>
        <v>3.125E-2</v>
      </c>
    </row>
    <row r="44" spans="1:6" x14ac:dyDescent="0.3">
      <c r="E44" s="81">
        <v>2.9166666666666698E-2</v>
      </c>
      <c r="F44" s="83">
        <f t="shared" si="0"/>
        <v>3.125E-2</v>
      </c>
    </row>
    <row r="45" spans="1:6" x14ac:dyDescent="0.3">
      <c r="E45" s="81">
        <v>2.9861111111111099E-2</v>
      </c>
      <c r="F45" s="83">
        <f t="shared" si="0"/>
        <v>3.125E-2</v>
      </c>
    </row>
    <row r="46" spans="1:6" x14ac:dyDescent="0.3">
      <c r="E46" s="81">
        <v>3.05555555555556E-2</v>
      </c>
      <c r="F46" s="83">
        <f t="shared" si="0"/>
        <v>3.125E-2</v>
      </c>
    </row>
    <row r="47" spans="1:6" x14ac:dyDescent="0.3">
      <c r="E47" s="81">
        <v>3.125E-2</v>
      </c>
      <c r="F47" s="83">
        <f t="shared" si="0"/>
        <v>4.1666666666666664E-2</v>
      </c>
    </row>
    <row r="48" spans="1:6" x14ac:dyDescent="0.3">
      <c r="E48" s="81">
        <v>3.19444444444444E-2</v>
      </c>
      <c r="F48" s="83">
        <f t="shared" si="0"/>
        <v>4.1666666666666664E-2</v>
      </c>
    </row>
    <row r="49" spans="5:6" x14ac:dyDescent="0.3">
      <c r="E49" s="81">
        <v>3.2638888888888898E-2</v>
      </c>
      <c r="F49" s="83">
        <f t="shared" si="0"/>
        <v>4.1666666666666664E-2</v>
      </c>
    </row>
    <row r="50" spans="5:6" x14ac:dyDescent="0.3">
      <c r="E50" s="81">
        <v>3.3333333333333298E-2</v>
      </c>
      <c r="F50" s="83">
        <f t="shared" si="0"/>
        <v>4.1666666666666664E-2</v>
      </c>
    </row>
    <row r="51" spans="5:6" x14ac:dyDescent="0.3">
      <c r="E51" s="81">
        <v>3.4027777777777803E-2</v>
      </c>
      <c r="F51" s="83">
        <f t="shared" si="0"/>
        <v>4.1666666666666664E-2</v>
      </c>
    </row>
    <row r="52" spans="5:6" x14ac:dyDescent="0.3">
      <c r="E52" s="81">
        <v>3.4722222222222203E-2</v>
      </c>
      <c r="F52" s="83">
        <f t="shared" si="0"/>
        <v>4.1666666666666664E-2</v>
      </c>
    </row>
    <row r="53" spans="5:6" x14ac:dyDescent="0.3">
      <c r="E53" s="81">
        <v>3.54166666666667E-2</v>
      </c>
      <c r="F53" s="83">
        <f t="shared" si="0"/>
        <v>4.1666666666666664E-2</v>
      </c>
    </row>
    <row r="54" spans="5:6" x14ac:dyDescent="0.3">
      <c r="E54" s="81">
        <v>3.6111111111111101E-2</v>
      </c>
      <c r="F54" s="83">
        <f t="shared" si="0"/>
        <v>4.1666666666666664E-2</v>
      </c>
    </row>
    <row r="55" spans="5:6" x14ac:dyDescent="0.3">
      <c r="E55" s="81">
        <v>3.6805555555555598E-2</v>
      </c>
      <c r="F55" s="83">
        <f t="shared" si="0"/>
        <v>4.1666666666666664E-2</v>
      </c>
    </row>
    <row r="56" spans="5:6" x14ac:dyDescent="0.3">
      <c r="E56" s="81">
        <v>3.7499999999999999E-2</v>
      </c>
      <c r="F56" s="83">
        <f t="shared" si="0"/>
        <v>4.1666666666666664E-2</v>
      </c>
    </row>
    <row r="57" spans="5:6" x14ac:dyDescent="0.3">
      <c r="E57" s="81">
        <v>3.8194444444444399E-2</v>
      </c>
      <c r="F57" s="83">
        <f t="shared" si="0"/>
        <v>4.1666666666666664E-2</v>
      </c>
    </row>
    <row r="58" spans="5:6" x14ac:dyDescent="0.3">
      <c r="E58" s="81">
        <v>3.8888888888888903E-2</v>
      </c>
      <c r="F58" s="83">
        <f t="shared" si="0"/>
        <v>4.1666666666666664E-2</v>
      </c>
    </row>
    <row r="59" spans="5:6" x14ac:dyDescent="0.3">
      <c r="E59" s="81">
        <v>3.9583333333333297E-2</v>
      </c>
      <c r="F59" s="83">
        <f t="shared" si="0"/>
        <v>4.1666666666666664E-2</v>
      </c>
    </row>
    <row r="60" spans="5:6" x14ac:dyDescent="0.3">
      <c r="E60" s="81">
        <v>4.0277777777777801E-2</v>
      </c>
      <c r="F60" s="83">
        <f t="shared" si="0"/>
        <v>4.1666666666666664E-2</v>
      </c>
    </row>
    <row r="61" spans="5:6" x14ac:dyDescent="0.3">
      <c r="E61" s="81">
        <v>4.0972222222222202E-2</v>
      </c>
      <c r="F61" s="83">
        <f t="shared" si="0"/>
        <v>4.1666666666666664E-2</v>
      </c>
    </row>
    <row r="62" spans="5:6" x14ac:dyDescent="0.3">
      <c r="E62" s="81">
        <v>4.1666666666666699E-2</v>
      </c>
      <c r="F62" s="83">
        <f t="shared" si="0"/>
        <v>5.2083333333333336E-2</v>
      </c>
    </row>
    <row r="63" spans="5:6" x14ac:dyDescent="0.3">
      <c r="E63" s="81">
        <v>4.2361111111111099E-2</v>
      </c>
      <c r="F63" s="83">
        <f t="shared" si="0"/>
        <v>5.2083333333333336E-2</v>
      </c>
    </row>
    <row r="64" spans="5:6" x14ac:dyDescent="0.3">
      <c r="E64" s="81">
        <v>4.3055555555555597E-2</v>
      </c>
      <c r="F64" s="83">
        <f t="shared" si="0"/>
        <v>5.2083333333333336E-2</v>
      </c>
    </row>
    <row r="65" spans="5:6" x14ac:dyDescent="0.3">
      <c r="E65" s="81">
        <v>4.3749999999999997E-2</v>
      </c>
      <c r="F65" s="83">
        <f t="shared" si="0"/>
        <v>5.2083333333333336E-2</v>
      </c>
    </row>
    <row r="66" spans="5:6" x14ac:dyDescent="0.3">
      <c r="E66" s="81">
        <v>4.4444444444444398E-2</v>
      </c>
      <c r="F66" s="83">
        <f t="shared" si="0"/>
        <v>5.2083333333333336E-2</v>
      </c>
    </row>
    <row r="67" spans="5:6" x14ac:dyDescent="0.3">
      <c r="E67" s="81">
        <v>4.5138888888888902E-2</v>
      </c>
      <c r="F67" s="83">
        <f t="shared" ref="F67:F130" si="1">ROUNDUP(E67*4*24+1/60/24,0)/4/24</f>
        <v>5.2083333333333336E-2</v>
      </c>
    </row>
    <row r="68" spans="5:6" x14ac:dyDescent="0.3">
      <c r="E68" s="81">
        <v>4.5833333333333302E-2</v>
      </c>
      <c r="F68" s="83">
        <f t="shared" si="1"/>
        <v>5.2083333333333336E-2</v>
      </c>
    </row>
    <row r="69" spans="5:6" x14ac:dyDescent="0.3">
      <c r="E69" s="81">
        <v>4.65277777777778E-2</v>
      </c>
      <c r="F69" s="83">
        <f t="shared" si="1"/>
        <v>5.2083333333333336E-2</v>
      </c>
    </row>
    <row r="70" spans="5:6" x14ac:dyDescent="0.3">
      <c r="E70" s="81">
        <v>4.72222222222222E-2</v>
      </c>
      <c r="F70" s="83">
        <f t="shared" si="1"/>
        <v>5.2083333333333336E-2</v>
      </c>
    </row>
    <row r="71" spans="5:6" x14ac:dyDescent="0.3">
      <c r="E71" s="81">
        <v>4.7916666666666698E-2</v>
      </c>
      <c r="F71" s="83">
        <f t="shared" si="1"/>
        <v>5.2083333333333336E-2</v>
      </c>
    </row>
    <row r="72" spans="5:6" x14ac:dyDescent="0.3">
      <c r="E72" s="81">
        <v>4.8611111111111098E-2</v>
      </c>
      <c r="F72" s="83">
        <f t="shared" si="1"/>
        <v>5.2083333333333336E-2</v>
      </c>
    </row>
    <row r="73" spans="5:6" x14ac:dyDescent="0.3">
      <c r="E73" s="81">
        <v>4.9305555555555602E-2</v>
      </c>
      <c r="F73" s="83">
        <f t="shared" si="1"/>
        <v>5.2083333333333336E-2</v>
      </c>
    </row>
    <row r="74" spans="5:6" x14ac:dyDescent="0.3">
      <c r="E74" s="81">
        <v>0.05</v>
      </c>
      <c r="F74" s="83">
        <f t="shared" si="1"/>
        <v>5.2083333333333336E-2</v>
      </c>
    </row>
    <row r="75" spans="5:6" x14ac:dyDescent="0.3">
      <c r="E75" s="81">
        <v>5.0694444444444403E-2</v>
      </c>
      <c r="F75" s="83">
        <f t="shared" si="1"/>
        <v>5.2083333333333336E-2</v>
      </c>
    </row>
    <row r="76" spans="5:6" x14ac:dyDescent="0.3">
      <c r="E76" s="81">
        <v>5.1388888888888901E-2</v>
      </c>
      <c r="F76" s="83">
        <f t="shared" si="1"/>
        <v>5.2083333333333336E-2</v>
      </c>
    </row>
    <row r="77" spans="5:6" x14ac:dyDescent="0.3">
      <c r="E77" s="81">
        <v>5.2083333333333301E-2</v>
      </c>
      <c r="F77" s="83">
        <f t="shared" si="1"/>
        <v>6.25E-2</v>
      </c>
    </row>
    <row r="78" spans="5:6" x14ac:dyDescent="0.3">
      <c r="E78" s="81">
        <v>5.2777777777777798E-2</v>
      </c>
      <c r="F78" s="83">
        <f t="shared" si="1"/>
        <v>6.25E-2</v>
      </c>
    </row>
    <row r="79" spans="5:6" x14ac:dyDescent="0.3">
      <c r="E79" s="81">
        <v>5.3472222222222199E-2</v>
      </c>
      <c r="F79" s="83">
        <f t="shared" si="1"/>
        <v>6.25E-2</v>
      </c>
    </row>
    <row r="80" spans="5:6" x14ac:dyDescent="0.3">
      <c r="E80" s="81">
        <v>5.4166666666666703E-2</v>
      </c>
      <c r="F80" s="83">
        <f t="shared" si="1"/>
        <v>6.25E-2</v>
      </c>
    </row>
    <row r="81" spans="5:6" x14ac:dyDescent="0.3">
      <c r="E81" s="81">
        <v>5.4861111111111097E-2</v>
      </c>
      <c r="F81" s="83">
        <f t="shared" si="1"/>
        <v>6.25E-2</v>
      </c>
    </row>
    <row r="82" spans="5:6" x14ac:dyDescent="0.3">
      <c r="E82" s="81">
        <v>5.5555555555555601E-2</v>
      </c>
      <c r="F82" s="83">
        <f t="shared" si="1"/>
        <v>6.25E-2</v>
      </c>
    </row>
    <row r="83" spans="5:6" x14ac:dyDescent="0.3">
      <c r="E83" s="81">
        <v>5.6250000000000001E-2</v>
      </c>
      <c r="F83" s="83">
        <f t="shared" si="1"/>
        <v>6.25E-2</v>
      </c>
    </row>
    <row r="84" spans="5:6" x14ac:dyDescent="0.3">
      <c r="E84" s="81">
        <v>5.6944444444444402E-2</v>
      </c>
      <c r="F84" s="83">
        <f t="shared" si="1"/>
        <v>6.25E-2</v>
      </c>
    </row>
    <row r="85" spans="5:6" x14ac:dyDescent="0.3">
      <c r="E85" s="81">
        <v>5.7638888888888899E-2</v>
      </c>
      <c r="F85" s="83">
        <f t="shared" si="1"/>
        <v>6.25E-2</v>
      </c>
    </row>
    <row r="86" spans="5:6" x14ac:dyDescent="0.3">
      <c r="E86" s="81">
        <v>5.83333333333333E-2</v>
      </c>
      <c r="F86" s="83">
        <f t="shared" si="1"/>
        <v>6.25E-2</v>
      </c>
    </row>
    <row r="87" spans="5:6" x14ac:dyDescent="0.3">
      <c r="E87" s="81">
        <v>5.9027777777777797E-2</v>
      </c>
      <c r="F87" s="83">
        <f t="shared" si="1"/>
        <v>6.25E-2</v>
      </c>
    </row>
    <row r="88" spans="5:6" x14ac:dyDescent="0.3">
      <c r="E88" s="81">
        <v>5.9722222222222197E-2</v>
      </c>
      <c r="F88" s="83">
        <f t="shared" si="1"/>
        <v>6.25E-2</v>
      </c>
    </row>
    <row r="89" spans="5:6" x14ac:dyDescent="0.3">
      <c r="E89" s="81">
        <v>6.0416666666666702E-2</v>
      </c>
      <c r="F89" s="83">
        <f t="shared" si="1"/>
        <v>6.25E-2</v>
      </c>
    </row>
    <row r="90" spans="5:6" x14ac:dyDescent="0.3">
      <c r="E90" s="81">
        <v>6.1111111111111102E-2</v>
      </c>
      <c r="F90" s="83">
        <f t="shared" si="1"/>
        <v>6.25E-2</v>
      </c>
    </row>
    <row r="91" spans="5:6" x14ac:dyDescent="0.3">
      <c r="E91" s="81">
        <v>6.18055555555556E-2</v>
      </c>
      <c r="F91" s="83">
        <f t="shared" si="1"/>
        <v>6.25E-2</v>
      </c>
    </row>
    <row r="92" spans="5:6" x14ac:dyDescent="0.3">
      <c r="E92" s="81">
        <v>6.25E-2</v>
      </c>
      <c r="F92" s="83">
        <f t="shared" si="1"/>
        <v>7.2916666666666671E-2</v>
      </c>
    </row>
    <row r="93" spans="5:6" x14ac:dyDescent="0.3">
      <c r="E93" s="81">
        <v>6.31944444444444E-2</v>
      </c>
      <c r="F93" s="83">
        <f t="shared" si="1"/>
        <v>7.2916666666666671E-2</v>
      </c>
    </row>
    <row r="94" spans="5:6" x14ac:dyDescent="0.3">
      <c r="E94" s="81">
        <v>6.3888888888888898E-2</v>
      </c>
      <c r="F94" s="83">
        <f t="shared" si="1"/>
        <v>7.2916666666666671E-2</v>
      </c>
    </row>
    <row r="95" spans="5:6" x14ac:dyDescent="0.3">
      <c r="E95" s="81">
        <v>6.4583333333333298E-2</v>
      </c>
      <c r="F95" s="83">
        <f t="shared" si="1"/>
        <v>7.2916666666666671E-2</v>
      </c>
    </row>
    <row r="96" spans="5:6" x14ac:dyDescent="0.3">
      <c r="E96" s="81">
        <v>6.5277777777777796E-2</v>
      </c>
      <c r="F96" s="83">
        <f t="shared" si="1"/>
        <v>7.2916666666666671E-2</v>
      </c>
    </row>
    <row r="97" spans="5:6" x14ac:dyDescent="0.3">
      <c r="E97" s="81">
        <v>6.5972222222222196E-2</v>
      </c>
      <c r="F97" s="83">
        <f t="shared" si="1"/>
        <v>7.2916666666666671E-2</v>
      </c>
    </row>
    <row r="98" spans="5:6" x14ac:dyDescent="0.3">
      <c r="E98" s="81">
        <v>6.6666666666666693E-2</v>
      </c>
      <c r="F98" s="83">
        <f t="shared" si="1"/>
        <v>7.2916666666666671E-2</v>
      </c>
    </row>
    <row r="99" spans="5:6" x14ac:dyDescent="0.3">
      <c r="E99" s="81">
        <v>6.7361111111111094E-2</v>
      </c>
      <c r="F99" s="83">
        <f t="shared" si="1"/>
        <v>7.2916666666666671E-2</v>
      </c>
    </row>
    <row r="100" spans="5:6" x14ac:dyDescent="0.3">
      <c r="E100" s="81">
        <v>6.8055555555555605E-2</v>
      </c>
      <c r="F100" s="83">
        <f t="shared" si="1"/>
        <v>7.2916666666666671E-2</v>
      </c>
    </row>
    <row r="101" spans="5:6" x14ac:dyDescent="0.3">
      <c r="E101" s="81">
        <v>6.8750000000000006E-2</v>
      </c>
      <c r="F101" s="83">
        <f t="shared" si="1"/>
        <v>7.2916666666666671E-2</v>
      </c>
    </row>
    <row r="102" spans="5:6" x14ac:dyDescent="0.3">
      <c r="E102" s="81">
        <v>6.9444444444444406E-2</v>
      </c>
      <c r="F102" s="83">
        <f t="shared" si="1"/>
        <v>7.2916666666666671E-2</v>
      </c>
    </row>
    <row r="103" spans="5:6" x14ac:dyDescent="0.3">
      <c r="E103" s="81">
        <v>7.0138888888888903E-2</v>
      </c>
      <c r="F103" s="83">
        <f t="shared" si="1"/>
        <v>7.2916666666666671E-2</v>
      </c>
    </row>
    <row r="104" spans="5:6" x14ac:dyDescent="0.3">
      <c r="E104" s="81">
        <v>7.0833333333333304E-2</v>
      </c>
      <c r="F104" s="83">
        <f t="shared" si="1"/>
        <v>7.2916666666666671E-2</v>
      </c>
    </row>
    <row r="105" spans="5:6" x14ac:dyDescent="0.3">
      <c r="E105" s="81">
        <v>7.1527777777777801E-2</v>
      </c>
      <c r="F105" s="83">
        <f t="shared" si="1"/>
        <v>7.2916666666666671E-2</v>
      </c>
    </row>
    <row r="106" spans="5:6" x14ac:dyDescent="0.3">
      <c r="E106" s="81">
        <v>7.2222222222222202E-2</v>
      </c>
      <c r="F106" s="83">
        <f t="shared" si="1"/>
        <v>7.2916666666666671E-2</v>
      </c>
    </row>
    <row r="107" spans="5:6" x14ac:dyDescent="0.3">
      <c r="E107" s="81">
        <v>7.2916666666666699E-2</v>
      </c>
      <c r="F107" s="83">
        <f t="shared" si="1"/>
        <v>8.3333333333333329E-2</v>
      </c>
    </row>
    <row r="108" spans="5:6" x14ac:dyDescent="0.3">
      <c r="E108" s="81">
        <v>7.3611111111111099E-2</v>
      </c>
      <c r="F108" s="83">
        <f t="shared" si="1"/>
        <v>8.3333333333333329E-2</v>
      </c>
    </row>
    <row r="109" spans="5:6" x14ac:dyDescent="0.3">
      <c r="E109" s="81">
        <v>7.4305555555555597E-2</v>
      </c>
      <c r="F109" s="83">
        <f t="shared" si="1"/>
        <v>8.3333333333333329E-2</v>
      </c>
    </row>
    <row r="110" spans="5:6" x14ac:dyDescent="0.3">
      <c r="E110" s="81">
        <v>7.4999999999999997E-2</v>
      </c>
      <c r="F110" s="83">
        <f t="shared" si="1"/>
        <v>8.3333333333333329E-2</v>
      </c>
    </row>
    <row r="111" spans="5:6" x14ac:dyDescent="0.3">
      <c r="E111" s="81">
        <v>7.5694444444444495E-2</v>
      </c>
      <c r="F111" s="83">
        <f t="shared" si="1"/>
        <v>8.3333333333333329E-2</v>
      </c>
    </row>
    <row r="112" spans="5:6" x14ac:dyDescent="0.3">
      <c r="E112" s="81">
        <v>7.6388888888888895E-2</v>
      </c>
      <c r="F112" s="83">
        <f t="shared" si="1"/>
        <v>8.3333333333333329E-2</v>
      </c>
    </row>
    <row r="113" spans="5:6" x14ac:dyDescent="0.3">
      <c r="E113" s="81">
        <v>7.7083333333333295E-2</v>
      </c>
      <c r="F113" s="83">
        <f t="shared" si="1"/>
        <v>8.3333333333333329E-2</v>
      </c>
    </row>
    <row r="114" spans="5:6" x14ac:dyDescent="0.3">
      <c r="E114" s="81">
        <v>7.7777777777777807E-2</v>
      </c>
      <c r="F114" s="83">
        <f t="shared" si="1"/>
        <v>8.3333333333333329E-2</v>
      </c>
    </row>
    <row r="115" spans="5:6" x14ac:dyDescent="0.3">
      <c r="E115" s="81">
        <v>7.8472222222222193E-2</v>
      </c>
      <c r="F115" s="83">
        <f t="shared" si="1"/>
        <v>8.3333333333333329E-2</v>
      </c>
    </row>
    <row r="116" spans="5:6" x14ac:dyDescent="0.3">
      <c r="E116" s="81">
        <v>7.9166666666666705E-2</v>
      </c>
      <c r="F116" s="83">
        <f t="shared" si="1"/>
        <v>8.3333333333333329E-2</v>
      </c>
    </row>
    <row r="117" spans="5:6" x14ac:dyDescent="0.3">
      <c r="E117" s="81">
        <v>7.9861111111111105E-2</v>
      </c>
      <c r="F117" s="83">
        <f t="shared" si="1"/>
        <v>8.3333333333333329E-2</v>
      </c>
    </row>
    <row r="118" spans="5:6" x14ac:dyDescent="0.3">
      <c r="E118" s="81">
        <v>8.0555555555555602E-2</v>
      </c>
      <c r="F118" s="83">
        <f t="shared" si="1"/>
        <v>8.3333333333333329E-2</v>
      </c>
    </row>
    <row r="119" spans="5:6" x14ac:dyDescent="0.3">
      <c r="E119" s="81">
        <v>8.1250000000000003E-2</v>
      </c>
      <c r="F119" s="83">
        <f t="shared" si="1"/>
        <v>8.3333333333333329E-2</v>
      </c>
    </row>
    <row r="120" spans="5:6" x14ac:dyDescent="0.3">
      <c r="E120" s="81">
        <v>8.1944444444444403E-2</v>
      </c>
      <c r="F120" s="83">
        <f t="shared" si="1"/>
        <v>8.3333333333333329E-2</v>
      </c>
    </row>
    <row r="121" spans="5:6" x14ac:dyDescent="0.3">
      <c r="E121" s="81">
        <v>8.2638888888888901E-2</v>
      </c>
      <c r="F121" s="83">
        <f t="shared" si="1"/>
        <v>8.3333333333333329E-2</v>
      </c>
    </row>
    <row r="122" spans="5:6" x14ac:dyDescent="0.3">
      <c r="E122" s="81">
        <v>8.3333333333333301E-2</v>
      </c>
      <c r="F122" s="83">
        <f t="shared" si="1"/>
        <v>9.375E-2</v>
      </c>
    </row>
    <row r="123" spans="5:6" x14ac:dyDescent="0.3">
      <c r="E123" s="81">
        <v>8.4027777777777798E-2</v>
      </c>
      <c r="F123" s="83">
        <f t="shared" si="1"/>
        <v>9.375E-2</v>
      </c>
    </row>
    <row r="124" spans="5:6" x14ac:dyDescent="0.3">
      <c r="E124" s="81">
        <v>8.4722222222222199E-2</v>
      </c>
      <c r="F124" s="83">
        <f t="shared" si="1"/>
        <v>9.375E-2</v>
      </c>
    </row>
    <row r="125" spans="5:6" x14ac:dyDescent="0.3">
      <c r="E125" s="81">
        <v>8.5416666666666696E-2</v>
      </c>
      <c r="F125" s="83">
        <f t="shared" si="1"/>
        <v>9.375E-2</v>
      </c>
    </row>
    <row r="126" spans="5:6" x14ac:dyDescent="0.3">
      <c r="E126" s="81">
        <v>8.6111111111111097E-2</v>
      </c>
      <c r="F126" s="83">
        <f t="shared" si="1"/>
        <v>9.375E-2</v>
      </c>
    </row>
    <row r="127" spans="5:6" x14ac:dyDescent="0.3">
      <c r="E127" s="81">
        <v>8.6805555555555594E-2</v>
      </c>
      <c r="F127" s="83">
        <f t="shared" si="1"/>
        <v>9.375E-2</v>
      </c>
    </row>
    <row r="128" spans="5:6" x14ac:dyDescent="0.3">
      <c r="E128" s="81">
        <v>8.7499999999999994E-2</v>
      </c>
      <c r="F128" s="83">
        <f t="shared" si="1"/>
        <v>9.375E-2</v>
      </c>
    </row>
    <row r="129" spans="5:6" x14ac:dyDescent="0.3">
      <c r="E129" s="81">
        <v>8.8194444444444506E-2</v>
      </c>
      <c r="F129" s="83">
        <f t="shared" si="1"/>
        <v>9.375E-2</v>
      </c>
    </row>
    <row r="130" spans="5:6" x14ac:dyDescent="0.3">
      <c r="E130" s="81">
        <v>8.8888888888888906E-2</v>
      </c>
      <c r="F130" s="83">
        <f t="shared" si="1"/>
        <v>9.375E-2</v>
      </c>
    </row>
    <row r="131" spans="5:6" x14ac:dyDescent="0.3">
      <c r="E131" s="81">
        <v>8.9583333333333307E-2</v>
      </c>
      <c r="F131" s="83">
        <f t="shared" ref="F131:F194" si="2">ROUNDUP(E131*4*24+1/60/24,0)/4/24</f>
        <v>9.375E-2</v>
      </c>
    </row>
    <row r="132" spans="5:6" x14ac:dyDescent="0.3">
      <c r="E132" s="81">
        <v>9.0277777777777804E-2</v>
      </c>
      <c r="F132" s="83">
        <f t="shared" si="2"/>
        <v>9.375E-2</v>
      </c>
    </row>
    <row r="133" spans="5:6" x14ac:dyDescent="0.3">
      <c r="E133" s="81">
        <v>9.0972222222222204E-2</v>
      </c>
      <c r="F133" s="83">
        <f t="shared" si="2"/>
        <v>9.375E-2</v>
      </c>
    </row>
    <row r="134" spans="5:6" x14ac:dyDescent="0.3">
      <c r="E134" s="81">
        <v>9.1666666666666702E-2</v>
      </c>
      <c r="F134" s="83">
        <f t="shared" si="2"/>
        <v>9.375E-2</v>
      </c>
    </row>
    <row r="135" spans="5:6" x14ac:dyDescent="0.3">
      <c r="E135" s="81">
        <v>9.2361111111111102E-2</v>
      </c>
      <c r="F135" s="83">
        <f t="shared" si="2"/>
        <v>9.375E-2</v>
      </c>
    </row>
    <row r="136" spans="5:6" x14ac:dyDescent="0.3">
      <c r="E136" s="81">
        <v>9.30555555555556E-2</v>
      </c>
      <c r="F136" s="83">
        <f t="shared" si="2"/>
        <v>9.375E-2</v>
      </c>
    </row>
    <row r="137" spans="5:6" x14ac:dyDescent="0.3">
      <c r="E137" s="81">
        <v>9.375E-2</v>
      </c>
      <c r="F137" s="83">
        <f t="shared" si="2"/>
        <v>0.10416666666666667</v>
      </c>
    </row>
    <row r="138" spans="5:6" x14ac:dyDescent="0.3">
      <c r="E138" s="81">
        <v>9.44444444444444E-2</v>
      </c>
      <c r="F138" s="83">
        <f t="shared" si="2"/>
        <v>0.10416666666666667</v>
      </c>
    </row>
    <row r="139" spans="5:6" x14ac:dyDescent="0.3">
      <c r="E139" s="81">
        <v>9.5138888888888898E-2</v>
      </c>
      <c r="F139" s="83">
        <f t="shared" si="2"/>
        <v>0.10416666666666667</v>
      </c>
    </row>
    <row r="140" spans="5:6" x14ac:dyDescent="0.3">
      <c r="E140" s="81">
        <v>9.5833333333333298E-2</v>
      </c>
      <c r="F140" s="83">
        <f t="shared" si="2"/>
        <v>0.10416666666666667</v>
      </c>
    </row>
    <row r="141" spans="5:6" x14ac:dyDescent="0.3">
      <c r="E141" s="81">
        <v>9.6527777777777796E-2</v>
      </c>
      <c r="F141" s="83">
        <f t="shared" si="2"/>
        <v>0.10416666666666667</v>
      </c>
    </row>
    <row r="142" spans="5:6" x14ac:dyDescent="0.3">
      <c r="E142" s="81">
        <v>9.7222222222222196E-2</v>
      </c>
      <c r="F142" s="83">
        <f t="shared" si="2"/>
        <v>0.10416666666666667</v>
      </c>
    </row>
    <row r="143" spans="5:6" x14ac:dyDescent="0.3">
      <c r="E143" s="81">
        <v>9.7916666666666693E-2</v>
      </c>
      <c r="F143" s="83">
        <f t="shared" si="2"/>
        <v>0.10416666666666667</v>
      </c>
    </row>
    <row r="144" spans="5:6" x14ac:dyDescent="0.3">
      <c r="E144" s="81">
        <v>9.8611111111111094E-2</v>
      </c>
      <c r="F144" s="83">
        <f t="shared" si="2"/>
        <v>0.10416666666666667</v>
      </c>
    </row>
    <row r="145" spans="5:6" x14ac:dyDescent="0.3">
      <c r="E145" s="81">
        <v>9.9305555555555605E-2</v>
      </c>
      <c r="F145" s="83">
        <f t="shared" si="2"/>
        <v>0.10416666666666667</v>
      </c>
    </row>
    <row r="146" spans="5:6" x14ac:dyDescent="0.3">
      <c r="E146" s="81">
        <v>0.1</v>
      </c>
      <c r="F146" s="83">
        <f t="shared" si="2"/>
        <v>0.10416666666666667</v>
      </c>
    </row>
    <row r="147" spans="5:6" x14ac:dyDescent="0.3">
      <c r="E147" s="81">
        <v>0.100694444444444</v>
      </c>
      <c r="F147" s="83">
        <f t="shared" si="2"/>
        <v>0.10416666666666667</v>
      </c>
    </row>
    <row r="148" spans="5:6" x14ac:dyDescent="0.3">
      <c r="E148" s="81">
        <v>0.101388888888889</v>
      </c>
      <c r="F148" s="83">
        <f t="shared" si="2"/>
        <v>0.10416666666666667</v>
      </c>
    </row>
    <row r="149" spans="5:6" x14ac:dyDescent="0.3">
      <c r="E149" s="81">
        <v>0.102083333333333</v>
      </c>
      <c r="F149" s="83">
        <f t="shared" si="2"/>
        <v>0.10416666666666667</v>
      </c>
    </row>
    <row r="150" spans="5:6" x14ac:dyDescent="0.3">
      <c r="E150" s="81">
        <v>0.102777777777778</v>
      </c>
      <c r="F150" s="83">
        <f t="shared" si="2"/>
        <v>0.10416666666666667</v>
      </c>
    </row>
    <row r="151" spans="5:6" x14ac:dyDescent="0.3">
      <c r="E151" s="81">
        <v>0.10347222222222199</v>
      </c>
      <c r="F151" s="83">
        <f t="shared" si="2"/>
        <v>0.10416666666666667</v>
      </c>
    </row>
    <row r="152" spans="5:6" x14ac:dyDescent="0.3">
      <c r="E152" s="81">
        <v>0.104166666666667</v>
      </c>
      <c r="F152" s="83">
        <f t="shared" si="2"/>
        <v>0.11458333333333333</v>
      </c>
    </row>
    <row r="153" spans="5:6" x14ac:dyDescent="0.3">
      <c r="E153" s="81">
        <v>0.104861111111111</v>
      </c>
      <c r="F153" s="83">
        <f t="shared" si="2"/>
        <v>0.11458333333333333</v>
      </c>
    </row>
    <row r="154" spans="5:6" x14ac:dyDescent="0.3">
      <c r="E154" s="81">
        <v>0.105555555555556</v>
      </c>
      <c r="F154" s="83">
        <f t="shared" si="2"/>
        <v>0.11458333333333333</v>
      </c>
    </row>
    <row r="155" spans="5:6" x14ac:dyDescent="0.3">
      <c r="E155" s="81">
        <v>0.10625</v>
      </c>
      <c r="F155" s="83">
        <f t="shared" si="2"/>
        <v>0.11458333333333333</v>
      </c>
    </row>
    <row r="156" spans="5:6" x14ac:dyDescent="0.3">
      <c r="E156" s="81">
        <v>0.106944444444444</v>
      </c>
      <c r="F156" s="83">
        <f t="shared" si="2"/>
        <v>0.11458333333333333</v>
      </c>
    </row>
    <row r="157" spans="5:6" x14ac:dyDescent="0.3">
      <c r="E157" s="81">
        <v>0.10763888888888901</v>
      </c>
      <c r="F157" s="83">
        <f t="shared" si="2"/>
        <v>0.11458333333333333</v>
      </c>
    </row>
    <row r="158" spans="5:6" x14ac:dyDescent="0.3">
      <c r="E158" s="81">
        <v>0.108333333333333</v>
      </c>
      <c r="F158" s="83">
        <f t="shared" si="2"/>
        <v>0.11458333333333333</v>
      </c>
    </row>
    <row r="159" spans="5:6" x14ac:dyDescent="0.3">
      <c r="E159" s="81">
        <v>0.109027777777778</v>
      </c>
      <c r="F159" s="83">
        <f t="shared" si="2"/>
        <v>0.11458333333333333</v>
      </c>
    </row>
    <row r="160" spans="5:6" x14ac:dyDescent="0.3">
      <c r="E160" s="81">
        <v>0.109722222222222</v>
      </c>
      <c r="F160" s="83">
        <f t="shared" si="2"/>
        <v>0.11458333333333333</v>
      </c>
    </row>
    <row r="161" spans="5:6" x14ac:dyDescent="0.3">
      <c r="E161" s="81">
        <v>0.110416666666667</v>
      </c>
      <c r="F161" s="83">
        <f t="shared" si="2"/>
        <v>0.11458333333333333</v>
      </c>
    </row>
    <row r="162" spans="5:6" x14ac:dyDescent="0.3">
      <c r="E162" s="81">
        <v>0.11111111111111099</v>
      </c>
      <c r="F162" s="83">
        <f t="shared" si="2"/>
        <v>0.11458333333333333</v>
      </c>
    </row>
    <row r="163" spans="5:6" x14ac:dyDescent="0.3">
      <c r="E163" s="81">
        <v>0.111805555555556</v>
      </c>
      <c r="F163" s="83">
        <f t="shared" si="2"/>
        <v>0.11458333333333333</v>
      </c>
    </row>
    <row r="164" spans="5:6" x14ac:dyDescent="0.3">
      <c r="E164" s="81">
        <v>0.1125</v>
      </c>
      <c r="F164" s="83">
        <f t="shared" si="2"/>
        <v>0.11458333333333333</v>
      </c>
    </row>
    <row r="165" spans="5:6" x14ac:dyDescent="0.3">
      <c r="E165" s="81">
        <v>0.113194444444444</v>
      </c>
      <c r="F165" s="83">
        <f t="shared" si="2"/>
        <v>0.11458333333333333</v>
      </c>
    </row>
    <row r="166" spans="5:6" x14ac:dyDescent="0.3">
      <c r="E166" s="81">
        <v>0.113888888888889</v>
      </c>
      <c r="F166" s="83">
        <f t="shared" si="2"/>
        <v>0.11458333333333333</v>
      </c>
    </row>
    <row r="167" spans="5:6" x14ac:dyDescent="0.3">
      <c r="E167" s="81">
        <v>0.114583333333333</v>
      </c>
      <c r="F167" s="83">
        <f t="shared" si="2"/>
        <v>0.125</v>
      </c>
    </row>
    <row r="168" spans="5:6" x14ac:dyDescent="0.3">
      <c r="E168" s="81">
        <v>0.11527777777777801</v>
      </c>
      <c r="F168" s="83">
        <f t="shared" si="2"/>
        <v>0.125</v>
      </c>
    </row>
    <row r="169" spans="5:6" x14ac:dyDescent="0.3">
      <c r="E169" s="81">
        <v>0.115972222222222</v>
      </c>
      <c r="F169" s="83">
        <f t="shared" si="2"/>
        <v>0.125</v>
      </c>
    </row>
    <row r="170" spans="5:6" x14ac:dyDescent="0.3">
      <c r="E170" s="81">
        <v>0.116666666666667</v>
      </c>
      <c r="F170" s="83">
        <f t="shared" si="2"/>
        <v>0.125</v>
      </c>
    </row>
    <row r="171" spans="5:6" x14ac:dyDescent="0.3">
      <c r="E171" s="81">
        <v>0.117361111111111</v>
      </c>
      <c r="F171" s="83">
        <f t="shared" si="2"/>
        <v>0.125</v>
      </c>
    </row>
    <row r="172" spans="5:6" x14ac:dyDescent="0.3">
      <c r="E172" s="81">
        <v>0.118055555555556</v>
      </c>
      <c r="F172" s="83">
        <f t="shared" si="2"/>
        <v>0.125</v>
      </c>
    </row>
    <row r="173" spans="5:6" x14ac:dyDescent="0.3">
      <c r="E173" s="81">
        <v>0.11874999999999999</v>
      </c>
      <c r="F173" s="83">
        <f t="shared" si="2"/>
        <v>0.125</v>
      </c>
    </row>
    <row r="174" spans="5:6" x14ac:dyDescent="0.3">
      <c r="E174" s="81">
        <v>0.11944444444444401</v>
      </c>
      <c r="F174" s="83">
        <f t="shared" si="2"/>
        <v>0.125</v>
      </c>
    </row>
    <row r="175" spans="5:6" x14ac:dyDescent="0.3">
      <c r="E175" s="81">
        <v>0.120138888888889</v>
      </c>
      <c r="F175" s="83">
        <f t="shared" si="2"/>
        <v>0.125</v>
      </c>
    </row>
    <row r="176" spans="5:6" x14ac:dyDescent="0.3">
      <c r="E176" s="81">
        <v>0.120833333333333</v>
      </c>
      <c r="F176" s="83">
        <f t="shared" si="2"/>
        <v>0.125</v>
      </c>
    </row>
    <row r="177" spans="5:6" x14ac:dyDescent="0.3">
      <c r="E177" s="81">
        <v>0.121527777777778</v>
      </c>
      <c r="F177" s="83">
        <f t="shared" si="2"/>
        <v>0.125</v>
      </c>
    </row>
    <row r="178" spans="5:6" x14ac:dyDescent="0.3">
      <c r="E178" s="81">
        <v>0.122222222222222</v>
      </c>
      <c r="F178" s="83">
        <f t="shared" si="2"/>
        <v>0.125</v>
      </c>
    </row>
    <row r="179" spans="5:6" x14ac:dyDescent="0.3">
      <c r="E179" s="81">
        <v>0.12291666666666699</v>
      </c>
      <c r="F179" s="83">
        <f t="shared" si="2"/>
        <v>0.125</v>
      </c>
    </row>
    <row r="180" spans="5:6" x14ac:dyDescent="0.3">
      <c r="E180" s="81">
        <v>0.12361111111111101</v>
      </c>
      <c r="F180" s="83">
        <f t="shared" si="2"/>
        <v>0.125</v>
      </c>
    </row>
    <row r="181" spans="5:6" x14ac:dyDescent="0.3">
      <c r="E181" s="81">
        <v>0.124305555555556</v>
      </c>
      <c r="F181" s="83">
        <f t="shared" si="2"/>
        <v>0.125</v>
      </c>
    </row>
    <row r="182" spans="5:6" x14ac:dyDescent="0.3">
      <c r="E182" s="81">
        <v>0.125</v>
      </c>
      <c r="F182" s="83">
        <f t="shared" si="2"/>
        <v>0.13541666666666666</v>
      </c>
    </row>
    <row r="183" spans="5:6" x14ac:dyDescent="0.3">
      <c r="E183" s="81">
        <v>0.125694444444444</v>
      </c>
      <c r="F183" s="83">
        <f t="shared" si="2"/>
        <v>0.13541666666666666</v>
      </c>
    </row>
    <row r="184" spans="5:6" x14ac:dyDescent="0.3">
      <c r="E184" s="81">
        <v>0.12638888888888899</v>
      </c>
      <c r="F184" s="83">
        <f t="shared" si="2"/>
        <v>0.13541666666666666</v>
      </c>
    </row>
    <row r="185" spans="5:6" x14ac:dyDescent="0.3">
      <c r="E185" s="81">
        <v>0.12708333333333299</v>
      </c>
      <c r="F185" s="83">
        <f t="shared" si="2"/>
        <v>0.13541666666666666</v>
      </c>
    </row>
    <row r="186" spans="5:6" x14ac:dyDescent="0.3">
      <c r="E186" s="81">
        <v>0.12777777777777799</v>
      </c>
      <c r="F186" s="83">
        <f t="shared" si="2"/>
        <v>0.13541666666666666</v>
      </c>
    </row>
    <row r="187" spans="5:6" x14ac:dyDescent="0.3">
      <c r="E187" s="81">
        <v>0.12847222222222199</v>
      </c>
      <c r="F187" s="83">
        <f t="shared" si="2"/>
        <v>0.13541666666666666</v>
      </c>
    </row>
    <row r="188" spans="5:6" x14ac:dyDescent="0.3">
      <c r="E188" s="81">
        <v>0.12916666666666701</v>
      </c>
      <c r="F188" s="83">
        <f t="shared" si="2"/>
        <v>0.13541666666666666</v>
      </c>
    </row>
    <row r="189" spans="5:6" x14ac:dyDescent="0.3">
      <c r="E189" s="81">
        <v>0.12986111111111101</v>
      </c>
      <c r="F189" s="83">
        <f t="shared" si="2"/>
        <v>0.13541666666666666</v>
      </c>
    </row>
    <row r="190" spans="5:6" x14ac:dyDescent="0.3">
      <c r="E190" s="81">
        <v>0.13055555555555601</v>
      </c>
      <c r="F190" s="83">
        <f t="shared" si="2"/>
        <v>0.13541666666666666</v>
      </c>
    </row>
    <row r="191" spans="5:6" x14ac:dyDescent="0.3">
      <c r="E191" s="81">
        <v>0.13125000000000001</v>
      </c>
      <c r="F191" s="83">
        <f t="shared" si="2"/>
        <v>0.13541666666666666</v>
      </c>
    </row>
    <row r="192" spans="5:6" x14ac:dyDescent="0.3">
      <c r="E192" s="81">
        <v>0.131944444444444</v>
      </c>
      <c r="F192" s="83">
        <f t="shared" si="2"/>
        <v>0.13541666666666666</v>
      </c>
    </row>
    <row r="193" spans="5:6" x14ac:dyDescent="0.3">
      <c r="E193" s="81">
        <v>0.132638888888889</v>
      </c>
      <c r="F193" s="83">
        <f t="shared" si="2"/>
        <v>0.13541666666666666</v>
      </c>
    </row>
    <row r="194" spans="5:6" x14ac:dyDescent="0.3">
      <c r="E194" s="81">
        <v>0.133333333333333</v>
      </c>
      <c r="F194" s="83">
        <f t="shared" si="2"/>
        <v>0.13541666666666666</v>
      </c>
    </row>
    <row r="195" spans="5:6" x14ac:dyDescent="0.3">
      <c r="E195" s="81">
        <v>0.134027777777778</v>
      </c>
      <c r="F195" s="83">
        <f t="shared" ref="F195:F258" si="3">ROUNDUP(E195*4*24+1/60/24,0)/4/24</f>
        <v>0.13541666666666666</v>
      </c>
    </row>
    <row r="196" spans="5:6" x14ac:dyDescent="0.3">
      <c r="E196" s="81">
        <v>0.13472222222222199</v>
      </c>
      <c r="F196" s="83">
        <f t="shared" si="3"/>
        <v>0.13541666666666666</v>
      </c>
    </row>
    <row r="197" spans="5:6" x14ac:dyDescent="0.3">
      <c r="E197" s="81">
        <v>0.13541666666666699</v>
      </c>
      <c r="F197" s="83">
        <f t="shared" si="3"/>
        <v>0.14583333333333334</v>
      </c>
    </row>
    <row r="198" spans="5:6" x14ac:dyDescent="0.3">
      <c r="E198" s="81">
        <v>0.13611111111111099</v>
      </c>
      <c r="F198" s="83">
        <f t="shared" si="3"/>
        <v>0.14583333333333334</v>
      </c>
    </row>
    <row r="199" spans="5:6" x14ac:dyDescent="0.3">
      <c r="E199" s="81">
        <v>0.13680555555555601</v>
      </c>
      <c r="F199" s="83">
        <f t="shared" si="3"/>
        <v>0.14583333333333334</v>
      </c>
    </row>
    <row r="200" spans="5:6" x14ac:dyDescent="0.3">
      <c r="E200" s="81">
        <v>0.13750000000000001</v>
      </c>
      <c r="F200" s="83">
        <f t="shared" si="3"/>
        <v>0.14583333333333334</v>
      </c>
    </row>
    <row r="201" spans="5:6" x14ac:dyDescent="0.3">
      <c r="E201" s="81">
        <v>0.13819444444444401</v>
      </c>
      <c r="F201" s="83">
        <f t="shared" si="3"/>
        <v>0.14583333333333334</v>
      </c>
    </row>
    <row r="202" spans="5:6" x14ac:dyDescent="0.3">
      <c r="E202" s="81">
        <v>0.13888888888888901</v>
      </c>
      <c r="F202" s="83">
        <f t="shared" si="3"/>
        <v>0.14583333333333334</v>
      </c>
    </row>
    <row r="203" spans="5:6" x14ac:dyDescent="0.3">
      <c r="E203" s="81">
        <v>0.139583333333333</v>
      </c>
      <c r="F203" s="83">
        <f t="shared" si="3"/>
        <v>0.14583333333333334</v>
      </c>
    </row>
    <row r="204" spans="5:6" x14ac:dyDescent="0.3">
      <c r="E204" s="81">
        <v>0.140277777777778</v>
      </c>
      <c r="F204" s="83">
        <f t="shared" si="3"/>
        <v>0.14583333333333334</v>
      </c>
    </row>
    <row r="205" spans="5:6" x14ac:dyDescent="0.3">
      <c r="E205" s="81">
        <v>0.140972222222222</v>
      </c>
      <c r="F205" s="83">
        <f t="shared" si="3"/>
        <v>0.14583333333333334</v>
      </c>
    </row>
    <row r="206" spans="5:6" x14ac:dyDescent="0.3">
      <c r="E206" s="81">
        <v>0.141666666666667</v>
      </c>
      <c r="F206" s="83">
        <f t="shared" si="3"/>
        <v>0.14583333333333334</v>
      </c>
    </row>
    <row r="207" spans="5:6" x14ac:dyDescent="0.3">
      <c r="E207" s="81">
        <v>0.14236111111111099</v>
      </c>
      <c r="F207" s="83">
        <f t="shared" si="3"/>
        <v>0.14583333333333334</v>
      </c>
    </row>
    <row r="208" spans="5:6" x14ac:dyDescent="0.3">
      <c r="E208" s="81">
        <v>0.14305555555555599</v>
      </c>
      <c r="F208" s="83">
        <f t="shared" si="3"/>
        <v>0.14583333333333334</v>
      </c>
    </row>
    <row r="209" spans="5:6" x14ac:dyDescent="0.3">
      <c r="E209" s="81">
        <v>0.14374999999999999</v>
      </c>
      <c r="F209" s="83">
        <f t="shared" si="3"/>
        <v>0.14583333333333334</v>
      </c>
    </row>
    <row r="210" spans="5:6" x14ac:dyDescent="0.3">
      <c r="E210" s="81">
        <v>0.14444444444444399</v>
      </c>
      <c r="F210" s="83">
        <f t="shared" si="3"/>
        <v>0.14583333333333334</v>
      </c>
    </row>
    <row r="211" spans="5:6" x14ac:dyDescent="0.3">
      <c r="E211" s="81">
        <v>0.14513888888888901</v>
      </c>
      <c r="F211" s="83">
        <f t="shared" si="3"/>
        <v>0.14583333333333334</v>
      </c>
    </row>
    <row r="212" spans="5:6" x14ac:dyDescent="0.3">
      <c r="E212" s="81">
        <v>0.14583333333333301</v>
      </c>
      <c r="F212" s="83">
        <f t="shared" si="3"/>
        <v>0.15625</v>
      </c>
    </row>
    <row r="213" spans="5:6" x14ac:dyDescent="0.3">
      <c r="E213" s="81">
        <v>0.14652777777777801</v>
      </c>
      <c r="F213" s="83">
        <f t="shared" si="3"/>
        <v>0.15625</v>
      </c>
    </row>
    <row r="214" spans="5:6" x14ac:dyDescent="0.3">
      <c r="E214" s="81">
        <v>0.147222222222222</v>
      </c>
      <c r="F214" s="83">
        <f t="shared" si="3"/>
        <v>0.15625</v>
      </c>
    </row>
    <row r="215" spans="5:6" x14ac:dyDescent="0.3">
      <c r="E215" s="81">
        <v>0.147916666666667</v>
      </c>
      <c r="F215" s="83">
        <f t="shared" si="3"/>
        <v>0.15625</v>
      </c>
    </row>
    <row r="216" spans="5:6" x14ac:dyDescent="0.3">
      <c r="E216" s="81">
        <v>0.148611111111111</v>
      </c>
      <c r="F216" s="83">
        <f t="shared" si="3"/>
        <v>0.15625</v>
      </c>
    </row>
    <row r="217" spans="5:6" x14ac:dyDescent="0.3">
      <c r="E217" s="81">
        <v>0.149305555555556</v>
      </c>
      <c r="F217" s="83">
        <f t="shared" si="3"/>
        <v>0.15625</v>
      </c>
    </row>
    <row r="218" spans="5:6" x14ac:dyDescent="0.3">
      <c r="E218" s="81">
        <v>0.15</v>
      </c>
      <c r="F218" s="83">
        <f t="shared" si="3"/>
        <v>0.15625</v>
      </c>
    </row>
    <row r="219" spans="5:6" x14ac:dyDescent="0.3">
      <c r="E219" s="81">
        <v>0.15069444444444399</v>
      </c>
      <c r="F219" s="83">
        <f t="shared" si="3"/>
        <v>0.15625</v>
      </c>
    </row>
    <row r="220" spans="5:6" x14ac:dyDescent="0.3">
      <c r="E220" s="81">
        <v>0.15138888888888899</v>
      </c>
      <c r="F220" s="83">
        <f t="shared" si="3"/>
        <v>0.15625</v>
      </c>
    </row>
    <row r="221" spans="5:6" x14ac:dyDescent="0.3">
      <c r="E221" s="81">
        <v>0.15208333333333299</v>
      </c>
      <c r="F221" s="83">
        <f t="shared" si="3"/>
        <v>0.15625</v>
      </c>
    </row>
    <row r="222" spans="5:6" x14ac:dyDescent="0.3">
      <c r="E222" s="81">
        <v>0.15277777777777801</v>
      </c>
      <c r="F222" s="83">
        <f t="shared" si="3"/>
        <v>0.15625</v>
      </c>
    </row>
    <row r="223" spans="5:6" x14ac:dyDescent="0.3">
      <c r="E223" s="81">
        <v>0.15347222222222201</v>
      </c>
      <c r="F223" s="83">
        <f t="shared" si="3"/>
        <v>0.15625</v>
      </c>
    </row>
    <row r="224" spans="5:6" x14ac:dyDescent="0.3">
      <c r="E224" s="81">
        <v>0.15416666666666701</v>
      </c>
      <c r="F224" s="83">
        <f t="shared" si="3"/>
        <v>0.15625</v>
      </c>
    </row>
    <row r="225" spans="5:6" x14ac:dyDescent="0.3">
      <c r="E225" s="81">
        <v>0.15486111111111101</v>
      </c>
      <c r="F225" s="83">
        <f t="shared" si="3"/>
        <v>0.15625</v>
      </c>
    </row>
    <row r="226" spans="5:6" x14ac:dyDescent="0.3">
      <c r="E226" s="81">
        <v>0.155555555555556</v>
      </c>
      <c r="F226" s="83">
        <f t="shared" si="3"/>
        <v>0.15625</v>
      </c>
    </row>
    <row r="227" spans="5:6" x14ac:dyDescent="0.3">
      <c r="E227" s="81">
        <v>0.15625</v>
      </c>
      <c r="F227" s="83">
        <f t="shared" si="3"/>
        <v>0.16666666666666666</v>
      </c>
    </row>
    <row r="228" spans="5:6" x14ac:dyDescent="0.3">
      <c r="E228" s="81">
        <v>0.156944444444444</v>
      </c>
      <c r="F228" s="83">
        <f t="shared" si="3"/>
        <v>0.16666666666666666</v>
      </c>
    </row>
    <row r="229" spans="5:6" x14ac:dyDescent="0.3">
      <c r="E229" s="81">
        <v>0.15763888888888899</v>
      </c>
      <c r="F229" s="83">
        <f t="shared" si="3"/>
        <v>0.16666666666666666</v>
      </c>
    </row>
    <row r="230" spans="5:6" x14ac:dyDescent="0.3">
      <c r="E230" s="81">
        <v>0.15833333333333299</v>
      </c>
      <c r="F230" s="83">
        <f t="shared" si="3"/>
        <v>0.16666666666666666</v>
      </c>
    </row>
    <row r="231" spans="5:6" x14ac:dyDescent="0.3">
      <c r="E231" s="81">
        <v>0.15902777777777799</v>
      </c>
      <c r="F231" s="83">
        <f t="shared" si="3"/>
        <v>0.16666666666666666</v>
      </c>
    </row>
    <row r="232" spans="5:6" x14ac:dyDescent="0.3">
      <c r="E232" s="81">
        <v>0.15972222222222199</v>
      </c>
      <c r="F232" s="83">
        <f t="shared" si="3"/>
        <v>0.16666666666666666</v>
      </c>
    </row>
    <row r="233" spans="5:6" x14ac:dyDescent="0.3">
      <c r="E233" s="81">
        <v>0.16041666666666701</v>
      </c>
      <c r="F233" s="83">
        <f t="shared" si="3"/>
        <v>0.16666666666666666</v>
      </c>
    </row>
    <row r="234" spans="5:6" x14ac:dyDescent="0.3">
      <c r="E234" s="81">
        <v>0.16111111111111101</v>
      </c>
      <c r="F234" s="83">
        <f t="shared" si="3"/>
        <v>0.16666666666666666</v>
      </c>
    </row>
    <row r="235" spans="5:6" x14ac:dyDescent="0.3">
      <c r="E235" s="81">
        <v>0.16180555555555601</v>
      </c>
      <c r="F235" s="83">
        <f t="shared" si="3"/>
        <v>0.16666666666666666</v>
      </c>
    </row>
    <row r="236" spans="5:6" x14ac:dyDescent="0.3">
      <c r="E236" s="81">
        <v>0.16250000000000001</v>
      </c>
      <c r="F236" s="83">
        <f t="shared" si="3"/>
        <v>0.16666666666666666</v>
      </c>
    </row>
    <row r="237" spans="5:6" x14ac:dyDescent="0.3">
      <c r="E237" s="81">
        <v>0.163194444444444</v>
      </c>
      <c r="F237" s="83">
        <f t="shared" si="3"/>
        <v>0.16666666666666666</v>
      </c>
    </row>
    <row r="238" spans="5:6" x14ac:dyDescent="0.3">
      <c r="E238" s="81">
        <v>0.163888888888889</v>
      </c>
      <c r="F238" s="83">
        <f t="shared" si="3"/>
        <v>0.16666666666666666</v>
      </c>
    </row>
    <row r="239" spans="5:6" x14ac:dyDescent="0.3">
      <c r="E239" s="81">
        <v>0.164583333333333</v>
      </c>
      <c r="F239" s="83">
        <f t="shared" si="3"/>
        <v>0.16666666666666666</v>
      </c>
    </row>
    <row r="240" spans="5:6" x14ac:dyDescent="0.3">
      <c r="E240" s="81">
        <v>0.165277777777778</v>
      </c>
      <c r="F240" s="83">
        <f t="shared" si="3"/>
        <v>0.16666666666666666</v>
      </c>
    </row>
    <row r="241" spans="5:6" x14ac:dyDescent="0.3">
      <c r="E241" s="81">
        <v>0.16597222222222199</v>
      </c>
      <c r="F241" s="83">
        <f t="shared" si="3"/>
        <v>0.16666666666666666</v>
      </c>
    </row>
    <row r="242" spans="5:6" x14ac:dyDescent="0.3">
      <c r="E242" s="81">
        <v>0.16666666666666699</v>
      </c>
      <c r="F242" s="83">
        <f t="shared" si="3"/>
        <v>0.17708333333333334</v>
      </c>
    </row>
    <row r="243" spans="5:6" x14ac:dyDescent="0.3">
      <c r="E243" s="81">
        <v>0.16736111111111099</v>
      </c>
      <c r="F243" s="83">
        <f t="shared" si="3"/>
        <v>0.17708333333333334</v>
      </c>
    </row>
    <row r="244" spans="5:6" x14ac:dyDescent="0.3">
      <c r="E244" s="81">
        <v>0.16805555555555601</v>
      </c>
      <c r="F244" s="83">
        <f t="shared" si="3"/>
        <v>0.17708333333333334</v>
      </c>
    </row>
    <row r="245" spans="5:6" x14ac:dyDescent="0.3">
      <c r="E245" s="81">
        <v>0.16875000000000001</v>
      </c>
      <c r="F245" s="83">
        <f t="shared" si="3"/>
        <v>0.17708333333333334</v>
      </c>
    </row>
    <row r="246" spans="5:6" x14ac:dyDescent="0.3">
      <c r="E246" s="81">
        <v>0.16944444444444401</v>
      </c>
      <c r="F246" s="83">
        <f t="shared" si="3"/>
        <v>0.17708333333333334</v>
      </c>
    </row>
    <row r="247" spans="5:6" x14ac:dyDescent="0.3">
      <c r="E247" s="81">
        <v>0.17013888888888901</v>
      </c>
      <c r="F247" s="83">
        <f t="shared" si="3"/>
        <v>0.17708333333333334</v>
      </c>
    </row>
    <row r="248" spans="5:6" x14ac:dyDescent="0.3">
      <c r="E248" s="81">
        <v>0.170833333333333</v>
      </c>
      <c r="F248" s="83">
        <f t="shared" si="3"/>
        <v>0.17708333333333334</v>
      </c>
    </row>
    <row r="249" spans="5:6" x14ac:dyDescent="0.3">
      <c r="E249" s="81">
        <v>0.171527777777778</v>
      </c>
      <c r="F249" s="83">
        <f t="shared" si="3"/>
        <v>0.17708333333333334</v>
      </c>
    </row>
    <row r="250" spans="5:6" x14ac:dyDescent="0.3">
      <c r="E250" s="81">
        <v>0.172222222222222</v>
      </c>
      <c r="F250" s="83">
        <f t="shared" si="3"/>
        <v>0.17708333333333334</v>
      </c>
    </row>
    <row r="251" spans="5:6" x14ac:dyDescent="0.3">
      <c r="E251" s="81">
        <v>0.172916666666667</v>
      </c>
      <c r="F251" s="83">
        <f t="shared" si="3"/>
        <v>0.17708333333333334</v>
      </c>
    </row>
    <row r="252" spans="5:6" x14ac:dyDescent="0.3">
      <c r="E252" s="81">
        <v>0.17361111111111099</v>
      </c>
      <c r="F252" s="83">
        <f t="shared" si="3"/>
        <v>0.17708333333333334</v>
      </c>
    </row>
    <row r="253" spans="5:6" x14ac:dyDescent="0.3">
      <c r="E253" s="81">
        <v>0.17430555555555599</v>
      </c>
      <c r="F253" s="83">
        <f t="shared" si="3"/>
        <v>0.17708333333333334</v>
      </c>
    </row>
    <row r="254" spans="5:6" x14ac:dyDescent="0.3">
      <c r="E254" s="81">
        <v>0.17499999999999999</v>
      </c>
      <c r="F254" s="83">
        <f t="shared" si="3"/>
        <v>0.17708333333333334</v>
      </c>
    </row>
    <row r="255" spans="5:6" x14ac:dyDescent="0.3">
      <c r="E255" s="81">
        <v>0.17569444444444399</v>
      </c>
      <c r="F255" s="83">
        <f t="shared" si="3"/>
        <v>0.17708333333333334</v>
      </c>
    </row>
    <row r="256" spans="5:6" x14ac:dyDescent="0.3">
      <c r="E256" s="81">
        <v>0.17638888888888901</v>
      </c>
      <c r="F256" s="83">
        <f t="shared" si="3"/>
        <v>0.17708333333333334</v>
      </c>
    </row>
    <row r="257" spans="5:6" x14ac:dyDescent="0.3">
      <c r="E257" s="81">
        <v>0.17708333333333301</v>
      </c>
      <c r="F257" s="83">
        <f t="shared" si="3"/>
        <v>0.1875</v>
      </c>
    </row>
    <row r="258" spans="5:6" x14ac:dyDescent="0.3">
      <c r="E258" s="81">
        <v>0.17777777777777801</v>
      </c>
      <c r="F258" s="83">
        <f t="shared" si="3"/>
        <v>0.1875</v>
      </c>
    </row>
    <row r="259" spans="5:6" x14ac:dyDescent="0.3">
      <c r="E259" s="81">
        <v>0.178472222222222</v>
      </c>
      <c r="F259" s="83">
        <f t="shared" ref="F259:F322" si="4">ROUNDUP(E259*4*24+1/60/24,0)/4/24</f>
        <v>0.1875</v>
      </c>
    </row>
    <row r="260" spans="5:6" x14ac:dyDescent="0.3">
      <c r="E260" s="81">
        <v>0.179166666666667</v>
      </c>
      <c r="F260" s="83">
        <f t="shared" si="4"/>
        <v>0.1875</v>
      </c>
    </row>
    <row r="261" spans="5:6" x14ac:dyDescent="0.3">
      <c r="E261" s="81">
        <v>0.179861111111111</v>
      </c>
      <c r="F261" s="83">
        <f t="shared" si="4"/>
        <v>0.1875</v>
      </c>
    </row>
    <row r="262" spans="5:6" x14ac:dyDescent="0.3">
      <c r="E262" s="81">
        <v>0.180555555555556</v>
      </c>
      <c r="F262" s="83">
        <f t="shared" si="4"/>
        <v>0.1875</v>
      </c>
    </row>
    <row r="263" spans="5:6" x14ac:dyDescent="0.3">
      <c r="E263" s="81">
        <v>0.18124999999999999</v>
      </c>
      <c r="F263" s="83">
        <f t="shared" si="4"/>
        <v>0.1875</v>
      </c>
    </row>
    <row r="264" spans="5:6" x14ac:dyDescent="0.3">
      <c r="E264" s="81">
        <v>0.18194444444444399</v>
      </c>
      <c r="F264" s="83">
        <f t="shared" si="4"/>
        <v>0.1875</v>
      </c>
    </row>
    <row r="265" spans="5:6" x14ac:dyDescent="0.3">
      <c r="E265" s="81">
        <v>0.18263888888888899</v>
      </c>
      <c r="F265" s="83">
        <f t="shared" si="4"/>
        <v>0.1875</v>
      </c>
    </row>
    <row r="266" spans="5:6" x14ac:dyDescent="0.3">
      <c r="E266" s="81">
        <v>0.18333333333333299</v>
      </c>
      <c r="F266" s="83">
        <f t="shared" si="4"/>
        <v>0.1875</v>
      </c>
    </row>
    <row r="267" spans="5:6" x14ac:dyDescent="0.3">
      <c r="E267" s="81">
        <v>0.18402777777777801</v>
      </c>
      <c r="F267" s="83">
        <f t="shared" si="4"/>
        <v>0.1875</v>
      </c>
    </row>
    <row r="268" spans="5:6" x14ac:dyDescent="0.3">
      <c r="E268" s="81">
        <v>0.18472222222222201</v>
      </c>
      <c r="F268" s="83">
        <f t="shared" si="4"/>
        <v>0.1875</v>
      </c>
    </row>
    <row r="269" spans="5:6" x14ac:dyDescent="0.3">
      <c r="E269" s="81">
        <v>0.18541666666666701</v>
      </c>
      <c r="F269" s="83">
        <f t="shared" si="4"/>
        <v>0.1875</v>
      </c>
    </row>
    <row r="270" spans="5:6" x14ac:dyDescent="0.3">
      <c r="E270" s="81">
        <v>0.18611111111111101</v>
      </c>
      <c r="F270" s="83">
        <f t="shared" si="4"/>
        <v>0.1875</v>
      </c>
    </row>
    <row r="271" spans="5:6" x14ac:dyDescent="0.3">
      <c r="E271" s="81">
        <v>0.186805555555556</v>
      </c>
      <c r="F271" s="83">
        <f t="shared" si="4"/>
        <v>0.1875</v>
      </c>
    </row>
    <row r="272" spans="5:6" x14ac:dyDescent="0.3">
      <c r="E272" s="81">
        <v>0.1875</v>
      </c>
      <c r="F272" s="83">
        <f t="shared" si="4"/>
        <v>0.19791666666666666</v>
      </c>
    </row>
    <row r="273" spans="5:6" x14ac:dyDescent="0.3">
      <c r="E273" s="81">
        <v>0.188194444444444</v>
      </c>
      <c r="F273" s="83">
        <f t="shared" si="4"/>
        <v>0.19791666666666666</v>
      </c>
    </row>
    <row r="274" spans="5:6" x14ac:dyDescent="0.3">
      <c r="E274" s="81">
        <v>0.18888888888888899</v>
      </c>
      <c r="F274" s="83">
        <f t="shared" si="4"/>
        <v>0.19791666666666666</v>
      </c>
    </row>
    <row r="275" spans="5:6" x14ac:dyDescent="0.3">
      <c r="E275" s="81">
        <v>0.18958333333333299</v>
      </c>
      <c r="F275" s="83">
        <f t="shared" si="4"/>
        <v>0.19791666666666666</v>
      </c>
    </row>
    <row r="276" spans="5:6" x14ac:dyDescent="0.3">
      <c r="E276" s="81">
        <v>0.19027777777777799</v>
      </c>
      <c r="F276" s="83">
        <f t="shared" si="4"/>
        <v>0.19791666666666666</v>
      </c>
    </row>
    <row r="277" spans="5:6" x14ac:dyDescent="0.3">
      <c r="E277" s="81">
        <v>0.19097222222222199</v>
      </c>
      <c r="F277" s="83">
        <f t="shared" si="4"/>
        <v>0.19791666666666666</v>
      </c>
    </row>
    <row r="278" spans="5:6" x14ac:dyDescent="0.3">
      <c r="E278" s="81">
        <v>0.19166666666666701</v>
      </c>
      <c r="F278" s="83">
        <f t="shared" si="4"/>
        <v>0.19791666666666666</v>
      </c>
    </row>
    <row r="279" spans="5:6" x14ac:dyDescent="0.3">
      <c r="E279" s="81">
        <v>0.19236111111111101</v>
      </c>
      <c r="F279" s="83">
        <f t="shared" si="4"/>
        <v>0.19791666666666666</v>
      </c>
    </row>
    <row r="280" spans="5:6" x14ac:dyDescent="0.3">
      <c r="E280" s="81">
        <v>0.19305555555555601</v>
      </c>
      <c r="F280" s="83">
        <f t="shared" si="4"/>
        <v>0.19791666666666666</v>
      </c>
    </row>
    <row r="281" spans="5:6" x14ac:dyDescent="0.3">
      <c r="E281" s="81">
        <v>0.19375000000000001</v>
      </c>
      <c r="F281" s="83">
        <f t="shared" si="4"/>
        <v>0.19791666666666666</v>
      </c>
    </row>
    <row r="282" spans="5:6" x14ac:dyDescent="0.3">
      <c r="E282" s="81">
        <v>0.194444444444444</v>
      </c>
      <c r="F282" s="83">
        <f t="shared" si="4"/>
        <v>0.19791666666666666</v>
      </c>
    </row>
    <row r="283" spans="5:6" x14ac:dyDescent="0.3">
      <c r="E283" s="81">
        <v>0.195138888888889</v>
      </c>
      <c r="F283" s="83">
        <f t="shared" si="4"/>
        <v>0.19791666666666666</v>
      </c>
    </row>
    <row r="284" spans="5:6" x14ac:dyDescent="0.3">
      <c r="E284" s="81">
        <v>0.195833333333333</v>
      </c>
      <c r="F284" s="83">
        <f t="shared" si="4"/>
        <v>0.19791666666666666</v>
      </c>
    </row>
    <row r="285" spans="5:6" x14ac:dyDescent="0.3">
      <c r="E285" s="81">
        <v>0.196527777777778</v>
      </c>
      <c r="F285" s="83">
        <f t="shared" si="4"/>
        <v>0.19791666666666666</v>
      </c>
    </row>
    <row r="286" spans="5:6" x14ac:dyDescent="0.3">
      <c r="E286" s="81">
        <v>0.19722222222222199</v>
      </c>
      <c r="F286" s="83">
        <f t="shared" si="4"/>
        <v>0.19791666666666666</v>
      </c>
    </row>
    <row r="287" spans="5:6" x14ac:dyDescent="0.3">
      <c r="E287" s="81">
        <v>0.19791666666666699</v>
      </c>
      <c r="F287" s="83">
        <f t="shared" si="4"/>
        <v>0.20833333333333334</v>
      </c>
    </row>
    <row r="288" spans="5:6" x14ac:dyDescent="0.3">
      <c r="E288" s="81">
        <v>0.19861111111111099</v>
      </c>
      <c r="F288" s="83">
        <f t="shared" si="4"/>
        <v>0.20833333333333334</v>
      </c>
    </row>
    <row r="289" spans="5:6" x14ac:dyDescent="0.3">
      <c r="E289" s="81">
        <v>0.19930555555555601</v>
      </c>
      <c r="F289" s="83">
        <f t="shared" si="4"/>
        <v>0.20833333333333334</v>
      </c>
    </row>
    <row r="290" spans="5:6" x14ac:dyDescent="0.3">
      <c r="E290" s="81">
        <v>0.2</v>
      </c>
      <c r="F290" s="83">
        <f t="shared" si="4"/>
        <v>0.20833333333333334</v>
      </c>
    </row>
    <row r="291" spans="5:6" x14ac:dyDescent="0.3">
      <c r="E291" s="81">
        <v>0.20069444444444401</v>
      </c>
      <c r="F291" s="83">
        <f t="shared" si="4"/>
        <v>0.20833333333333334</v>
      </c>
    </row>
    <row r="292" spans="5:6" x14ac:dyDescent="0.3">
      <c r="E292" s="81">
        <v>0.20138888888888901</v>
      </c>
      <c r="F292" s="83">
        <f t="shared" si="4"/>
        <v>0.20833333333333334</v>
      </c>
    </row>
    <row r="293" spans="5:6" x14ac:dyDescent="0.3">
      <c r="E293" s="81">
        <v>0.202083333333333</v>
      </c>
      <c r="F293" s="83">
        <f t="shared" si="4"/>
        <v>0.20833333333333334</v>
      </c>
    </row>
    <row r="294" spans="5:6" x14ac:dyDescent="0.3">
      <c r="E294" s="81">
        <v>0.202777777777778</v>
      </c>
      <c r="F294" s="83">
        <f t="shared" si="4"/>
        <v>0.20833333333333334</v>
      </c>
    </row>
    <row r="295" spans="5:6" x14ac:dyDescent="0.3">
      <c r="E295" s="81">
        <v>0.203472222222222</v>
      </c>
      <c r="F295" s="83">
        <f t="shared" si="4"/>
        <v>0.20833333333333334</v>
      </c>
    </row>
    <row r="296" spans="5:6" x14ac:dyDescent="0.3">
      <c r="E296" s="81">
        <v>0.204166666666667</v>
      </c>
      <c r="F296" s="83">
        <f t="shared" si="4"/>
        <v>0.20833333333333334</v>
      </c>
    </row>
    <row r="297" spans="5:6" x14ac:dyDescent="0.3">
      <c r="E297" s="81">
        <v>0.20486111111111099</v>
      </c>
      <c r="F297" s="83">
        <f t="shared" si="4"/>
        <v>0.20833333333333334</v>
      </c>
    </row>
    <row r="298" spans="5:6" x14ac:dyDescent="0.3">
      <c r="E298" s="81">
        <v>0.20555555555555599</v>
      </c>
      <c r="F298" s="83">
        <f t="shared" si="4"/>
        <v>0.20833333333333334</v>
      </c>
    </row>
    <row r="299" spans="5:6" x14ac:dyDescent="0.3">
      <c r="E299" s="81">
        <v>0.20624999999999999</v>
      </c>
      <c r="F299" s="83">
        <f t="shared" si="4"/>
        <v>0.20833333333333334</v>
      </c>
    </row>
    <row r="300" spans="5:6" x14ac:dyDescent="0.3">
      <c r="E300" s="81">
        <v>0.20694444444444399</v>
      </c>
      <c r="F300" s="83">
        <f t="shared" si="4"/>
        <v>0.20833333333333334</v>
      </c>
    </row>
    <row r="301" spans="5:6" x14ac:dyDescent="0.3">
      <c r="E301" s="81">
        <v>0.20763888888888901</v>
      </c>
      <c r="F301" s="83">
        <f t="shared" si="4"/>
        <v>0.20833333333333334</v>
      </c>
    </row>
    <row r="302" spans="5:6" x14ac:dyDescent="0.3">
      <c r="E302" s="81">
        <v>0.20833333333333301</v>
      </c>
      <c r="F302" s="83">
        <f t="shared" si="4"/>
        <v>0.21875</v>
      </c>
    </row>
    <row r="303" spans="5:6" x14ac:dyDescent="0.3">
      <c r="E303" s="81">
        <v>0.20902777777777801</v>
      </c>
      <c r="F303" s="83">
        <f t="shared" si="4"/>
        <v>0.21875</v>
      </c>
    </row>
    <row r="304" spans="5:6" x14ac:dyDescent="0.3">
      <c r="E304" s="81">
        <v>0.209722222222222</v>
      </c>
      <c r="F304" s="83">
        <f t="shared" si="4"/>
        <v>0.21875</v>
      </c>
    </row>
    <row r="305" spans="5:6" x14ac:dyDescent="0.3">
      <c r="E305" s="81">
        <v>0.210416666666667</v>
      </c>
      <c r="F305" s="83">
        <f t="shared" si="4"/>
        <v>0.21875</v>
      </c>
    </row>
    <row r="306" spans="5:6" x14ac:dyDescent="0.3">
      <c r="E306" s="81">
        <v>0.211111111111111</v>
      </c>
      <c r="F306" s="83">
        <f t="shared" si="4"/>
        <v>0.21875</v>
      </c>
    </row>
    <row r="307" spans="5:6" x14ac:dyDescent="0.3">
      <c r="E307" s="81">
        <v>0.211805555555556</v>
      </c>
      <c r="F307" s="83">
        <f t="shared" si="4"/>
        <v>0.21875</v>
      </c>
    </row>
    <row r="308" spans="5:6" x14ac:dyDescent="0.3">
      <c r="E308" s="81">
        <v>0.21249999999999999</v>
      </c>
      <c r="F308" s="83">
        <f t="shared" si="4"/>
        <v>0.21875</v>
      </c>
    </row>
    <row r="309" spans="5:6" x14ac:dyDescent="0.3">
      <c r="E309" s="81">
        <v>0.21319444444444399</v>
      </c>
      <c r="F309" s="83">
        <f t="shared" si="4"/>
        <v>0.21875</v>
      </c>
    </row>
    <row r="310" spans="5:6" x14ac:dyDescent="0.3">
      <c r="E310" s="81">
        <v>0.21388888888888899</v>
      </c>
      <c r="F310" s="83">
        <f t="shared" si="4"/>
        <v>0.21875</v>
      </c>
    </row>
    <row r="311" spans="5:6" x14ac:dyDescent="0.3">
      <c r="E311" s="81">
        <v>0.21458333333333299</v>
      </c>
      <c r="F311" s="83">
        <f t="shared" si="4"/>
        <v>0.21875</v>
      </c>
    </row>
    <row r="312" spans="5:6" x14ac:dyDescent="0.3">
      <c r="E312" s="81">
        <v>0.21527777777777801</v>
      </c>
      <c r="F312" s="83">
        <f t="shared" si="4"/>
        <v>0.21875</v>
      </c>
    </row>
    <row r="313" spans="5:6" x14ac:dyDescent="0.3">
      <c r="E313" s="81">
        <v>0.21597222222222201</v>
      </c>
      <c r="F313" s="83">
        <f t="shared" si="4"/>
        <v>0.21875</v>
      </c>
    </row>
    <row r="314" spans="5:6" x14ac:dyDescent="0.3">
      <c r="E314" s="81">
        <v>0.21666666666666701</v>
      </c>
      <c r="F314" s="83">
        <f t="shared" si="4"/>
        <v>0.21875</v>
      </c>
    </row>
    <row r="315" spans="5:6" x14ac:dyDescent="0.3">
      <c r="E315" s="81">
        <v>0.21736111111111101</v>
      </c>
      <c r="F315" s="83">
        <f t="shared" si="4"/>
        <v>0.21875</v>
      </c>
    </row>
    <row r="316" spans="5:6" x14ac:dyDescent="0.3">
      <c r="E316" s="81">
        <v>0.218055555555556</v>
      </c>
      <c r="F316" s="83">
        <f t="shared" si="4"/>
        <v>0.21875</v>
      </c>
    </row>
    <row r="317" spans="5:6" x14ac:dyDescent="0.3">
      <c r="E317" s="81">
        <v>0.21875</v>
      </c>
      <c r="F317" s="83">
        <f t="shared" si="4"/>
        <v>0.22916666666666666</v>
      </c>
    </row>
    <row r="318" spans="5:6" x14ac:dyDescent="0.3">
      <c r="E318" s="81">
        <v>0.219444444444444</v>
      </c>
      <c r="F318" s="83">
        <f t="shared" si="4"/>
        <v>0.22916666666666666</v>
      </c>
    </row>
    <row r="319" spans="5:6" x14ac:dyDescent="0.3">
      <c r="E319" s="81">
        <v>0.22013888888888899</v>
      </c>
      <c r="F319" s="83">
        <f t="shared" si="4"/>
        <v>0.22916666666666666</v>
      </c>
    </row>
    <row r="320" spans="5:6" x14ac:dyDescent="0.3">
      <c r="E320" s="81">
        <v>0.22083333333333299</v>
      </c>
      <c r="F320" s="83">
        <f t="shared" si="4"/>
        <v>0.22916666666666666</v>
      </c>
    </row>
    <row r="321" spans="5:6" x14ac:dyDescent="0.3">
      <c r="E321" s="81">
        <v>0.22152777777777799</v>
      </c>
      <c r="F321" s="83">
        <f t="shared" si="4"/>
        <v>0.22916666666666666</v>
      </c>
    </row>
    <row r="322" spans="5:6" x14ac:dyDescent="0.3">
      <c r="E322" s="81">
        <v>0.22222222222222199</v>
      </c>
      <c r="F322" s="83">
        <f t="shared" si="4"/>
        <v>0.22916666666666666</v>
      </c>
    </row>
    <row r="323" spans="5:6" x14ac:dyDescent="0.3">
      <c r="E323" s="81">
        <v>0.22291666666666701</v>
      </c>
      <c r="F323" s="83">
        <f t="shared" ref="F323:F386" si="5">ROUNDUP(E323*4*24+1/60/24,0)/4/24</f>
        <v>0.22916666666666666</v>
      </c>
    </row>
    <row r="324" spans="5:6" x14ac:dyDescent="0.3">
      <c r="E324" s="81">
        <v>0.22361111111111101</v>
      </c>
      <c r="F324" s="83">
        <f t="shared" si="5"/>
        <v>0.22916666666666666</v>
      </c>
    </row>
    <row r="325" spans="5:6" x14ac:dyDescent="0.3">
      <c r="E325" s="81">
        <v>0.22430555555555601</v>
      </c>
      <c r="F325" s="83">
        <f t="shared" si="5"/>
        <v>0.22916666666666666</v>
      </c>
    </row>
    <row r="326" spans="5:6" x14ac:dyDescent="0.3">
      <c r="E326" s="81">
        <v>0.22500000000000001</v>
      </c>
      <c r="F326" s="83">
        <f t="shared" si="5"/>
        <v>0.22916666666666666</v>
      </c>
    </row>
    <row r="327" spans="5:6" x14ac:dyDescent="0.3">
      <c r="E327" s="81">
        <v>0.225694444444444</v>
      </c>
      <c r="F327" s="83">
        <f t="shared" si="5"/>
        <v>0.22916666666666666</v>
      </c>
    </row>
    <row r="328" spans="5:6" x14ac:dyDescent="0.3">
      <c r="E328" s="81">
        <v>0.226388888888889</v>
      </c>
      <c r="F328" s="83">
        <f t="shared" si="5"/>
        <v>0.22916666666666666</v>
      </c>
    </row>
    <row r="329" spans="5:6" x14ac:dyDescent="0.3">
      <c r="E329" s="81">
        <v>0.227083333333333</v>
      </c>
      <c r="F329" s="83">
        <f t="shared" si="5"/>
        <v>0.22916666666666666</v>
      </c>
    </row>
    <row r="330" spans="5:6" x14ac:dyDescent="0.3">
      <c r="E330" s="81">
        <v>0.227777777777778</v>
      </c>
      <c r="F330" s="83">
        <f t="shared" si="5"/>
        <v>0.22916666666666666</v>
      </c>
    </row>
    <row r="331" spans="5:6" x14ac:dyDescent="0.3">
      <c r="E331" s="81">
        <v>0.22847222222222199</v>
      </c>
      <c r="F331" s="83">
        <f t="shared" si="5"/>
        <v>0.22916666666666666</v>
      </c>
    </row>
    <row r="332" spans="5:6" x14ac:dyDescent="0.3">
      <c r="E332" s="81">
        <v>0.22916666666666699</v>
      </c>
      <c r="F332" s="83">
        <f t="shared" si="5"/>
        <v>0.23958333333333334</v>
      </c>
    </row>
    <row r="333" spans="5:6" x14ac:dyDescent="0.3">
      <c r="E333" s="81">
        <v>0.22986111111111099</v>
      </c>
      <c r="F333" s="83">
        <f t="shared" si="5"/>
        <v>0.23958333333333334</v>
      </c>
    </row>
    <row r="334" spans="5:6" x14ac:dyDescent="0.3">
      <c r="E334" s="81">
        <v>0.23055555555555601</v>
      </c>
      <c r="F334" s="83">
        <f t="shared" si="5"/>
        <v>0.23958333333333334</v>
      </c>
    </row>
    <row r="335" spans="5:6" x14ac:dyDescent="0.3">
      <c r="E335" s="81">
        <v>0.23125000000000001</v>
      </c>
      <c r="F335" s="83">
        <f t="shared" si="5"/>
        <v>0.23958333333333334</v>
      </c>
    </row>
    <row r="336" spans="5:6" x14ac:dyDescent="0.3">
      <c r="E336" s="81">
        <v>0.23194444444444401</v>
      </c>
      <c r="F336" s="83">
        <f t="shared" si="5"/>
        <v>0.23958333333333334</v>
      </c>
    </row>
    <row r="337" spans="5:6" x14ac:dyDescent="0.3">
      <c r="E337" s="81">
        <v>0.23263888888888901</v>
      </c>
      <c r="F337" s="83">
        <f t="shared" si="5"/>
        <v>0.23958333333333334</v>
      </c>
    </row>
    <row r="338" spans="5:6" x14ac:dyDescent="0.3">
      <c r="E338" s="81">
        <v>0.233333333333333</v>
      </c>
      <c r="F338" s="83">
        <f t="shared" si="5"/>
        <v>0.23958333333333334</v>
      </c>
    </row>
    <row r="339" spans="5:6" x14ac:dyDescent="0.3">
      <c r="E339" s="81">
        <v>0.234027777777778</v>
      </c>
      <c r="F339" s="83">
        <f t="shared" si="5"/>
        <v>0.23958333333333334</v>
      </c>
    </row>
    <row r="340" spans="5:6" x14ac:dyDescent="0.3">
      <c r="E340" s="81">
        <v>0.234722222222222</v>
      </c>
      <c r="F340" s="83">
        <f t="shared" si="5"/>
        <v>0.23958333333333334</v>
      </c>
    </row>
    <row r="341" spans="5:6" x14ac:dyDescent="0.3">
      <c r="E341" s="81">
        <v>0.235416666666667</v>
      </c>
      <c r="F341" s="83">
        <f t="shared" si="5"/>
        <v>0.23958333333333334</v>
      </c>
    </row>
    <row r="342" spans="5:6" x14ac:dyDescent="0.3">
      <c r="E342" s="81">
        <v>0.23611111111111099</v>
      </c>
      <c r="F342" s="83">
        <f t="shared" si="5"/>
        <v>0.23958333333333334</v>
      </c>
    </row>
    <row r="343" spans="5:6" x14ac:dyDescent="0.3">
      <c r="E343" s="81">
        <v>0.23680555555555599</v>
      </c>
      <c r="F343" s="83">
        <f t="shared" si="5"/>
        <v>0.23958333333333334</v>
      </c>
    </row>
    <row r="344" spans="5:6" x14ac:dyDescent="0.3">
      <c r="E344" s="81">
        <v>0.23749999999999999</v>
      </c>
      <c r="F344" s="83">
        <f t="shared" si="5"/>
        <v>0.23958333333333334</v>
      </c>
    </row>
    <row r="345" spans="5:6" x14ac:dyDescent="0.3">
      <c r="E345" s="81">
        <v>0.23819444444444399</v>
      </c>
      <c r="F345" s="83">
        <f t="shared" si="5"/>
        <v>0.23958333333333334</v>
      </c>
    </row>
    <row r="346" spans="5:6" x14ac:dyDescent="0.3">
      <c r="E346" s="81">
        <v>0.23888888888888901</v>
      </c>
      <c r="F346" s="83">
        <f t="shared" si="5"/>
        <v>0.23958333333333334</v>
      </c>
    </row>
    <row r="347" spans="5:6" x14ac:dyDescent="0.3">
      <c r="E347" s="81">
        <v>0.23958333333333301</v>
      </c>
      <c r="F347" s="83">
        <f t="shared" si="5"/>
        <v>0.25</v>
      </c>
    </row>
    <row r="348" spans="5:6" x14ac:dyDescent="0.3">
      <c r="E348" s="81">
        <v>0.24027777777777801</v>
      </c>
      <c r="F348" s="83">
        <f t="shared" si="5"/>
        <v>0.25</v>
      </c>
    </row>
    <row r="349" spans="5:6" x14ac:dyDescent="0.3">
      <c r="E349" s="81">
        <v>0.240972222222222</v>
      </c>
      <c r="F349" s="83">
        <f t="shared" si="5"/>
        <v>0.25</v>
      </c>
    </row>
    <row r="350" spans="5:6" x14ac:dyDescent="0.3">
      <c r="E350" s="81">
        <v>0.241666666666667</v>
      </c>
      <c r="F350" s="83">
        <f t="shared" si="5"/>
        <v>0.25</v>
      </c>
    </row>
    <row r="351" spans="5:6" x14ac:dyDescent="0.3">
      <c r="E351" s="81">
        <v>0.242361111111111</v>
      </c>
      <c r="F351" s="83">
        <f t="shared" si="5"/>
        <v>0.25</v>
      </c>
    </row>
    <row r="352" spans="5:6" x14ac:dyDescent="0.3">
      <c r="E352" s="81">
        <v>0.243055555555556</v>
      </c>
      <c r="F352" s="83">
        <f t="shared" si="5"/>
        <v>0.25</v>
      </c>
    </row>
    <row r="353" spans="5:6" x14ac:dyDescent="0.3">
      <c r="E353" s="81">
        <v>0.24374999999999999</v>
      </c>
      <c r="F353" s="83">
        <f t="shared" si="5"/>
        <v>0.25</v>
      </c>
    </row>
    <row r="354" spans="5:6" x14ac:dyDescent="0.3">
      <c r="E354" s="81">
        <v>0.24444444444444399</v>
      </c>
      <c r="F354" s="83">
        <f t="shared" si="5"/>
        <v>0.25</v>
      </c>
    </row>
    <row r="355" spans="5:6" x14ac:dyDescent="0.3">
      <c r="E355" s="81">
        <v>0.24513888888888899</v>
      </c>
      <c r="F355" s="83">
        <f t="shared" si="5"/>
        <v>0.25</v>
      </c>
    </row>
    <row r="356" spans="5:6" x14ac:dyDescent="0.3">
      <c r="E356" s="81">
        <v>0.24583333333333299</v>
      </c>
      <c r="F356" s="83">
        <f t="shared" si="5"/>
        <v>0.25</v>
      </c>
    </row>
    <row r="357" spans="5:6" x14ac:dyDescent="0.3">
      <c r="E357" s="81">
        <v>0.24652777777777801</v>
      </c>
      <c r="F357" s="83">
        <f t="shared" si="5"/>
        <v>0.25</v>
      </c>
    </row>
    <row r="358" spans="5:6" x14ac:dyDescent="0.3">
      <c r="E358" s="81">
        <v>0.24722222222222201</v>
      </c>
      <c r="F358" s="83">
        <f t="shared" si="5"/>
        <v>0.25</v>
      </c>
    </row>
    <row r="359" spans="5:6" x14ac:dyDescent="0.3">
      <c r="E359" s="81">
        <v>0.24791666666666701</v>
      </c>
      <c r="F359" s="83">
        <f t="shared" si="5"/>
        <v>0.25</v>
      </c>
    </row>
    <row r="360" spans="5:6" x14ac:dyDescent="0.3">
      <c r="E360" s="81">
        <v>0.24861111111111101</v>
      </c>
      <c r="F360" s="83">
        <f t="shared" si="5"/>
        <v>0.25</v>
      </c>
    </row>
    <row r="361" spans="5:6" x14ac:dyDescent="0.3">
      <c r="E361" s="81">
        <v>0.249305555555556</v>
      </c>
      <c r="F361" s="83">
        <f t="shared" si="5"/>
        <v>0.25</v>
      </c>
    </row>
    <row r="362" spans="5:6" x14ac:dyDescent="0.3">
      <c r="E362" s="81">
        <v>0.25</v>
      </c>
      <c r="F362" s="83">
        <f t="shared" si="5"/>
        <v>0.26041666666666669</v>
      </c>
    </row>
    <row r="363" spans="5:6" x14ac:dyDescent="0.3">
      <c r="E363" s="81">
        <v>0.250694444444444</v>
      </c>
      <c r="F363" s="83">
        <f t="shared" si="5"/>
        <v>0.26041666666666669</v>
      </c>
    </row>
    <row r="364" spans="5:6" x14ac:dyDescent="0.3">
      <c r="E364" s="81">
        <v>0.25138888888888899</v>
      </c>
      <c r="F364" s="83">
        <f t="shared" si="5"/>
        <v>0.26041666666666669</v>
      </c>
    </row>
    <row r="365" spans="5:6" x14ac:dyDescent="0.3">
      <c r="E365" s="81">
        <v>0.25208333333333299</v>
      </c>
      <c r="F365" s="83">
        <f t="shared" si="5"/>
        <v>0.26041666666666669</v>
      </c>
    </row>
    <row r="366" spans="5:6" x14ac:dyDescent="0.3">
      <c r="E366" s="81">
        <v>0.25277777777777799</v>
      </c>
      <c r="F366" s="83">
        <f t="shared" si="5"/>
        <v>0.26041666666666669</v>
      </c>
    </row>
    <row r="367" spans="5:6" x14ac:dyDescent="0.3">
      <c r="E367" s="81">
        <v>0.25347222222222199</v>
      </c>
      <c r="F367" s="83">
        <f t="shared" si="5"/>
        <v>0.26041666666666669</v>
      </c>
    </row>
    <row r="368" spans="5:6" x14ac:dyDescent="0.3">
      <c r="E368" s="81">
        <v>0.25416666666666698</v>
      </c>
      <c r="F368" s="83">
        <f t="shared" si="5"/>
        <v>0.26041666666666669</v>
      </c>
    </row>
    <row r="369" spans="5:6" x14ac:dyDescent="0.3">
      <c r="E369" s="81">
        <v>0.25486111111111098</v>
      </c>
      <c r="F369" s="83">
        <f t="shared" si="5"/>
        <v>0.26041666666666669</v>
      </c>
    </row>
    <row r="370" spans="5:6" x14ac:dyDescent="0.3">
      <c r="E370" s="81">
        <v>0.25555555555555598</v>
      </c>
      <c r="F370" s="83">
        <f t="shared" si="5"/>
        <v>0.26041666666666669</v>
      </c>
    </row>
    <row r="371" spans="5:6" x14ac:dyDescent="0.3">
      <c r="E371" s="81">
        <v>0.25624999999999998</v>
      </c>
      <c r="F371" s="83">
        <f t="shared" si="5"/>
        <v>0.26041666666666669</v>
      </c>
    </row>
    <row r="372" spans="5:6" x14ac:dyDescent="0.3">
      <c r="E372" s="81">
        <v>0.25694444444444398</v>
      </c>
      <c r="F372" s="83">
        <f t="shared" si="5"/>
        <v>0.26041666666666669</v>
      </c>
    </row>
    <row r="373" spans="5:6" x14ac:dyDescent="0.3">
      <c r="E373" s="81">
        <v>0.25763888888888897</v>
      </c>
      <c r="F373" s="83">
        <f t="shared" si="5"/>
        <v>0.26041666666666669</v>
      </c>
    </row>
    <row r="374" spans="5:6" x14ac:dyDescent="0.3">
      <c r="E374" s="81">
        <v>0.25833333333333303</v>
      </c>
      <c r="F374" s="83">
        <f t="shared" si="5"/>
        <v>0.26041666666666669</v>
      </c>
    </row>
    <row r="375" spans="5:6" x14ac:dyDescent="0.3">
      <c r="E375" s="81">
        <v>0.25902777777777802</v>
      </c>
      <c r="F375" s="83">
        <f t="shared" si="5"/>
        <v>0.26041666666666669</v>
      </c>
    </row>
    <row r="376" spans="5:6" x14ac:dyDescent="0.3">
      <c r="E376" s="81">
        <v>0.25972222222222202</v>
      </c>
      <c r="F376" s="83">
        <f t="shared" si="5"/>
        <v>0.26041666666666669</v>
      </c>
    </row>
    <row r="377" spans="5:6" x14ac:dyDescent="0.3">
      <c r="E377" s="81">
        <v>0.26041666666666702</v>
      </c>
      <c r="F377" s="83">
        <f t="shared" si="5"/>
        <v>0.27083333333333331</v>
      </c>
    </row>
    <row r="378" spans="5:6" x14ac:dyDescent="0.3">
      <c r="E378" s="81">
        <v>0.26111111111111102</v>
      </c>
      <c r="F378" s="83">
        <f t="shared" si="5"/>
        <v>0.27083333333333331</v>
      </c>
    </row>
    <row r="379" spans="5:6" x14ac:dyDescent="0.3">
      <c r="E379" s="81">
        <v>0.26180555555555601</v>
      </c>
      <c r="F379" s="83">
        <f t="shared" si="5"/>
        <v>0.27083333333333331</v>
      </c>
    </row>
    <row r="380" spans="5:6" x14ac:dyDescent="0.3">
      <c r="E380" s="81">
        <v>0.26250000000000001</v>
      </c>
      <c r="F380" s="83">
        <f t="shared" si="5"/>
        <v>0.27083333333333331</v>
      </c>
    </row>
    <row r="381" spans="5:6" x14ac:dyDescent="0.3">
      <c r="E381" s="81">
        <v>0.26319444444444401</v>
      </c>
      <c r="F381" s="83">
        <f t="shared" si="5"/>
        <v>0.27083333333333331</v>
      </c>
    </row>
    <row r="382" spans="5:6" x14ac:dyDescent="0.3">
      <c r="E382" s="81">
        <v>0.26388888888888901</v>
      </c>
      <c r="F382" s="83">
        <f t="shared" si="5"/>
        <v>0.27083333333333331</v>
      </c>
    </row>
    <row r="383" spans="5:6" x14ac:dyDescent="0.3">
      <c r="E383" s="81">
        <v>0.264583333333333</v>
      </c>
      <c r="F383" s="83">
        <f t="shared" si="5"/>
        <v>0.27083333333333331</v>
      </c>
    </row>
    <row r="384" spans="5:6" x14ac:dyDescent="0.3">
      <c r="E384" s="81">
        <v>0.265277777777778</v>
      </c>
      <c r="F384" s="83">
        <f t="shared" si="5"/>
        <v>0.27083333333333331</v>
      </c>
    </row>
    <row r="385" spans="5:6" x14ac:dyDescent="0.3">
      <c r="E385" s="81">
        <v>0.265972222222222</v>
      </c>
      <c r="F385" s="83">
        <f t="shared" si="5"/>
        <v>0.27083333333333331</v>
      </c>
    </row>
    <row r="386" spans="5:6" x14ac:dyDescent="0.3">
      <c r="E386" s="81">
        <v>0.266666666666667</v>
      </c>
      <c r="F386" s="83">
        <f t="shared" si="5"/>
        <v>0.27083333333333331</v>
      </c>
    </row>
    <row r="387" spans="5:6" x14ac:dyDescent="0.3">
      <c r="E387" s="81">
        <v>0.26736111111111099</v>
      </c>
      <c r="F387" s="83">
        <f t="shared" ref="F387:F450" si="6">ROUNDUP(E387*4*24+1/60/24,0)/4/24</f>
        <v>0.27083333333333331</v>
      </c>
    </row>
    <row r="388" spans="5:6" x14ac:dyDescent="0.3">
      <c r="E388" s="81">
        <v>0.26805555555555599</v>
      </c>
      <c r="F388" s="83">
        <f t="shared" si="6"/>
        <v>0.27083333333333331</v>
      </c>
    </row>
    <row r="389" spans="5:6" x14ac:dyDescent="0.3">
      <c r="E389" s="81">
        <v>0.26874999999999999</v>
      </c>
      <c r="F389" s="83">
        <f t="shared" si="6"/>
        <v>0.27083333333333331</v>
      </c>
    </row>
    <row r="390" spans="5:6" x14ac:dyDescent="0.3">
      <c r="E390" s="81">
        <v>0.26944444444444399</v>
      </c>
      <c r="F390" s="83">
        <f t="shared" si="6"/>
        <v>0.27083333333333331</v>
      </c>
    </row>
    <row r="391" spans="5:6" x14ac:dyDescent="0.3">
      <c r="E391" s="81">
        <v>0.27013888888888898</v>
      </c>
      <c r="F391" s="83">
        <f t="shared" si="6"/>
        <v>0.27083333333333331</v>
      </c>
    </row>
    <row r="392" spans="5:6" x14ac:dyDescent="0.3">
      <c r="E392" s="81">
        <v>0.27083333333333298</v>
      </c>
      <c r="F392" s="83">
        <f t="shared" si="6"/>
        <v>0.28125</v>
      </c>
    </row>
    <row r="393" spans="5:6" x14ac:dyDescent="0.3">
      <c r="E393" s="81">
        <v>0.27152777777777798</v>
      </c>
      <c r="F393" s="83">
        <f t="shared" si="6"/>
        <v>0.28125</v>
      </c>
    </row>
    <row r="394" spans="5:6" x14ac:dyDescent="0.3">
      <c r="E394" s="81">
        <v>0.27222222222222198</v>
      </c>
      <c r="F394" s="83">
        <f t="shared" si="6"/>
        <v>0.28125</v>
      </c>
    </row>
    <row r="395" spans="5:6" x14ac:dyDescent="0.3">
      <c r="E395" s="81">
        <v>0.27291666666666697</v>
      </c>
      <c r="F395" s="83">
        <f t="shared" si="6"/>
        <v>0.28125</v>
      </c>
    </row>
    <row r="396" spans="5:6" x14ac:dyDescent="0.3">
      <c r="E396" s="81">
        <v>0.27361111111111103</v>
      </c>
      <c r="F396" s="83">
        <f t="shared" si="6"/>
        <v>0.28125</v>
      </c>
    </row>
    <row r="397" spans="5:6" x14ac:dyDescent="0.3">
      <c r="E397" s="81">
        <v>0.27430555555555602</v>
      </c>
      <c r="F397" s="83">
        <f t="shared" si="6"/>
        <v>0.28125</v>
      </c>
    </row>
    <row r="398" spans="5:6" x14ac:dyDescent="0.3">
      <c r="E398" s="81">
        <v>0.27500000000000002</v>
      </c>
      <c r="F398" s="83">
        <f t="shared" si="6"/>
        <v>0.28125</v>
      </c>
    </row>
    <row r="399" spans="5:6" x14ac:dyDescent="0.3">
      <c r="E399" s="81">
        <v>0.27569444444444402</v>
      </c>
      <c r="F399" s="83">
        <f t="shared" si="6"/>
        <v>0.28125</v>
      </c>
    </row>
    <row r="400" spans="5:6" x14ac:dyDescent="0.3">
      <c r="E400" s="81">
        <v>0.27638888888888902</v>
      </c>
      <c r="F400" s="83">
        <f t="shared" si="6"/>
        <v>0.28125</v>
      </c>
    </row>
    <row r="401" spans="5:6" x14ac:dyDescent="0.3">
      <c r="E401" s="81">
        <v>0.27708333333333302</v>
      </c>
      <c r="F401" s="83">
        <f t="shared" si="6"/>
        <v>0.28125</v>
      </c>
    </row>
    <row r="402" spans="5:6" x14ac:dyDescent="0.3">
      <c r="E402" s="81">
        <v>0.27777777777777801</v>
      </c>
      <c r="F402" s="83">
        <f t="shared" si="6"/>
        <v>0.28125</v>
      </c>
    </row>
    <row r="403" spans="5:6" x14ac:dyDescent="0.3">
      <c r="E403" s="81">
        <v>0.27847222222222201</v>
      </c>
      <c r="F403" s="83">
        <f t="shared" si="6"/>
        <v>0.28125</v>
      </c>
    </row>
    <row r="404" spans="5:6" x14ac:dyDescent="0.3">
      <c r="E404" s="81">
        <v>0.27916666666666701</v>
      </c>
      <c r="F404" s="83">
        <f t="shared" si="6"/>
        <v>0.28125</v>
      </c>
    </row>
    <row r="405" spans="5:6" x14ac:dyDescent="0.3">
      <c r="E405" s="81">
        <v>0.27986111111111101</v>
      </c>
      <c r="F405" s="83">
        <f t="shared" si="6"/>
        <v>0.28125</v>
      </c>
    </row>
    <row r="406" spans="5:6" x14ac:dyDescent="0.3">
      <c r="E406" s="81">
        <v>0.280555555555556</v>
      </c>
      <c r="F406" s="83">
        <f t="shared" si="6"/>
        <v>0.28125</v>
      </c>
    </row>
    <row r="407" spans="5:6" x14ac:dyDescent="0.3">
      <c r="E407" s="81">
        <v>0.28125</v>
      </c>
      <c r="F407" s="83">
        <f t="shared" si="6"/>
        <v>0.29166666666666669</v>
      </c>
    </row>
    <row r="408" spans="5:6" x14ac:dyDescent="0.3">
      <c r="E408" s="81">
        <v>0.281944444444444</v>
      </c>
      <c r="F408" s="83">
        <f t="shared" si="6"/>
        <v>0.29166666666666669</v>
      </c>
    </row>
    <row r="409" spans="5:6" x14ac:dyDescent="0.3">
      <c r="E409" s="81">
        <v>0.28263888888888899</v>
      </c>
      <c r="F409" s="83">
        <f t="shared" si="6"/>
        <v>0.29166666666666669</v>
      </c>
    </row>
    <row r="410" spans="5:6" x14ac:dyDescent="0.3">
      <c r="E410" s="81">
        <v>0.28333333333333299</v>
      </c>
      <c r="F410" s="83">
        <f t="shared" si="6"/>
        <v>0.29166666666666669</v>
      </c>
    </row>
    <row r="411" spans="5:6" x14ac:dyDescent="0.3">
      <c r="E411" s="81">
        <v>0.28402777777777799</v>
      </c>
      <c r="F411" s="83">
        <f t="shared" si="6"/>
        <v>0.29166666666666669</v>
      </c>
    </row>
    <row r="412" spans="5:6" x14ac:dyDescent="0.3">
      <c r="E412" s="81">
        <v>0.28472222222222199</v>
      </c>
      <c r="F412" s="83">
        <f t="shared" si="6"/>
        <v>0.29166666666666669</v>
      </c>
    </row>
    <row r="413" spans="5:6" x14ac:dyDescent="0.3">
      <c r="E413" s="81">
        <v>0.28541666666666698</v>
      </c>
      <c r="F413" s="83">
        <f t="shared" si="6"/>
        <v>0.29166666666666669</v>
      </c>
    </row>
    <row r="414" spans="5:6" x14ac:dyDescent="0.3">
      <c r="E414" s="81">
        <v>0.28611111111111098</v>
      </c>
      <c r="F414" s="83">
        <f t="shared" si="6"/>
        <v>0.29166666666666669</v>
      </c>
    </row>
    <row r="415" spans="5:6" x14ac:dyDescent="0.3">
      <c r="E415" s="81">
        <v>0.28680555555555598</v>
      </c>
      <c r="F415" s="83">
        <f t="shared" si="6"/>
        <v>0.29166666666666669</v>
      </c>
    </row>
    <row r="416" spans="5:6" x14ac:dyDescent="0.3">
      <c r="E416" s="81">
        <v>0.28749999999999998</v>
      </c>
      <c r="F416" s="83">
        <f t="shared" si="6"/>
        <v>0.29166666666666669</v>
      </c>
    </row>
    <row r="417" spans="5:6" x14ac:dyDescent="0.3">
      <c r="E417" s="81">
        <v>0.28819444444444398</v>
      </c>
      <c r="F417" s="83">
        <f t="shared" si="6"/>
        <v>0.29166666666666669</v>
      </c>
    </row>
    <row r="418" spans="5:6" x14ac:dyDescent="0.3">
      <c r="E418" s="81">
        <v>0.28888888888888897</v>
      </c>
      <c r="F418" s="83">
        <f t="shared" si="6"/>
        <v>0.29166666666666669</v>
      </c>
    </row>
    <row r="419" spans="5:6" x14ac:dyDescent="0.3">
      <c r="E419" s="81">
        <v>0.28958333333333303</v>
      </c>
      <c r="F419" s="83">
        <f t="shared" si="6"/>
        <v>0.29166666666666669</v>
      </c>
    </row>
    <row r="420" spans="5:6" x14ac:dyDescent="0.3">
      <c r="E420" s="81">
        <v>0.29027777777777802</v>
      </c>
      <c r="F420" s="83">
        <f t="shared" si="6"/>
        <v>0.29166666666666669</v>
      </c>
    </row>
    <row r="421" spans="5:6" x14ac:dyDescent="0.3">
      <c r="E421" s="81">
        <v>0.29097222222222202</v>
      </c>
      <c r="F421" s="83">
        <f t="shared" si="6"/>
        <v>0.29166666666666669</v>
      </c>
    </row>
    <row r="422" spans="5:6" x14ac:dyDescent="0.3">
      <c r="E422" s="81">
        <v>0.29166666666666702</v>
      </c>
      <c r="F422" s="83">
        <f t="shared" si="6"/>
        <v>0.30208333333333331</v>
      </c>
    </row>
    <row r="423" spans="5:6" x14ac:dyDescent="0.3">
      <c r="E423" s="81">
        <v>0.29236111111111102</v>
      </c>
      <c r="F423" s="83">
        <f t="shared" si="6"/>
        <v>0.30208333333333331</v>
      </c>
    </row>
    <row r="424" spans="5:6" x14ac:dyDescent="0.3">
      <c r="E424" s="81">
        <v>0.29305555555555601</v>
      </c>
      <c r="F424" s="83">
        <f t="shared" si="6"/>
        <v>0.30208333333333331</v>
      </c>
    </row>
    <row r="425" spans="5:6" x14ac:dyDescent="0.3">
      <c r="E425" s="81">
        <v>0.29375000000000001</v>
      </c>
      <c r="F425" s="83">
        <f t="shared" si="6"/>
        <v>0.30208333333333331</v>
      </c>
    </row>
    <row r="426" spans="5:6" x14ac:dyDescent="0.3">
      <c r="E426" s="81">
        <v>0.29444444444444401</v>
      </c>
      <c r="F426" s="83">
        <f t="shared" si="6"/>
        <v>0.30208333333333331</v>
      </c>
    </row>
    <row r="427" spans="5:6" x14ac:dyDescent="0.3">
      <c r="E427" s="81">
        <v>0.29513888888888901</v>
      </c>
      <c r="F427" s="83">
        <f t="shared" si="6"/>
        <v>0.30208333333333331</v>
      </c>
    </row>
    <row r="428" spans="5:6" x14ac:dyDescent="0.3">
      <c r="E428" s="81">
        <v>0.295833333333333</v>
      </c>
      <c r="F428" s="83">
        <f t="shared" si="6"/>
        <v>0.30208333333333331</v>
      </c>
    </row>
    <row r="429" spans="5:6" x14ac:dyDescent="0.3">
      <c r="E429" s="81">
        <v>0.296527777777778</v>
      </c>
      <c r="F429" s="83">
        <f t="shared" si="6"/>
        <v>0.30208333333333331</v>
      </c>
    </row>
    <row r="430" spans="5:6" x14ac:dyDescent="0.3">
      <c r="E430" s="81">
        <v>0.297222222222222</v>
      </c>
      <c r="F430" s="83">
        <f t="shared" si="6"/>
        <v>0.30208333333333331</v>
      </c>
    </row>
    <row r="431" spans="5:6" x14ac:dyDescent="0.3">
      <c r="E431" s="81">
        <v>0.297916666666667</v>
      </c>
      <c r="F431" s="83">
        <f t="shared" si="6"/>
        <v>0.30208333333333331</v>
      </c>
    </row>
    <row r="432" spans="5:6" x14ac:dyDescent="0.3">
      <c r="E432" s="81">
        <v>0.29861111111111099</v>
      </c>
      <c r="F432" s="83">
        <f t="shared" si="6"/>
        <v>0.30208333333333331</v>
      </c>
    </row>
    <row r="433" spans="5:6" x14ac:dyDescent="0.3">
      <c r="E433" s="81">
        <v>0.29930555555555599</v>
      </c>
      <c r="F433" s="83">
        <f t="shared" si="6"/>
        <v>0.30208333333333331</v>
      </c>
    </row>
    <row r="434" spans="5:6" x14ac:dyDescent="0.3">
      <c r="E434" s="81">
        <v>0.3</v>
      </c>
      <c r="F434" s="83">
        <f t="shared" si="6"/>
        <v>0.30208333333333331</v>
      </c>
    </row>
    <row r="435" spans="5:6" x14ac:dyDescent="0.3">
      <c r="E435" s="81">
        <v>0.30069444444444399</v>
      </c>
      <c r="F435" s="83">
        <f t="shared" si="6"/>
        <v>0.30208333333333331</v>
      </c>
    </row>
    <row r="436" spans="5:6" x14ac:dyDescent="0.3">
      <c r="E436" s="81">
        <v>0.30138888888888898</v>
      </c>
      <c r="F436" s="83">
        <f t="shared" si="6"/>
        <v>0.30208333333333331</v>
      </c>
    </row>
    <row r="437" spans="5:6" x14ac:dyDescent="0.3">
      <c r="E437" s="81">
        <v>0.30208333333333298</v>
      </c>
      <c r="F437" s="83">
        <f t="shared" si="6"/>
        <v>0.3125</v>
      </c>
    </row>
    <row r="438" spans="5:6" x14ac:dyDescent="0.3">
      <c r="E438" s="81">
        <v>0.30277777777777798</v>
      </c>
      <c r="F438" s="83">
        <f t="shared" si="6"/>
        <v>0.3125</v>
      </c>
    </row>
    <row r="439" spans="5:6" x14ac:dyDescent="0.3">
      <c r="E439" s="81">
        <v>0.30347222222222198</v>
      </c>
      <c r="F439" s="83">
        <f t="shared" si="6"/>
        <v>0.3125</v>
      </c>
    </row>
    <row r="440" spans="5:6" x14ac:dyDescent="0.3">
      <c r="E440" s="81">
        <v>0.30416666666666697</v>
      </c>
      <c r="F440" s="83">
        <f t="shared" si="6"/>
        <v>0.3125</v>
      </c>
    </row>
    <row r="441" spans="5:6" x14ac:dyDescent="0.3">
      <c r="E441" s="81">
        <v>0.30486111111111103</v>
      </c>
      <c r="F441" s="83">
        <f t="shared" si="6"/>
        <v>0.3125</v>
      </c>
    </row>
    <row r="442" spans="5:6" x14ac:dyDescent="0.3">
      <c r="E442" s="81">
        <v>0.30555555555555602</v>
      </c>
      <c r="F442" s="83">
        <f t="shared" si="6"/>
        <v>0.3125</v>
      </c>
    </row>
    <row r="443" spans="5:6" x14ac:dyDescent="0.3">
      <c r="E443" s="81">
        <v>0.30625000000000002</v>
      </c>
      <c r="F443" s="83">
        <f t="shared" si="6"/>
        <v>0.3125</v>
      </c>
    </row>
    <row r="444" spans="5:6" x14ac:dyDescent="0.3">
      <c r="E444" s="81">
        <v>0.30694444444444402</v>
      </c>
      <c r="F444" s="83">
        <f t="shared" si="6"/>
        <v>0.3125</v>
      </c>
    </row>
    <row r="445" spans="5:6" x14ac:dyDescent="0.3">
      <c r="E445" s="81">
        <v>0.30763888888888902</v>
      </c>
      <c r="F445" s="83">
        <f t="shared" si="6"/>
        <v>0.3125</v>
      </c>
    </row>
    <row r="446" spans="5:6" x14ac:dyDescent="0.3">
      <c r="E446" s="81">
        <v>0.30833333333333302</v>
      </c>
      <c r="F446" s="83">
        <f t="shared" si="6"/>
        <v>0.3125</v>
      </c>
    </row>
    <row r="447" spans="5:6" x14ac:dyDescent="0.3">
      <c r="E447" s="81">
        <v>0.30902777777777801</v>
      </c>
      <c r="F447" s="83">
        <f t="shared" si="6"/>
        <v>0.3125</v>
      </c>
    </row>
    <row r="448" spans="5:6" x14ac:dyDescent="0.3">
      <c r="E448" s="81">
        <v>0.30972222222222201</v>
      </c>
      <c r="F448" s="83">
        <f t="shared" si="6"/>
        <v>0.3125</v>
      </c>
    </row>
    <row r="449" spans="5:6" x14ac:dyDescent="0.3">
      <c r="E449" s="81">
        <v>0.31041666666666701</v>
      </c>
      <c r="F449" s="83">
        <f t="shared" si="6"/>
        <v>0.3125</v>
      </c>
    </row>
    <row r="450" spans="5:6" x14ac:dyDescent="0.3">
      <c r="E450" s="81">
        <v>0.31111111111111101</v>
      </c>
      <c r="F450" s="83">
        <f t="shared" si="6"/>
        <v>0.3125</v>
      </c>
    </row>
    <row r="451" spans="5:6" x14ac:dyDescent="0.3">
      <c r="E451" s="81">
        <v>0.311805555555556</v>
      </c>
      <c r="F451" s="83">
        <f t="shared" ref="F451:F514" si="7">ROUNDUP(E451*4*24+1/60/24,0)/4/24</f>
        <v>0.3125</v>
      </c>
    </row>
    <row r="452" spans="5:6" x14ac:dyDescent="0.3">
      <c r="E452" s="81">
        <v>0.3125</v>
      </c>
      <c r="F452" s="83">
        <f t="shared" si="7"/>
        <v>0.32291666666666669</v>
      </c>
    </row>
    <row r="453" spans="5:6" x14ac:dyDescent="0.3">
      <c r="E453" s="81">
        <v>0.313194444444444</v>
      </c>
      <c r="F453" s="83">
        <f t="shared" si="7"/>
        <v>0.32291666666666669</v>
      </c>
    </row>
    <row r="454" spans="5:6" x14ac:dyDescent="0.3">
      <c r="E454" s="81">
        <v>0.31388888888888899</v>
      </c>
      <c r="F454" s="83">
        <f t="shared" si="7"/>
        <v>0.32291666666666669</v>
      </c>
    </row>
    <row r="455" spans="5:6" x14ac:dyDescent="0.3">
      <c r="E455" s="81">
        <v>0.31458333333333299</v>
      </c>
      <c r="F455" s="83">
        <f t="shared" si="7"/>
        <v>0.32291666666666669</v>
      </c>
    </row>
    <row r="456" spans="5:6" x14ac:dyDescent="0.3">
      <c r="E456" s="81">
        <v>0.31527777777777799</v>
      </c>
      <c r="F456" s="83">
        <f t="shared" si="7"/>
        <v>0.32291666666666669</v>
      </c>
    </row>
    <row r="457" spans="5:6" x14ac:dyDescent="0.3">
      <c r="E457" s="81">
        <v>0.31597222222222199</v>
      </c>
      <c r="F457" s="83">
        <f t="shared" si="7"/>
        <v>0.32291666666666669</v>
      </c>
    </row>
    <row r="458" spans="5:6" x14ac:dyDescent="0.3">
      <c r="E458" s="81">
        <v>0.31666666666666698</v>
      </c>
      <c r="F458" s="83">
        <f t="shared" si="7"/>
        <v>0.32291666666666669</v>
      </c>
    </row>
    <row r="459" spans="5:6" x14ac:dyDescent="0.3">
      <c r="E459" s="81">
        <v>0.31736111111111098</v>
      </c>
      <c r="F459" s="83">
        <f t="shared" si="7"/>
        <v>0.32291666666666669</v>
      </c>
    </row>
    <row r="460" spans="5:6" x14ac:dyDescent="0.3">
      <c r="E460" s="81">
        <v>0.31805555555555598</v>
      </c>
      <c r="F460" s="83">
        <f t="shared" si="7"/>
        <v>0.32291666666666669</v>
      </c>
    </row>
    <row r="461" spans="5:6" x14ac:dyDescent="0.3">
      <c r="E461" s="81">
        <v>0.31874999999999998</v>
      </c>
      <c r="F461" s="83">
        <f t="shared" si="7"/>
        <v>0.32291666666666669</v>
      </c>
    </row>
    <row r="462" spans="5:6" x14ac:dyDescent="0.3">
      <c r="E462" s="81">
        <v>0.31944444444444398</v>
      </c>
      <c r="F462" s="83">
        <f t="shared" si="7"/>
        <v>0.32291666666666669</v>
      </c>
    </row>
    <row r="463" spans="5:6" x14ac:dyDescent="0.3">
      <c r="E463" s="81">
        <v>0.32013888888888897</v>
      </c>
      <c r="F463" s="83">
        <f t="shared" si="7"/>
        <v>0.32291666666666669</v>
      </c>
    </row>
    <row r="464" spans="5:6" x14ac:dyDescent="0.3">
      <c r="E464" s="81">
        <v>0.32083333333333303</v>
      </c>
      <c r="F464" s="83">
        <f t="shared" si="7"/>
        <v>0.32291666666666669</v>
      </c>
    </row>
    <row r="465" spans="5:6" x14ac:dyDescent="0.3">
      <c r="E465" s="81">
        <v>0.32152777777777802</v>
      </c>
      <c r="F465" s="83">
        <f t="shared" si="7"/>
        <v>0.32291666666666669</v>
      </c>
    </row>
    <row r="466" spans="5:6" x14ac:dyDescent="0.3">
      <c r="E466" s="81">
        <v>0.32222222222222202</v>
      </c>
      <c r="F466" s="83">
        <f t="shared" si="7"/>
        <v>0.32291666666666669</v>
      </c>
    </row>
    <row r="467" spans="5:6" x14ac:dyDescent="0.3">
      <c r="E467" s="81">
        <v>0.32291666666666702</v>
      </c>
      <c r="F467" s="83">
        <f t="shared" si="7"/>
        <v>0.33333333333333331</v>
      </c>
    </row>
    <row r="468" spans="5:6" x14ac:dyDescent="0.3">
      <c r="E468" s="81">
        <v>0.32361111111111102</v>
      </c>
      <c r="F468" s="83">
        <f t="shared" si="7"/>
        <v>0.33333333333333331</v>
      </c>
    </row>
    <row r="469" spans="5:6" x14ac:dyDescent="0.3">
      <c r="E469" s="81">
        <v>0.32430555555555601</v>
      </c>
      <c r="F469" s="83">
        <f t="shared" si="7"/>
        <v>0.33333333333333331</v>
      </c>
    </row>
    <row r="470" spans="5:6" x14ac:dyDescent="0.3">
      <c r="E470" s="81">
        <v>0.32500000000000001</v>
      </c>
      <c r="F470" s="83">
        <f t="shared" si="7"/>
        <v>0.33333333333333331</v>
      </c>
    </row>
    <row r="471" spans="5:6" x14ac:dyDescent="0.3">
      <c r="E471" s="81">
        <v>0.32569444444444401</v>
      </c>
      <c r="F471" s="83">
        <f t="shared" si="7"/>
        <v>0.33333333333333331</v>
      </c>
    </row>
    <row r="472" spans="5:6" x14ac:dyDescent="0.3">
      <c r="E472" s="81">
        <v>0.32638888888888901</v>
      </c>
      <c r="F472" s="83">
        <f t="shared" si="7"/>
        <v>0.33333333333333331</v>
      </c>
    </row>
    <row r="473" spans="5:6" x14ac:dyDescent="0.3">
      <c r="E473" s="81">
        <v>0.327083333333333</v>
      </c>
      <c r="F473" s="83">
        <f t="shared" si="7"/>
        <v>0.33333333333333331</v>
      </c>
    </row>
    <row r="474" spans="5:6" x14ac:dyDescent="0.3">
      <c r="E474" s="81">
        <v>0.327777777777778</v>
      </c>
      <c r="F474" s="83">
        <f t="shared" si="7"/>
        <v>0.33333333333333331</v>
      </c>
    </row>
    <row r="475" spans="5:6" x14ac:dyDescent="0.3">
      <c r="E475" s="81">
        <v>0.328472222222222</v>
      </c>
      <c r="F475" s="83">
        <f t="shared" si="7"/>
        <v>0.33333333333333331</v>
      </c>
    </row>
    <row r="476" spans="5:6" x14ac:dyDescent="0.3">
      <c r="E476" s="81">
        <v>0.329166666666667</v>
      </c>
      <c r="F476" s="83">
        <f t="shared" si="7"/>
        <v>0.33333333333333331</v>
      </c>
    </row>
    <row r="477" spans="5:6" x14ac:dyDescent="0.3">
      <c r="E477" s="81">
        <v>0.32986111111111099</v>
      </c>
      <c r="F477" s="83">
        <f t="shared" si="7"/>
        <v>0.33333333333333331</v>
      </c>
    </row>
    <row r="478" spans="5:6" x14ac:dyDescent="0.3">
      <c r="E478" s="81">
        <v>0.33055555555555599</v>
      </c>
      <c r="F478" s="83">
        <f t="shared" si="7"/>
        <v>0.33333333333333331</v>
      </c>
    </row>
    <row r="479" spans="5:6" x14ac:dyDescent="0.3">
      <c r="E479" s="81">
        <v>0.33124999999999999</v>
      </c>
      <c r="F479" s="83">
        <f t="shared" si="7"/>
        <v>0.33333333333333331</v>
      </c>
    </row>
    <row r="480" spans="5:6" x14ac:dyDescent="0.3">
      <c r="E480" s="81">
        <v>0.33194444444444399</v>
      </c>
      <c r="F480" s="83">
        <f t="shared" si="7"/>
        <v>0.33333333333333331</v>
      </c>
    </row>
    <row r="481" spans="5:6" x14ac:dyDescent="0.3">
      <c r="E481" s="81">
        <v>0.33263888888888898</v>
      </c>
      <c r="F481" s="83">
        <f t="shared" si="7"/>
        <v>0.33333333333333331</v>
      </c>
    </row>
    <row r="482" spans="5:6" x14ac:dyDescent="0.3">
      <c r="E482" s="81">
        <v>0.33333333333333298</v>
      </c>
      <c r="F482" s="83">
        <f t="shared" si="7"/>
        <v>0.34375</v>
      </c>
    </row>
    <row r="483" spans="5:6" x14ac:dyDescent="0.3">
      <c r="E483" s="81">
        <v>0.33402777777777798</v>
      </c>
      <c r="F483" s="83">
        <f t="shared" si="7"/>
        <v>0.34375</v>
      </c>
    </row>
    <row r="484" spans="5:6" x14ac:dyDescent="0.3">
      <c r="E484" s="81">
        <v>0.33472222222222198</v>
      </c>
      <c r="F484" s="83">
        <f t="shared" si="7"/>
        <v>0.34375</v>
      </c>
    </row>
    <row r="485" spans="5:6" x14ac:dyDescent="0.3">
      <c r="E485" s="81">
        <v>0.33541666666666697</v>
      </c>
      <c r="F485" s="83">
        <f t="shared" si="7"/>
        <v>0.34375</v>
      </c>
    </row>
    <row r="486" spans="5:6" x14ac:dyDescent="0.3">
      <c r="E486" s="81">
        <v>0.33611111111111103</v>
      </c>
      <c r="F486" s="83">
        <f t="shared" si="7"/>
        <v>0.34375</v>
      </c>
    </row>
    <row r="487" spans="5:6" x14ac:dyDescent="0.3">
      <c r="E487" s="81">
        <v>0.33680555555555602</v>
      </c>
      <c r="F487" s="83">
        <f t="shared" si="7"/>
        <v>0.34375</v>
      </c>
    </row>
    <row r="488" spans="5:6" x14ac:dyDescent="0.3">
      <c r="E488" s="81">
        <v>0.33750000000000002</v>
      </c>
      <c r="F488" s="83">
        <f t="shared" si="7"/>
        <v>0.34375</v>
      </c>
    </row>
    <row r="489" spans="5:6" x14ac:dyDescent="0.3">
      <c r="E489" s="81">
        <v>0.33819444444444402</v>
      </c>
      <c r="F489" s="83">
        <f t="shared" si="7"/>
        <v>0.34375</v>
      </c>
    </row>
    <row r="490" spans="5:6" x14ac:dyDescent="0.3">
      <c r="E490" s="81">
        <v>0.33888888888888902</v>
      </c>
      <c r="F490" s="83">
        <f t="shared" si="7"/>
        <v>0.34375</v>
      </c>
    </row>
    <row r="491" spans="5:6" x14ac:dyDescent="0.3">
      <c r="E491" s="81">
        <v>0.33958333333333302</v>
      </c>
      <c r="F491" s="83">
        <f t="shared" si="7"/>
        <v>0.34375</v>
      </c>
    </row>
    <row r="492" spans="5:6" x14ac:dyDescent="0.3">
      <c r="E492" s="81">
        <v>0.34027777777777801</v>
      </c>
      <c r="F492" s="83">
        <f t="shared" si="7"/>
        <v>0.34375</v>
      </c>
    </row>
    <row r="493" spans="5:6" x14ac:dyDescent="0.3">
      <c r="E493" s="81">
        <v>0.34097222222222201</v>
      </c>
      <c r="F493" s="83">
        <f t="shared" si="7"/>
        <v>0.34375</v>
      </c>
    </row>
    <row r="494" spans="5:6" x14ac:dyDescent="0.3">
      <c r="E494" s="81">
        <v>0.34166666666666701</v>
      </c>
      <c r="F494" s="83">
        <f t="shared" si="7"/>
        <v>0.34375</v>
      </c>
    </row>
    <row r="495" spans="5:6" x14ac:dyDescent="0.3">
      <c r="E495" s="81">
        <v>0.34236111111111101</v>
      </c>
      <c r="F495" s="83">
        <f t="shared" si="7"/>
        <v>0.34375</v>
      </c>
    </row>
    <row r="496" spans="5:6" x14ac:dyDescent="0.3">
      <c r="E496" s="81">
        <v>0.343055555555556</v>
      </c>
      <c r="F496" s="83">
        <f t="shared" si="7"/>
        <v>0.34375</v>
      </c>
    </row>
    <row r="497" spans="5:6" x14ac:dyDescent="0.3">
      <c r="E497" s="81">
        <v>0.34375</v>
      </c>
      <c r="F497" s="83">
        <f t="shared" si="7"/>
        <v>0.35416666666666669</v>
      </c>
    </row>
    <row r="498" spans="5:6" x14ac:dyDescent="0.3">
      <c r="E498" s="81">
        <v>0.344444444444444</v>
      </c>
      <c r="F498" s="83">
        <f t="shared" si="7"/>
        <v>0.35416666666666669</v>
      </c>
    </row>
    <row r="499" spans="5:6" x14ac:dyDescent="0.3">
      <c r="E499" s="81">
        <v>0.34513888888888899</v>
      </c>
      <c r="F499" s="83">
        <f t="shared" si="7"/>
        <v>0.35416666666666669</v>
      </c>
    </row>
    <row r="500" spans="5:6" x14ac:dyDescent="0.3">
      <c r="E500" s="81">
        <v>0.34583333333333299</v>
      </c>
      <c r="F500" s="83">
        <f t="shared" si="7"/>
        <v>0.35416666666666669</v>
      </c>
    </row>
    <row r="501" spans="5:6" x14ac:dyDescent="0.3">
      <c r="E501" s="81">
        <v>0.34652777777777799</v>
      </c>
      <c r="F501" s="83">
        <f t="shared" si="7"/>
        <v>0.35416666666666669</v>
      </c>
    </row>
    <row r="502" spans="5:6" x14ac:dyDescent="0.3">
      <c r="E502" s="81">
        <v>0.34722222222222199</v>
      </c>
      <c r="F502" s="83">
        <f t="shared" si="7"/>
        <v>0.35416666666666669</v>
      </c>
    </row>
    <row r="503" spans="5:6" x14ac:dyDescent="0.3">
      <c r="E503" s="81">
        <v>0.34791666666666698</v>
      </c>
      <c r="F503" s="83">
        <f t="shared" si="7"/>
        <v>0.35416666666666669</v>
      </c>
    </row>
    <row r="504" spans="5:6" x14ac:dyDescent="0.3">
      <c r="E504" s="81">
        <v>0.34861111111111098</v>
      </c>
      <c r="F504" s="83">
        <f t="shared" si="7"/>
        <v>0.35416666666666669</v>
      </c>
    </row>
    <row r="505" spans="5:6" x14ac:dyDescent="0.3">
      <c r="E505" s="81">
        <v>0.34930555555555598</v>
      </c>
      <c r="F505" s="83">
        <f t="shared" si="7"/>
        <v>0.35416666666666669</v>
      </c>
    </row>
    <row r="506" spans="5:6" x14ac:dyDescent="0.3">
      <c r="E506" s="81">
        <v>0.35</v>
      </c>
      <c r="F506" s="83">
        <f t="shared" si="7"/>
        <v>0.35416666666666669</v>
      </c>
    </row>
    <row r="507" spans="5:6" x14ac:dyDescent="0.3">
      <c r="E507" s="81">
        <v>0.35069444444444398</v>
      </c>
      <c r="F507" s="83">
        <f t="shared" si="7"/>
        <v>0.35416666666666669</v>
      </c>
    </row>
    <row r="508" spans="5:6" x14ac:dyDescent="0.3">
      <c r="E508" s="81">
        <v>0.35138888888888897</v>
      </c>
      <c r="F508" s="83">
        <f t="shared" si="7"/>
        <v>0.35416666666666669</v>
      </c>
    </row>
    <row r="509" spans="5:6" x14ac:dyDescent="0.3">
      <c r="E509" s="81">
        <v>0.35208333333333303</v>
      </c>
      <c r="F509" s="83">
        <f t="shared" si="7"/>
        <v>0.35416666666666669</v>
      </c>
    </row>
    <row r="510" spans="5:6" x14ac:dyDescent="0.3">
      <c r="E510" s="81">
        <v>0.35277777777777802</v>
      </c>
      <c r="F510" s="83">
        <f t="shared" si="7"/>
        <v>0.35416666666666669</v>
      </c>
    </row>
    <row r="511" spans="5:6" x14ac:dyDescent="0.3">
      <c r="E511" s="81">
        <v>0.35347222222222202</v>
      </c>
      <c r="F511" s="83">
        <f t="shared" si="7"/>
        <v>0.35416666666666669</v>
      </c>
    </row>
    <row r="512" spans="5:6" x14ac:dyDescent="0.3">
      <c r="E512" s="81">
        <v>0.35416666666666702</v>
      </c>
      <c r="F512" s="83">
        <f t="shared" si="7"/>
        <v>0.36458333333333331</v>
      </c>
    </row>
    <row r="513" spans="5:6" x14ac:dyDescent="0.3">
      <c r="E513" s="81">
        <v>0.35486111111111102</v>
      </c>
      <c r="F513" s="83">
        <f t="shared" si="7"/>
        <v>0.36458333333333331</v>
      </c>
    </row>
    <row r="514" spans="5:6" x14ac:dyDescent="0.3">
      <c r="E514" s="81">
        <v>0.35555555555555601</v>
      </c>
      <c r="F514" s="83">
        <f t="shared" si="7"/>
        <v>0.36458333333333331</v>
      </c>
    </row>
    <row r="515" spans="5:6" x14ac:dyDescent="0.3">
      <c r="E515" s="81">
        <v>0.35625000000000001</v>
      </c>
      <c r="F515" s="83">
        <f t="shared" ref="F515:F578" si="8">ROUNDUP(E515*4*24+1/60/24,0)/4/24</f>
        <v>0.36458333333333331</v>
      </c>
    </row>
    <row r="516" spans="5:6" x14ac:dyDescent="0.3">
      <c r="E516" s="81">
        <v>0.35694444444444401</v>
      </c>
      <c r="F516" s="83">
        <f t="shared" si="8"/>
        <v>0.36458333333333331</v>
      </c>
    </row>
    <row r="517" spans="5:6" x14ac:dyDescent="0.3">
      <c r="E517" s="81">
        <v>0.35763888888888901</v>
      </c>
      <c r="F517" s="83">
        <f t="shared" si="8"/>
        <v>0.36458333333333331</v>
      </c>
    </row>
    <row r="518" spans="5:6" x14ac:dyDescent="0.3">
      <c r="E518" s="81">
        <v>0.358333333333333</v>
      </c>
      <c r="F518" s="83">
        <f t="shared" si="8"/>
        <v>0.36458333333333331</v>
      </c>
    </row>
    <row r="519" spans="5:6" x14ac:dyDescent="0.3">
      <c r="E519" s="81">
        <v>0.359027777777778</v>
      </c>
      <c r="F519" s="83">
        <f t="shared" si="8"/>
        <v>0.36458333333333331</v>
      </c>
    </row>
    <row r="520" spans="5:6" x14ac:dyDescent="0.3">
      <c r="E520" s="81">
        <v>0.359722222222222</v>
      </c>
      <c r="F520" s="83">
        <f t="shared" si="8"/>
        <v>0.36458333333333331</v>
      </c>
    </row>
    <row r="521" spans="5:6" x14ac:dyDescent="0.3">
      <c r="E521" s="81">
        <v>0.360416666666667</v>
      </c>
      <c r="F521" s="83">
        <f t="shared" si="8"/>
        <v>0.36458333333333331</v>
      </c>
    </row>
    <row r="522" spans="5:6" x14ac:dyDescent="0.3">
      <c r="E522" s="81">
        <v>0.36111111111111099</v>
      </c>
      <c r="F522" s="83">
        <f t="shared" si="8"/>
        <v>0.36458333333333331</v>
      </c>
    </row>
    <row r="523" spans="5:6" x14ac:dyDescent="0.3">
      <c r="E523" s="81">
        <v>0.36180555555555599</v>
      </c>
      <c r="F523" s="83">
        <f t="shared" si="8"/>
        <v>0.36458333333333331</v>
      </c>
    </row>
    <row r="524" spans="5:6" x14ac:dyDescent="0.3">
      <c r="E524" s="81">
        <v>0.36249999999999999</v>
      </c>
      <c r="F524" s="83">
        <f t="shared" si="8"/>
        <v>0.36458333333333331</v>
      </c>
    </row>
    <row r="525" spans="5:6" x14ac:dyDescent="0.3">
      <c r="E525" s="81">
        <v>0.36319444444444399</v>
      </c>
      <c r="F525" s="83">
        <f t="shared" si="8"/>
        <v>0.36458333333333331</v>
      </c>
    </row>
    <row r="526" spans="5:6" x14ac:dyDescent="0.3">
      <c r="E526" s="81">
        <v>0.36388888888888898</v>
      </c>
      <c r="F526" s="83">
        <f t="shared" si="8"/>
        <v>0.36458333333333331</v>
      </c>
    </row>
    <row r="527" spans="5:6" x14ac:dyDescent="0.3">
      <c r="E527" s="81">
        <v>0.36458333333333298</v>
      </c>
      <c r="F527" s="83">
        <f t="shared" si="8"/>
        <v>0.375</v>
      </c>
    </row>
    <row r="528" spans="5:6" x14ac:dyDescent="0.3">
      <c r="E528" s="81">
        <v>0.36527777777777798</v>
      </c>
      <c r="F528" s="83">
        <f t="shared" si="8"/>
        <v>0.375</v>
      </c>
    </row>
    <row r="529" spans="5:6" x14ac:dyDescent="0.3">
      <c r="E529" s="81">
        <v>0.36597222222222198</v>
      </c>
      <c r="F529" s="83">
        <f t="shared" si="8"/>
        <v>0.375</v>
      </c>
    </row>
    <row r="530" spans="5:6" x14ac:dyDescent="0.3">
      <c r="E530" s="81">
        <v>0.36666666666666697</v>
      </c>
      <c r="F530" s="83">
        <f t="shared" si="8"/>
        <v>0.375</v>
      </c>
    </row>
    <row r="531" spans="5:6" x14ac:dyDescent="0.3">
      <c r="E531" s="81">
        <v>0.36736111111111103</v>
      </c>
      <c r="F531" s="83">
        <f t="shared" si="8"/>
        <v>0.375</v>
      </c>
    </row>
    <row r="532" spans="5:6" x14ac:dyDescent="0.3">
      <c r="E532" s="81">
        <v>0.36805555555555602</v>
      </c>
      <c r="F532" s="83">
        <f t="shared" si="8"/>
        <v>0.375</v>
      </c>
    </row>
    <row r="533" spans="5:6" x14ac:dyDescent="0.3">
      <c r="E533" s="81">
        <v>0.36875000000000002</v>
      </c>
      <c r="F533" s="83">
        <f t="shared" si="8"/>
        <v>0.375</v>
      </c>
    </row>
    <row r="534" spans="5:6" x14ac:dyDescent="0.3">
      <c r="E534" s="81">
        <v>0.36944444444444402</v>
      </c>
      <c r="F534" s="83">
        <f t="shared" si="8"/>
        <v>0.375</v>
      </c>
    </row>
    <row r="535" spans="5:6" x14ac:dyDescent="0.3">
      <c r="E535" s="81">
        <v>0.37013888888888902</v>
      </c>
      <c r="F535" s="83">
        <f t="shared" si="8"/>
        <v>0.375</v>
      </c>
    </row>
    <row r="536" spans="5:6" x14ac:dyDescent="0.3">
      <c r="E536" s="81">
        <v>0.37083333333333302</v>
      </c>
      <c r="F536" s="83">
        <f t="shared" si="8"/>
        <v>0.375</v>
      </c>
    </row>
    <row r="537" spans="5:6" x14ac:dyDescent="0.3">
      <c r="E537" s="81">
        <v>0.37152777777777801</v>
      </c>
      <c r="F537" s="83">
        <f t="shared" si="8"/>
        <v>0.375</v>
      </c>
    </row>
    <row r="538" spans="5:6" x14ac:dyDescent="0.3">
      <c r="E538" s="81">
        <v>0.37222222222222201</v>
      </c>
      <c r="F538" s="83">
        <f t="shared" si="8"/>
        <v>0.375</v>
      </c>
    </row>
    <row r="539" spans="5:6" x14ac:dyDescent="0.3">
      <c r="E539" s="81">
        <v>0.37291666666666701</v>
      </c>
      <c r="F539" s="83">
        <f t="shared" si="8"/>
        <v>0.375</v>
      </c>
    </row>
    <row r="540" spans="5:6" x14ac:dyDescent="0.3">
      <c r="E540" s="81">
        <v>0.37361111111111101</v>
      </c>
      <c r="F540" s="83">
        <f t="shared" si="8"/>
        <v>0.375</v>
      </c>
    </row>
    <row r="541" spans="5:6" x14ac:dyDescent="0.3">
      <c r="E541" s="81">
        <v>0.374305555555556</v>
      </c>
      <c r="F541" s="83">
        <f t="shared" si="8"/>
        <v>0.375</v>
      </c>
    </row>
    <row r="542" spans="5:6" x14ac:dyDescent="0.3">
      <c r="E542" s="81">
        <v>0.375</v>
      </c>
      <c r="F542" s="83">
        <f t="shared" si="8"/>
        <v>0.38541666666666669</v>
      </c>
    </row>
    <row r="543" spans="5:6" x14ac:dyDescent="0.3">
      <c r="E543" s="81">
        <v>0.375694444444444</v>
      </c>
      <c r="F543" s="83">
        <f t="shared" si="8"/>
        <v>0.38541666666666669</v>
      </c>
    </row>
    <row r="544" spans="5:6" x14ac:dyDescent="0.3">
      <c r="E544" s="81">
        <v>0.37638888888888899</v>
      </c>
      <c r="F544" s="83">
        <f t="shared" si="8"/>
        <v>0.38541666666666669</v>
      </c>
    </row>
    <row r="545" spans="5:6" x14ac:dyDescent="0.3">
      <c r="E545" s="81">
        <v>0.37708333333333299</v>
      </c>
      <c r="F545" s="83">
        <f t="shared" si="8"/>
        <v>0.38541666666666669</v>
      </c>
    </row>
    <row r="546" spans="5:6" x14ac:dyDescent="0.3">
      <c r="E546" s="81">
        <v>0.37777777777777799</v>
      </c>
      <c r="F546" s="83">
        <f t="shared" si="8"/>
        <v>0.38541666666666669</v>
      </c>
    </row>
    <row r="547" spans="5:6" x14ac:dyDescent="0.3">
      <c r="E547" s="81">
        <v>0.37847222222222199</v>
      </c>
      <c r="F547" s="83">
        <f t="shared" si="8"/>
        <v>0.38541666666666669</v>
      </c>
    </row>
    <row r="548" spans="5:6" x14ac:dyDescent="0.3">
      <c r="E548" s="81">
        <v>0.37916666666666698</v>
      </c>
      <c r="F548" s="83">
        <f t="shared" si="8"/>
        <v>0.38541666666666669</v>
      </c>
    </row>
    <row r="549" spans="5:6" x14ac:dyDescent="0.3">
      <c r="E549" s="81">
        <v>0.37986111111111098</v>
      </c>
      <c r="F549" s="83">
        <f t="shared" si="8"/>
        <v>0.38541666666666669</v>
      </c>
    </row>
    <row r="550" spans="5:6" x14ac:dyDescent="0.3">
      <c r="E550" s="81">
        <v>0.38055555555555598</v>
      </c>
      <c r="F550" s="83">
        <f t="shared" si="8"/>
        <v>0.38541666666666669</v>
      </c>
    </row>
    <row r="551" spans="5:6" x14ac:dyDescent="0.3">
      <c r="E551" s="81">
        <v>0.38124999999999998</v>
      </c>
      <c r="F551" s="83">
        <f t="shared" si="8"/>
        <v>0.38541666666666669</v>
      </c>
    </row>
    <row r="552" spans="5:6" x14ac:dyDescent="0.3">
      <c r="E552" s="81">
        <v>0.38194444444444398</v>
      </c>
      <c r="F552" s="83">
        <f t="shared" si="8"/>
        <v>0.38541666666666669</v>
      </c>
    </row>
    <row r="553" spans="5:6" x14ac:dyDescent="0.3">
      <c r="E553" s="81">
        <v>0.38263888888888897</v>
      </c>
      <c r="F553" s="83">
        <f t="shared" si="8"/>
        <v>0.38541666666666669</v>
      </c>
    </row>
    <row r="554" spans="5:6" x14ac:dyDescent="0.3">
      <c r="E554" s="81">
        <v>0.38333333333333303</v>
      </c>
      <c r="F554" s="83">
        <f t="shared" si="8"/>
        <v>0.38541666666666669</v>
      </c>
    </row>
    <row r="555" spans="5:6" x14ac:dyDescent="0.3">
      <c r="E555" s="81">
        <v>0.38402777777777802</v>
      </c>
      <c r="F555" s="83">
        <f t="shared" si="8"/>
        <v>0.38541666666666669</v>
      </c>
    </row>
    <row r="556" spans="5:6" x14ac:dyDescent="0.3">
      <c r="E556" s="81">
        <v>0.38472222222222202</v>
      </c>
      <c r="F556" s="83">
        <f t="shared" si="8"/>
        <v>0.38541666666666669</v>
      </c>
    </row>
    <row r="557" spans="5:6" x14ac:dyDescent="0.3">
      <c r="E557" s="81">
        <v>0.38541666666666702</v>
      </c>
      <c r="F557" s="83">
        <f t="shared" si="8"/>
        <v>0.39583333333333331</v>
      </c>
    </row>
    <row r="558" spans="5:6" x14ac:dyDescent="0.3">
      <c r="E558" s="81">
        <v>0.38611111111111102</v>
      </c>
      <c r="F558" s="83">
        <f t="shared" si="8"/>
        <v>0.39583333333333331</v>
      </c>
    </row>
    <row r="559" spans="5:6" x14ac:dyDescent="0.3">
      <c r="E559" s="81">
        <v>0.38680555555555601</v>
      </c>
      <c r="F559" s="83">
        <f t="shared" si="8"/>
        <v>0.39583333333333331</v>
      </c>
    </row>
    <row r="560" spans="5:6" x14ac:dyDescent="0.3">
      <c r="E560" s="81">
        <v>0.38750000000000001</v>
      </c>
      <c r="F560" s="83">
        <f t="shared" si="8"/>
        <v>0.39583333333333331</v>
      </c>
    </row>
    <row r="561" spans="5:6" x14ac:dyDescent="0.3">
      <c r="E561" s="81">
        <v>0.38819444444444401</v>
      </c>
      <c r="F561" s="83">
        <f t="shared" si="8"/>
        <v>0.39583333333333331</v>
      </c>
    </row>
    <row r="562" spans="5:6" x14ac:dyDescent="0.3">
      <c r="E562" s="81">
        <v>0.38888888888888901</v>
      </c>
      <c r="F562" s="83">
        <f t="shared" si="8"/>
        <v>0.39583333333333331</v>
      </c>
    </row>
    <row r="563" spans="5:6" x14ac:dyDescent="0.3">
      <c r="E563" s="81">
        <v>0.389583333333333</v>
      </c>
      <c r="F563" s="83">
        <f t="shared" si="8"/>
        <v>0.39583333333333331</v>
      </c>
    </row>
    <row r="564" spans="5:6" x14ac:dyDescent="0.3">
      <c r="E564" s="81">
        <v>0.390277777777778</v>
      </c>
      <c r="F564" s="83">
        <f t="shared" si="8"/>
        <v>0.39583333333333331</v>
      </c>
    </row>
    <row r="565" spans="5:6" x14ac:dyDescent="0.3">
      <c r="E565" s="81">
        <v>0.390972222222222</v>
      </c>
      <c r="F565" s="83">
        <f t="shared" si="8"/>
        <v>0.39583333333333331</v>
      </c>
    </row>
    <row r="566" spans="5:6" x14ac:dyDescent="0.3">
      <c r="E566" s="81">
        <v>0.391666666666667</v>
      </c>
      <c r="F566" s="83">
        <f t="shared" si="8"/>
        <v>0.39583333333333331</v>
      </c>
    </row>
    <row r="567" spans="5:6" x14ac:dyDescent="0.3">
      <c r="E567" s="81">
        <v>0.39236111111111099</v>
      </c>
      <c r="F567" s="83">
        <f t="shared" si="8"/>
        <v>0.39583333333333331</v>
      </c>
    </row>
    <row r="568" spans="5:6" x14ac:dyDescent="0.3">
      <c r="E568" s="81">
        <v>0.39305555555555599</v>
      </c>
      <c r="F568" s="83">
        <f t="shared" si="8"/>
        <v>0.39583333333333331</v>
      </c>
    </row>
    <row r="569" spans="5:6" x14ac:dyDescent="0.3">
      <c r="E569" s="81">
        <v>0.39374999999999999</v>
      </c>
      <c r="F569" s="83">
        <f t="shared" si="8"/>
        <v>0.39583333333333331</v>
      </c>
    </row>
    <row r="570" spans="5:6" x14ac:dyDescent="0.3">
      <c r="E570" s="81">
        <v>0.39444444444444399</v>
      </c>
      <c r="F570" s="83">
        <f t="shared" si="8"/>
        <v>0.39583333333333331</v>
      </c>
    </row>
    <row r="571" spans="5:6" x14ac:dyDescent="0.3">
      <c r="E571" s="81">
        <v>0.39513888888888898</v>
      </c>
      <c r="F571" s="83">
        <f t="shared" si="8"/>
        <v>0.39583333333333331</v>
      </c>
    </row>
    <row r="572" spans="5:6" x14ac:dyDescent="0.3">
      <c r="E572" s="81">
        <v>0.39583333333333298</v>
      </c>
      <c r="F572" s="83">
        <f t="shared" si="8"/>
        <v>0.40625</v>
      </c>
    </row>
    <row r="573" spans="5:6" x14ac:dyDescent="0.3">
      <c r="E573" s="81">
        <v>0.39652777777777798</v>
      </c>
      <c r="F573" s="83">
        <f t="shared" si="8"/>
        <v>0.40625</v>
      </c>
    </row>
    <row r="574" spans="5:6" x14ac:dyDescent="0.3">
      <c r="E574" s="81">
        <v>0.39722222222222198</v>
      </c>
      <c r="F574" s="83">
        <f t="shared" si="8"/>
        <v>0.40625</v>
      </c>
    </row>
    <row r="575" spans="5:6" x14ac:dyDescent="0.3">
      <c r="E575" s="81">
        <v>0.39791666666666697</v>
      </c>
      <c r="F575" s="83">
        <f t="shared" si="8"/>
        <v>0.40625</v>
      </c>
    </row>
    <row r="576" spans="5:6" x14ac:dyDescent="0.3">
      <c r="E576" s="81">
        <v>0.39861111111111103</v>
      </c>
      <c r="F576" s="83">
        <f t="shared" si="8"/>
        <v>0.40625</v>
      </c>
    </row>
    <row r="577" spans="5:6" x14ac:dyDescent="0.3">
      <c r="E577" s="81">
        <v>0.39930555555555602</v>
      </c>
      <c r="F577" s="83">
        <f t="shared" si="8"/>
        <v>0.40625</v>
      </c>
    </row>
    <row r="578" spans="5:6" x14ac:dyDescent="0.3">
      <c r="E578" s="81">
        <v>0.4</v>
      </c>
      <c r="F578" s="83">
        <f t="shared" si="8"/>
        <v>0.40625</v>
      </c>
    </row>
    <row r="579" spans="5:6" x14ac:dyDescent="0.3">
      <c r="E579" s="81">
        <v>0.40069444444444402</v>
      </c>
      <c r="F579" s="83">
        <f t="shared" ref="F579:F642" si="9">ROUNDUP(E579*4*24+1/60/24,0)/4/24</f>
        <v>0.40625</v>
      </c>
    </row>
    <row r="580" spans="5:6" x14ac:dyDescent="0.3">
      <c r="E580" s="81">
        <v>0.40138888888888902</v>
      </c>
      <c r="F580" s="83">
        <f t="shared" si="9"/>
        <v>0.40625</v>
      </c>
    </row>
    <row r="581" spans="5:6" x14ac:dyDescent="0.3">
      <c r="E581" s="81">
        <v>0.40208333333333302</v>
      </c>
      <c r="F581" s="83">
        <f t="shared" si="9"/>
        <v>0.40625</v>
      </c>
    </row>
    <row r="582" spans="5:6" x14ac:dyDescent="0.3">
      <c r="E582" s="81">
        <v>0.40277777777777801</v>
      </c>
      <c r="F582" s="83">
        <f t="shared" si="9"/>
        <v>0.40625</v>
      </c>
    </row>
    <row r="583" spans="5:6" x14ac:dyDescent="0.3">
      <c r="E583" s="81">
        <v>0.40347222222222201</v>
      </c>
      <c r="F583" s="83">
        <f t="shared" si="9"/>
        <v>0.40625</v>
      </c>
    </row>
    <row r="584" spans="5:6" x14ac:dyDescent="0.3">
      <c r="E584" s="81">
        <v>0.40416666666666701</v>
      </c>
      <c r="F584" s="83">
        <f t="shared" si="9"/>
        <v>0.40625</v>
      </c>
    </row>
    <row r="585" spans="5:6" x14ac:dyDescent="0.3">
      <c r="E585" s="81">
        <v>0.40486111111111101</v>
      </c>
      <c r="F585" s="83">
        <f t="shared" si="9"/>
        <v>0.40625</v>
      </c>
    </row>
    <row r="586" spans="5:6" x14ac:dyDescent="0.3">
      <c r="E586" s="81">
        <v>0.405555555555556</v>
      </c>
      <c r="F586" s="83">
        <f t="shared" si="9"/>
        <v>0.40625</v>
      </c>
    </row>
    <row r="587" spans="5:6" x14ac:dyDescent="0.3">
      <c r="E587" s="81">
        <v>0.40625</v>
      </c>
      <c r="F587" s="83">
        <f t="shared" si="9"/>
        <v>0.41666666666666669</v>
      </c>
    </row>
    <row r="588" spans="5:6" x14ac:dyDescent="0.3">
      <c r="E588" s="81">
        <v>0.406944444444444</v>
      </c>
      <c r="F588" s="83">
        <f t="shared" si="9"/>
        <v>0.41666666666666669</v>
      </c>
    </row>
    <row r="589" spans="5:6" x14ac:dyDescent="0.3">
      <c r="E589" s="81">
        <v>0.40763888888888899</v>
      </c>
      <c r="F589" s="83">
        <f t="shared" si="9"/>
        <v>0.41666666666666669</v>
      </c>
    </row>
    <row r="590" spans="5:6" x14ac:dyDescent="0.3">
      <c r="E590" s="81">
        <v>0.40833333333333299</v>
      </c>
      <c r="F590" s="83">
        <f t="shared" si="9"/>
        <v>0.41666666666666669</v>
      </c>
    </row>
    <row r="591" spans="5:6" x14ac:dyDescent="0.3">
      <c r="E591" s="81">
        <v>0.40902777777777799</v>
      </c>
      <c r="F591" s="83">
        <f t="shared" si="9"/>
        <v>0.41666666666666669</v>
      </c>
    </row>
    <row r="592" spans="5:6" x14ac:dyDescent="0.3">
      <c r="E592" s="81">
        <v>0.40972222222222199</v>
      </c>
      <c r="F592" s="83">
        <f t="shared" si="9"/>
        <v>0.41666666666666669</v>
      </c>
    </row>
    <row r="593" spans="5:6" x14ac:dyDescent="0.3">
      <c r="E593" s="81">
        <v>0.41041666666666698</v>
      </c>
      <c r="F593" s="83">
        <f t="shared" si="9"/>
        <v>0.41666666666666669</v>
      </c>
    </row>
    <row r="594" spans="5:6" x14ac:dyDescent="0.3">
      <c r="E594" s="81">
        <v>0.41111111111111098</v>
      </c>
      <c r="F594" s="83">
        <f t="shared" si="9"/>
        <v>0.41666666666666669</v>
      </c>
    </row>
    <row r="595" spans="5:6" x14ac:dyDescent="0.3">
      <c r="E595" s="81">
        <v>0.41180555555555598</v>
      </c>
      <c r="F595" s="83">
        <f t="shared" si="9"/>
        <v>0.41666666666666669</v>
      </c>
    </row>
    <row r="596" spans="5:6" x14ac:dyDescent="0.3">
      <c r="E596" s="81">
        <v>0.41249999999999998</v>
      </c>
      <c r="F596" s="83">
        <f t="shared" si="9"/>
        <v>0.41666666666666669</v>
      </c>
    </row>
    <row r="597" spans="5:6" x14ac:dyDescent="0.3">
      <c r="E597" s="81">
        <v>0.41319444444444398</v>
      </c>
      <c r="F597" s="83">
        <f t="shared" si="9"/>
        <v>0.41666666666666669</v>
      </c>
    </row>
    <row r="598" spans="5:6" x14ac:dyDescent="0.3">
      <c r="E598" s="81">
        <v>0.41388888888888897</v>
      </c>
      <c r="F598" s="83">
        <f t="shared" si="9"/>
        <v>0.41666666666666669</v>
      </c>
    </row>
    <row r="599" spans="5:6" x14ac:dyDescent="0.3">
      <c r="E599" s="81">
        <v>0.41458333333333303</v>
      </c>
      <c r="F599" s="83">
        <f t="shared" si="9"/>
        <v>0.41666666666666669</v>
      </c>
    </row>
    <row r="600" spans="5:6" x14ac:dyDescent="0.3">
      <c r="E600" s="81">
        <v>0.41527777777777802</v>
      </c>
      <c r="F600" s="83">
        <f t="shared" si="9"/>
        <v>0.41666666666666669</v>
      </c>
    </row>
    <row r="601" spans="5:6" x14ac:dyDescent="0.3">
      <c r="E601" s="81">
        <v>0.41597222222222202</v>
      </c>
      <c r="F601" s="83">
        <f t="shared" si="9"/>
        <v>0.41666666666666669</v>
      </c>
    </row>
    <row r="602" spans="5:6" x14ac:dyDescent="0.3">
      <c r="E602" s="81">
        <v>0.41666666666666702</v>
      </c>
      <c r="F602" s="83">
        <f t="shared" si="9"/>
        <v>0.42708333333333331</v>
      </c>
    </row>
    <row r="603" spans="5:6" x14ac:dyDescent="0.3">
      <c r="E603" s="81">
        <v>0.41736111111111102</v>
      </c>
      <c r="F603" s="83">
        <f t="shared" si="9"/>
        <v>0.42708333333333331</v>
      </c>
    </row>
    <row r="604" spans="5:6" x14ac:dyDescent="0.3">
      <c r="E604" s="81">
        <v>0.41805555555555601</v>
      </c>
      <c r="F604" s="83">
        <f t="shared" si="9"/>
        <v>0.42708333333333331</v>
      </c>
    </row>
    <row r="605" spans="5:6" x14ac:dyDescent="0.3">
      <c r="E605" s="81">
        <v>0.41875000000000001</v>
      </c>
      <c r="F605" s="83">
        <f t="shared" si="9"/>
        <v>0.42708333333333331</v>
      </c>
    </row>
    <row r="606" spans="5:6" x14ac:dyDescent="0.3">
      <c r="E606" s="81">
        <v>0.41944444444444401</v>
      </c>
      <c r="F606" s="83">
        <f t="shared" si="9"/>
        <v>0.42708333333333331</v>
      </c>
    </row>
    <row r="607" spans="5:6" x14ac:dyDescent="0.3">
      <c r="E607" s="81">
        <v>0.42013888888888901</v>
      </c>
      <c r="F607" s="83">
        <f t="shared" si="9"/>
        <v>0.42708333333333331</v>
      </c>
    </row>
    <row r="608" spans="5:6" x14ac:dyDescent="0.3">
      <c r="E608" s="81">
        <v>0.420833333333333</v>
      </c>
      <c r="F608" s="83">
        <f t="shared" si="9"/>
        <v>0.42708333333333331</v>
      </c>
    </row>
    <row r="609" spans="5:6" x14ac:dyDescent="0.3">
      <c r="E609" s="81">
        <v>0.421527777777778</v>
      </c>
      <c r="F609" s="83">
        <f t="shared" si="9"/>
        <v>0.42708333333333331</v>
      </c>
    </row>
    <row r="610" spans="5:6" x14ac:dyDescent="0.3">
      <c r="E610" s="81">
        <v>0.422222222222222</v>
      </c>
      <c r="F610" s="83">
        <f t="shared" si="9"/>
        <v>0.42708333333333331</v>
      </c>
    </row>
    <row r="611" spans="5:6" x14ac:dyDescent="0.3">
      <c r="E611" s="81">
        <v>0.422916666666667</v>
      </c>
      <c r="F611" s="83">
        <f t="shared" si="9"/>
        <v>0.42708333333333331</v>
      </c>
    </row>
    <row r="612" spans="5:6" x14ac:dyDescent="0.3">
      <c r="E612" s="81">
        <v>0.42361111111111099</v>
      </c>
      <c r="F612" s="83">
        <f t="shared" si="9"/>
        <v>0.42708333333333331</v>
      </c>
    </row>
    <row r="613" spans="5:6" x14ac:dyDescent="0.3">
      <c r="E613" s="81">
        <v>0.42430555555555599</v>
      </c>
      <c r="F613" s="83">
        <f t="shared" si="9"/>
        <v>0.42708333333333331</v>
      </c>
    </row>
    <row r="614" spans="5:6" x14ac:dyDescent="0.3">
      <c r="E614" s="81">
        <v>0.42499999999999999</v>
      </c>
      <c r="F614" s="83">
        <f t="shared" si="9"/>
        <v>0.42708333333333331</v>
      </c>
    </row>
    <row r="615" spans="5:6" x14ac:dyDescent="0.3">
      <c r="E615" s="81">
        <v>0.42569444444444399</v>
      </c>
      <c r="F615" s="83">
        <f t="shared" si="9"/>
        <v>0.42708333333333331</v>
      </c>
    </row>
    <row r="616" spans="5:6" x14ac:dyDescent="0.3">
      <c r="E616" s="81">
        <v>0.42638888888888898</v>
      </c>
      <c r="F616" s="83">
        <f t="shared" si="9"/>
        <v>0.42708333333333331</v>
      </c>
    </row>
    <row r="617" spans="5:6" x14ac:dyDescent="0.3">
      <c r="E617" s="81">
        <v>0.42708333333333298</v>
      </c>
      <c r="F617" s="83">
        <f t="shared" si="9"/>
        <v>0.4375</v>
      </c>
    </row>
    <row r="618" spans="5:6" x14ac:dyDescent="0.3">
      <c r="E618" s="81">
        <v>0.42777777777777798</v>
      </c>
      <c r="F618" s="83">
        <f t="shared" si="9"/>
        <v>0.4375</v>
      </c>
    </row>
    <row r="619" spans="5:6" x14ac:dyDescent="0.3">
      <c r="E619" s="81">
        <v>0.42847222222222198</v>
      </c>
      <c r="F619" s="83">
        <f t="shared" si="9"/>
        <v>0.4375</v>
      </c>
    </row>
    <row r="620" spans="5:6" x14ac:dyDescent="0.3">
      <c r="E620" s="81">
        <v>0.42916666666666697</v>
      </c>
      <c r="F620" s="83">
        <f t="shared" si="9"/>
        <v>0.4375</v>
      </c>
    </row>
    <row r="621" spans="5:6" x14ac:dyDescent="0.3">
      <c r="E621" s="81">
        <v>0.42986111111111103</v>
      </c>
      <c r="F621" s="83">
        <f t="shared" si="9"/>
        <v>0.4375</v>
      </c>
    </row>
    <row r="622" spans="5:6" x14ac:dyDescent="0.3">
      <c r="E622" s="81">
        <v>0.43055555555555602</v>
      </c>
      <c r="F622" s="83">
        <f t="shared" si="9"/>
        <v>0.4375</v>
      </c>
    </row>
    <row r="623" spans="5:6" x14ac:dyDescent="0.3">
      <c r="E623" s="81">
        <v>0.43125000000000002</v>
      </c>
      <c r="F623" s="83">
        <f t="shared" si="9"/>
        <v>0.4375</v>
      </c>
    </row>
    <row r="624" spans="5:6" x14ac:dyDescent="0.3">
      <c r="E624" s="81">
        <v>0.43194444444444402</v>
      </c>
      <c r="F624" s="83">
        <f t="shared" si="9"/>
        <v>0.4375</v>
      </c>
    </row>
    <row r="625" spans="5:6" x14ac:dyDescent="0.3">
      <c r="E625" s="81">
        <v>0.43263888888888902</v>
      </c>
      <c r="F625" s="83">
        <f t="shared" si="9"/>
        <v>0.4375</v>
      </c>
    </row>
    <row r="626" spans="5:6" x14ac:dyDescent="0.3">
      <c r="E626" s="81">
        <v>0.43333333333333302</v>
      </c>
      <c r="F626" s="83">
        <f t="shared" si="9"/>
        <v>0.4375</v>
      </c>
    </row>
    <row r="627" spans="5:6" x14ac:dyDescent="0.3">
      <c r="E627" s="81">
        <v>0.43402777777777801</v>
      </c>
      <c r="F627" s="83">
        <f t="shared" si="9"/>
        <v>0.4375</v>
      </c>
    </row>
    <row r="628" spans="5:6" x14ac:dyDescent="0.3">
      <c r="E628" s="81">
        <v>0.43472222222222201</v>
      </c>
      <c r="F628" s="83">
        <f t="shared" si="9"/>
        <v>0.4375</v>
      </c>
    </row>
    <row r="629" spans="5:6" x14ac:dyDescent="0.3">
      <c r="E629" s="81">
        <v>0.43541666666666701</v>
      </c>
      <c r="F629" s="83">
        <f t="shared" si="9"/>
        <v>0.4375</v>
      </c>
    </row>
    <row r="630" spans="5:6" x14ac:dyDescent="0.3">
      <c r="E630" s="81">
        <v>0.43611111111111101</v>
      </c>
      <c r="F630" s="83">
        <f t="shared" si="9"/>
        <v>0.4375</v>
      </c>
    </row>
    <row r="631" spans="5:6" x14ac:dyDescent="0.3">
      <c r="E631" s="81">
        <v>0.436805555555556</v>
      </c>
      <c r="F631" s="83">
        <f t="shared" si="9"/>
        <v>0.4375</v>
      </c>
    </row>
    <row r="632" spans="5:6" x14ac:dyDescent="0.3">
      <c r="E632" s="81">
        <v>0.4375</v>
      </c>
      <c r="F632" s="83">
        <f t="shared" si="9"/>
        <v>0.44791666666666669</v>
      </c>
    </row>
    <row r="633" spans="5:6" x14ac:dyDescent="0.3">
      <c r="E633" s="81">
        <v>0.438194444444444</v>
      </c>
      <c r="F633" s="83">
        <f t="shared" si="9"/>
        <v>0.44791666666666669</v>
      </c>
    </row>
    <row r="634" spans="5:6" x14ac:dyDescent="0.3">
      <c r="E634" s="81">
        <v>0.43888888888888899</v>
      </c>
      <c r="F634" s="83">
        <f t="shared" si="9"/>
        <v>0.44791666666666669</v>
      </c>
    </row>
    <row r="635" spans="5:6" x14ac:dyDescent="0.3">
      <c r="E635" s="81">
        <v>0.43958333333333299</v>
      </c>
      <c r="F635" s="83">
        <f t="shared" si="9"/>
        <v>0.44791666666666669</v>
      </c>
    </row>
    <row r="636" spans="5:6" x14ac:dyDescent="0.3">
      <c r="E636" s="81">
        <v>0.44027777777777799</v>
      </c>
      <c r="F636" s="83">
        <f t="shared" si="9"/>
        <v>0.44791666666666669</v>
      </c>
    </row>
    <row r="637" spans="5:6" x14ac:dyDescent="0.3">
      <c r="E637" s="81">
        <v>0.44097222222222199</v>
      </c>
      <c r="F637" s="83">
        <f t="shared" si="9"/>
        <v>0.44791666666666669</v>
      </c>
    </row>
    <row r="638" spans="5:6" x14ac:dyDescent="0.3">
      <c r="E638" s="81">
        <v>0.44166666666666698</v>
      </c>
      <c r="F638" s="83">
        <f t="shared" si="9"/>
        <v>0.44791666666666669</v>
      </c>
    </row>
    <row r="639" spans="5:6" x14ac:dyDescent="0.3">
      <c r="E639" s="81">
        <v>0.44236111111111098</v>
      </c>
      <c r="F639" s="83">
        <f t="shared" si="9"/>
        <v>0.44791666666666669</v>
      </c>
    </row>
    <row r="640" spans="5:6" x14ac:dyDescent="0.3">
      <c r="E640" s="81">
        <v>0.44305555555555598</v>
      </c>
      <c r="F640" s="83">
        <f t="shared" si="9"/>
        <v>0.44791666666666669</v>
      </c>
    </row>
    <row r="641" spans="5:6" x14ac:dyDescent="0.3">
      <c r="E641" s="81">
        <v>0.44374999999999998</v>
      </c>
      <c r="F641" s="83">
        <f t="shared" si="9"/>
        <v>0.44791666666666669</v>
      </c>
    </row>
    <row r="642" spans="5:6" x14ac:dyDescent="0.3">
      <c r="E642" s="81">
        <v>0.44444444444444398</v>
      </c>
      <c r="F642" s="83">
        <f t="shared" si="9"/>
        <v>0.44791666666666669</v>
      </c>
    </row>
    <row r="643" spans="5:6" x14ac:dyDescent="0.3">
      <c r="E643" s="81">
        <v>0.44513888888888897</v>
      </c>
      <c r="F643" s="83">
        <f t="shared" ref="F643:F706" si="10">ROUNDUP(E643*4*24+1/60/24,0)/4/24</f>
        <v>0.44791666666666669</v>
      </c>
    </row>
    <row r="644" spans="5:6" x14ac:dyDescent="0.3">
      <c r="E644" s="81">
        <v>0.44583333333333303</v>
      </c>
      <c r="F644" s="83">
        <f t="shared" si="10"/>
        <v>0.44791666666666669</v>
      </c>
    </row>
    <row r="645" spans="5:6" x14ac:dyDescent="0.3">
      <c r="E645" s="81">
        <v>0.44652777777777802</v>
      </c>
      <c r="F645" s="83">
        <f t="shared" si="10"/>
        <v>0.44791666666666669</v>
      </c>
    </row>
    <row r="646" spans="5:6" x14ac:dyDescent="0.3">
      <c r="E646" s="81">
        <v>0.44722222222222202</v>
      </c>
      <c r="F646" s="83">
        <f t="shared" si="10"/>
        <v>0.44791666666666669</v>
      </c>
    </row>
    <row r="647" spans="5:6" x14ac:dyDescent="0.3">
      <c r="E647" s="81">
        <v>0.44791666666666702</v>
      </c>
      <c r="F647" s="83">
        <f t="shared" si="10"/>
        <v>0.45833333333333331</v>
      </c>
    </row>
    <row r="648" spans="5:6" x14ac:dyDescent="0.3">
      <c r="E648" s="81">
        <v>0.44861111111111102</v>
      </c>
      <c r="F648" s="83">
        <f t="shared" si="10"/>
        <v>0.45833333333333331</v>
      </c>
    </row>
    <row r="649" spans="5:6" x14ac:dyDescent="0.3">
      <c r="E649" s="81">
        <v>0.44930555555555601</v>
      </c>
      <c r="F649" s="83">
        <f t="shared" si="10"/>
        <v>0.45833333333333331</v>
      </c>
    </row>
    <row r="650" spans="5:6" x14ac:dyDescent="0.3">
      <c r="E650" s="81">
        <v>0.45</v>
      </c>
      <c r="F650" s="83">
        <f t="shared" si="10"/>
        <v>0.45833333333333331</v>
      </c>
    </row>
    <row r="651" spans="5:6" x14ac:dyDescent="0.3">
      <c r="E651" s="81">
        <v>0.45069444444444401</v>
      </c>
      <c r="F651" s="83">
        <f t="shared" si="10"/>
        <v>0.45833333333333331</v>
      </c>
    </row>
    <row r="652" spans="5:6" x14ac:dyDescent="0.3">
      <c r="E652" s="81">
        <v>0.45138888888888901</v>
      </c>
      <c r="F652" s="83">
        <f t="shared" si="10"/>
        <v>0.45833333333333331</v>
      </c>
    </row>
    <row r="653" spans="5:6" x14ac:dyDescent="0.3">
      <c r="E653" s="81">
        <v>0.452083333333333</v>
      </c>
      <c r="F653" s="83">
        <f t="shared" si="10"/>
        <v>0.45833333333333331</v>
      </c>
    </row>
    <row r="654" spans="5:6" x14ac:dyDescent="0.3">
      <c r="E654" s="81">
        <v>0.452777777777778</v>
      </c>
      <c r="F654" s="83">
        <f t="shared" si="10"/>
        <v>0.45833333333333331</v>
      </c>
    </row>
    <row r="655" spans="5:6" x14ac:dyDescent="0.3">
      <c r="E655" s="81">
        <v>0.453472222222222</v>
      </c>
      <c r="F655" s="83">
        <f t="shared" si="10"/>
        <v>0.45833333333333331</v>
      </c>
    </row>
    <row r="656" spans="5:6" x14ac:dyDescent="0.3">
      <c r="E656" s="81">
        <v>0.454166666666667</v>
      </c>
      <c r="F656" s="83">
        <f t="shared" si="10"/>
        <v>0.45833333333333331</v>
      </c>
    </row>
    <row r="657" spans="5:6" x14ac:dyDescent="0.3">
      <c r="E657" s="81">
        <v>0.45486111111111099</v>
      </c>
      <c r="F657" s="83">
        <f t="shared" si="10"/>
        <v>0.45833333333333331</v>
      </c>
    </row>
    <row r="658" spans="5:6" x14ac:dyDescent="0.3">
      <c r="E658" s="81">
        <v>0.45555555555555599</v>
      </c>
      <c r="F658" s="83">
        <f t="shared" si="10"/>
        <v>0.45833333333333331</v>
      </c>
    </row>
    <row r="659" spans="5:6" x14ac:dyDescent="0.3">
      <c r="E659" s="81">
        <v>0.45624999999999999</v>
      </c>
      <c r="F659" s="83">
        <f t="shared" si="10"/>
        <v>0.45833333333333331</v>
      </c>
    </row>
    <row r="660" spans="5:6" x14ac:dyDescent="0.3">
      <c r="E660" s="81">
        <v>0.45694444444444399</v>
      </c>
      <c r="F660" s="83">
        <f t="shared" si="10"/>
        <v>0.45833333333333331</v>
      </c>
    </row>
    <row r="661" spans="5:6" x14ac:dyDescent="0.3">
      <c r="E661" s="81">
        <v>0.45763888888888898</v>
      </c>
      <c r="F661" s="83">
        <f t="shared" si="10"/>
        <v>0.45833333333333331</v>
      </c>
    </row>
    <row r="662" spans="5:6" x14ac:dyDescent="0.3">
      <c r="E662" s="81">
        <v>0.45833333333333298</v>
      </c>
      <c r="F662" s="83">
        <f t="shared" si="10"/>
        <v>0.46875</v>
      </c>
    </row>
    <row r="663" spans="5:6" x14ac:dyDescent="0.3">
      <c r="E663" s="81">
        <v>0.45902777777777798</v>
      </c>
      <c r="F663" s="83">
        <f t="shared" si="10"/>
        <v>0.46875</v>
      </c>
    </row>
    <row r="664" spans="5:6" x14ac:dyDescent="0.3">
      <c r="E664" s="81">
        <v>0.45972222222222198</v>
      </c>
      <c r="F664" s="83">
        <f t="shared" si="10"/>
        <v>0.46875</v>
      </c>
    </row>
    <row r="665" spans="5:6" x14ac:dyDescent="0.3">
      <c r="E665" s="81">
        <v>0.46041666666666697</v>
      </c>
      <c r="F665" s="83">
        <f t="shared" si="10"/>
        <v>0.46875</v>
      </c>
    </row>
    <row r="666" spans="5:6" x14ac:dyDescent="0.3">
      <c r="E666" s="81">
        <v>0.46111111111111103</v>
      </c>
      <c r="F666" s="83">
        <f t="shared" si="10"/>
        <v>0.46875</v>
      </c>
    </row>
    <row r="667" spans="5:6" x14ac:dyDescent="0.3">
      <c r="E667" s="81">
        <v>0.46180555555555602</v>
      </c>
      <c r="F667" s="83">
        <f t="shared" si="10"/>
        <v>0.46875</v>
      </c>
    </row>
    <row r="668" spans="5:6" x14ac:dyDescent="0.3">
      <c r="E668" s="81">
        <v>0.46250000000000002</v>
      </c>
      <c r="F668" s="83">
        <f t="shared" si="10"/>
        <v>0.46875</v>
      </c>
    </row>
    <row r="669" spans="5:6" x14ac:dyDescent="0.3">
      <c r="E669" s="81">
        <v>0.46319444444444402</v>
      </c>
      <c r="F669" s="83">
        <f t="shared" si="10"/>
        <v>0.46875</v>
      </c>
    </row>
    <row r="670" spans="5:6" x14ac:dyDescent="0.3">
      <c r="E670" s="81">
        <v>0.46388888888888902</v>
      </c>
      <c r="F670" s="83">
        <f t="shared" si="10"/>
        <v>0.46875</v>
      </c>
    </row>
    <row r="671" spans="5:6" x14ac:dyDescent="0.3">
      <c r="E671" s="81">
        <v>0.46458333333333302</v>
      </c>
      <c r="F671" s="83">
        <f t="shared" si="10"/>
        <v>0.46875</v>
      </c>
    </row>
    <row r="672" spans="5:6" x14ac:dyDescent="0.3">
      <c r="E672" s="81">
        <v>0.46527777777777801</v>
      </c>
      <c r="F672" s="83">
        <f t="shared" si="10"/>
        <v>0.46875</v>
      </c>
    </row>
    <row r="673" spans="5:6" x14ac:dyDescent="0.3">
      <c r="E673" s="81">
        <v>0.46597222222222201</v>
      </c>
      <c r="F673" s="83">
        <f t="shared" si="10"/>
        <v>0.46875</v>
      </c>
    </row>
    <row r="674" spans="5:6" x14ac:dyDescent="0.3">
      <c r="E674" s="81">
        <v>0.46666666666666701</v>
      </c>
      <c r="F674" s="83">
        <f t="shared" si="10"/>
        <v>0.46875</v>
      </c>
    </row>
    <row r="675" spans="5:6" x14ac:dyDescent="0.3">
      <c r="E675" s="81">
        <v>0.46736111111111101</v>
      </c>
      <c r="F675" s="83">
        <f t="shared" si="10"/>
        <v>0.46875</v>
      </c>
    </row>
    <row r="676" spans="5:6" x14ac:dyDescent="0.3">
      <c r="E676" s="81">
        <v>0.468055555555556</v>
      </c>
      <c r="F676" s="83">
        <f t="shared" si="10"/>
        <v>0.46875</v>
      </c>
    </row>
    <row r="677" spans="5:6" x14ac:dyDescent="0.3">
      <c r="E677" s="81">
        <v>0.46875</v>
      </c>
      <c r="F677" s="83">
        <f t="shared" si="10"/>
        <v>0.47916666666666669</v>
      </c>
    </row>
    <row r="678" spans="5:6" x14ac:dyDescent="0.3">
      <c r="E678" s="81">
        <v>0.469444444444444</v>
      </c>
      <c r="F678" s="83">
        <f t="shared" si="10"/>
        <v>0.47916666666666669</v>
      </c>
    </row>
    <row r="679" spans="5:6" x14ac:dyDescent="0.3">
      <c r="E679" s="81">
        <v>0.47013888888888899</v>
      </c>
      <c r="F679" s="83">
        <f t="shared" si="10"/>
        <v>0.47916666666666669</v>
      </c>
    </row>
    <row r="680" spans="5:6" x14ac:dyDescent="0.3">
      <c r="E680" s="81">
        <v>0.47083333333333299</v>
      </c>
      <c r="F680" s="83">
        <f t="shared" si="10"/>
        <v>0.47916666666666669</v>
      </c>
    </row>
    <row r="681" spans="5:6" x14ac:dyDescent="0.3">
      <c r="E681" s="81">
        <v>0.47152777777777799</v>
      </c>
      <c r="F681" s="83">
        <f t="shared" si="10"/>
        <v>0.47916666666666669</v>
      </c>
    </row>
    <row r="682" spans="5:6" x14ac:dyDescent="0.3">
      <c r="E682" s="81">
        <v>0.47222222222222199</v>
      </c>
      <c r="F682" s="83">
        <f t="shared" si="10"/>
        <v>0.47916666666666669</v>
      </c>
    </row>
    <row r="683" spans="5:6" x14ac:dyDescent="0.3">
      <c r="E683" s="81">
        <v>0.47291666666666698</v>
      </c>
      <c r="F683" s="83">
        <f t="shared" si="10"/>
        <v>0.47916666666666669</v>
      </c>
    </row>
    <row r="684" spans="5:6" x14ac:dyDescent="0.3">
      <c r="E684" s="81">
        <v>0.47361111111111098</v>
      </c>
      <c r="F684" s="83">
        <f t="shared" si="10"/>
        <v>0.47916666666666669</v>
      </c>
    </row>
    <row r="685" spans="5:6" x14ac:dyDescent="0.3">
      <c r="E685" s="81">
        <v>0.47430555555555598</v>
      </c>
      <c r="F685" s="83">
        <f t="shared" si="10"/>
        <v>0.47916666666666669</v>
      </c>
    </row>
    <row r="686" spans="5:6" x14ac:dyDescent="0.3">
      <c r="E686" s="81">
        <v>0.47499999999999998</v>
      </c>
      <c r="F686" s="83">
        <f t="shared" si="10"/>
        <v>0.47916666666666669</v>
      </c>
    </row>
    <row r="687" spans="5:6" x14ac:dyDescent="0.3">
      <c r="E687" s="81">
        <v>0.47569444444444398</v>
      </c>
      <c r="F687" s="83">
        <f t="shared" si="10"/>
        <v>0.47916666666666669</v>
      </c>
    </row>
    <row r="688" spans="5:6" x14ac:dyDescent="0.3">
      <c r="E688" s="81">
        <v>0.47638888888888897</v>
      </c>
      <c r="F688" s="83">
        <f t="shared" si="10"/>
        <v>0.47916666666666669</v>
      </c>
    </row>
    <row r="689" spans="5:6" x14ac:dyDescent="0.3">
      <c r="E689" s="81">
        <v>0.47708333333333303</v>
      </c>
      <c r="F689" s="83">
        <f t="shared" si="10"/>
        <v>0.47916666666666669</v>
      </c>
    </row>
    <row r="690" spans="5:6" x14ac:dyDescent="0.3">
      <c r="E690" s="81">
        <v>0.47777777777777802</v>
      </c>
      <c r="F690" s="83">
        <f t="shared" si="10"/>
        <v>0.47916666666666669</v>
      </c>
    </row>
    <row r="691" spans="5:6" x14ac:dyDescent="0.3">
      <c r="E691" s="81">
        <v>0.47847222222222202</v>
      </c>
      <c r="F691" s="83">
        <f t="shared" si="10"/>
        <v>0.47916666666666669</v>
      </c>
    </row>
    <row r="692" spans="5:6" x14ac:dyDescent="0.3">
      <c r="E692" s="81">
        <v>0.47916666666666702</v>
      </c>
      <c r="F692" s="83">
        <f t="shared" si="10"/>
        <v>0.48958333333333331</v>
      </c>
    </row>
    <row r="693" spans="5:6" x14ac:dyDescent="0.3">
      <c r="E693" s="81">
        <v>0.47986111111111102</v>
      </c>
      <c r="F693" s="83">
        <f t="shared" si="10"/>
        <v>0.48958333333333331</v>
      </c>
    </row>
    <row r="694" spans="5:6" x14ac:dyDescent="0.3">
      <c r="E694" s="81">
        <v>0.48055555555555601</v>
      </c>
      <c r="F694" s="83">
        <f t="shared" si="10"/>
        <v>0.48958333333333331</v>
      </c>
    </row>
    <row r="695" spans="5:6" x14ac:dyDescent="0.3">
      <c r="E695" s="81">
        <v>0.48125000000000001</v>
      </c>
      <c r="F695" s="83">
        <f t="shared" si="10"/>
        <v>0.48958333333333331</v>
      </c>
    </row>
    <row r="696" spans="5:6" x14ac:dyDescent="0.3">
      <c r="E696" s="81">
        <v>0.48194444444444401</v>
      </c>
      <c r="F696" s="83">
        <f t="shared" si="10"/>
        <v>0.48958333333333331</v>
      </c>
    </row>
    <row r="697" spans="5:6" x14ac:dyDescent="0.3">
      <c r="E697" s="81">
        <v>0.48263888888888901</v>
      </c>
      <c r="F697" s="83">
        <f t="shared" si="10"/>
        <v>0.48958333333333331</v>
      </c>
    </row>
    <row r="698" spans="5:6" x14ac:dyDescent="0.3">
      <c r="E698" s="81">
        <v>0.483333333333333</v>
      </c>
      <c r="F698" s="83">
        <f t="shared" si="10"/>
        <v>0.48958333333333331</v>
      </c>
    </row>
    <row r="699" spans="5:6" x14ac:dyDescent="0.3">
      <c r="E699" s="81">
        <v>0.484027777777778</v>
      </c>
      <c r="F699" s="83">
        <f t="shared" si="10"/>
        <v>0.48958333333333331</v>
      </c>
    </row>
    <row r="700" spans="5:6" x14ac:dyDescent="0.3">
      <c r="E700" s="81">
        <v>0.484722222222222</v>
      </c>
      <c r="F700" s="83">
        <f t="shared" si="10"/>
        <v>0.48958333333333331</v>
      </c>
    </row>
    <row r="701" spans="5:6" x14ac:dyDescent="0.3">
      <c r="E701" s="81">
        <v>0.485416666666667</v>
      </c>
      <c r="F701" s="83">
        <f t="shared" si="10"/>
        <v>0.48958333333333331</v>
      </c>
    </row>
    <row r="702" spans="5:6" x14ac:dyDescent="0.3">
      <c r="E702" s="81">
        <v>0.48611111111111099</v>
      </c>
      <c r="F702" s="83">
        <f t="shared" si="10"/>
        <v>0.48958333333333331</v>
      </c>
    </row>
    <row r="703" spans="5:6" x14ac:dyDescent="0.3">
      <c r="E703" s="81">
        <v>0.48680555555555599</v>
      </c>
      <c r="F703" s="83">
        <f t="shared" si="10"/>
        <v>0.48958333333333331</v>
      </c>
    </row>
    <row r="704" spans="5:6" x14ac:dyDescent="0.3">
      <c r="E704" s="81">
        <v>0.48749999999999999</v>
      </c>
      <c r="F704" s="83">
        <f t="shared" si="10"/>
        <v>0.48958333333333331</v>
      </c>
    </row>
    <row r="705" spans="5:6" x14ac:dyDescent="0.3">
      <c r="E705" s="81">
        <v>0.48819444444444399</v>
      </c>
      <c r="F705" s="83">
        <f t="shared" si="10"/>
        <v>0.48958333333333331</v>
      </c>
    </row>
    <row r="706" spans="5:6" x14ac:dyDescent="0.3">
      <c r="E706" s="81">
        <v>0.48888888888888898</v>
      </c>
      <c r="F706" s="83">
        <f t="shared" si="10"/>
        <v>0.48958333333333331</v>
      </c>
    </row>
    <row r="707" spans="5:6" x14ac:dyDescent="0.3">
      <c r="E707" s="81">
        <v>0.48958333333333298</v>
      </c>
      <c r="F707" s="83">
        <f t="shared" ref="F707:F770" si="11">ROUNDUP(E707*4*24+1/60/24,0)/4/24</f>
        <v>0.5</v>
      </c>
    </row>
    <row r="708" spans="5:6" x14ac:dyDescent="0.3">
      <c r="E708" s="81">
        <v>0.49027777777777798</v>
      </c>
      <c r="F708" s="83">
        <f t="shared" si="11"/>
        <v>0.5</v>
      </c>
    </row>
    <row r="709" spans="5:6" x14ac:dyDescent="0.3">
      <c r="E709" s="81">
        <v>0.49097222222222198</v>
      </c>
      <c r="F709" s="83">
        <f t="shared" si="11"/>
        <v>0.5</v>
      </c>
    </row>
    <row r="710" spans="5:6" x14ac:dyDescent="0.3">
      <c r="E710" s="81">
        <v>0.49166666666666697</v>
      </c>
      <c r="F710" s="83">
        <f t="shared" si="11"/>
        <v>0.5</v>
      </c>
    </row>
    <row r="711" spans="5:6" x14ac:dyDescent="0.3">
      <c r="E711" s="81">
        <v>0.49236111111111103</v>
      </c>
      <c r="F711" s="83">
        <f t="shared" si="11"/>
        <v>0.5</v>
      </c>
    </row>
    <row r="712" spans="5:6" x14ac:dyDescent="0.3">
      <c r="E712" s="81">
        <v>0.49305555555555602</v>
      </c>
      <c r="F712" s="83">
        <f t="shared" si="11"/>
        <v>0.5</v>
      </c>
    </row>
    <row r="713" spans="5:6" x14ac:dyDescent="0.3">
      <c r="E713" s="81">
        <v>0.49375000000000002</v>
      </c>
      <c r="F713" s="83">
        <f t="shared" si="11"/>
        <v>0.5</v>
      </c>
    </row>
    <row r="714" spans="5:6" x14ac:dyDescent="0.3">
      <c r="E714" s="81">
        <v>0.49444444444444402</v>
      </c>
      <c r="F714" s="83">
        <f t="shared" si="11"/>
        <v>0.5</v>
      </c>
    </row>
    <row r="715" spans="5:6" x14ac:dyDescent="0.3">
      <c r="E715" s="81">
        <v>0.49513888888888902</v>
      </c>
      <c r="F715" s="83">
        <f t="shared" si="11"/>
        <v>0.5</v>
      </c>
    </row>
    <row r="716" spans="5:6" x14ac:dyDescent="0.3">
      <c r="E716" s="81">
        <v>0.49583333333333302</v>
      </c>
      <c r="F716" s="83">
        <f t="shared" si="11"/>
        <v>0.5</v>
      </c>
    </row>
    <row r="717" spans="5:6" x14ac:dyDescent="0.3">
      <c r="E717" s="81">
        <v>0.49652777777777801</v>
      </c>
      <c r="F717" s="83">
        <f t="shared" si="11"/>
        <v>0.5</v>
      </c>
    </row>
    <row r="718" spans="5:6" x14ac:dyDescent="0.3">
      <c r="E718" s="81">
        <v>0.49722222222222201</v>
      </c>
      <c r="F718" s="83">
        <f t="shared" si="11"/>
        <v>0.5</v>
      </c>
    </row>
    <row r="719" spans="5:6" x14ac:dyDescent="0.3">
      <c r="E719" s="81">
        <v>0.49791666666666701</v>
      </c>
      <c r="F719" s="83">
        <f t="shared" si="11"/>
        <v>0.5</v>
      </c>
    </row>
    <row r="720" spans="5:6" x14ac:dyDescent="0.3">
      <c r="E720" s="81">
        <v>0.49861111111111101</v>
      </c>
      <c r="F720" s="83">
        <f t="shared" si="11"/>
        <v>0.5</v>
      </c>
    </row>
    <row r="721" spans="5:6" x14ac:dyDescent="0.3">
      <c r="E721" s="81">
        <v>0.499305555555556</v>
      </c>
      <c r="F721" s="83">
        <f t="shared" si="11"/>
        <v>0.5</v>
      </c>
    </row>
    <row r="722" spans="5:6" x14ac:dyDescent="0.3">
      <c r="E722" s="81">
        <v>0.5</v>
      </c>
      <c r="F722" s="83">
        <f t="shared" si="11"/>
        <v>0.51041666666666663</v>
      </c>
    </row>
    <row r="723" spans="5:6" x14ac:dyDescent="0.3">
      <c r="E723" s="81">
        <v>0.500694444444444</v>
      </c>
      <c r="F723" s="83">
        <f t="shared" si="11"/>
        <v>0.51041666666666663</v>
      </c>
    </row>
    <row r="724" spans="5:6" x14ac:dyDescent="0.3">
      <c r="E724" s="81">
        <v>0.50138888888888899</v>
      </c>
      <c r="F724" s="83">
        <f t="shared" si="11"/>
        <v>0.51041666666666663</v>
      </c>
    </row>
    <row r="725" spans="5:6" x14ac:dyDescent="0.3">
      <c r="E725" s="81">
        <v>0.50208333333333299</v>
      </c>
      <c r="F725" s="83">
        <f t="shared" si="11"/>
        <v>0.51041666666666663</v>
      </c>
    </row>
    <row r="726" spans="5:6" x14ac:dyDescent="0.3">
      <c r="E726" s="81">
        <v>0.50277777777777799</v>
      </c>
      <c r="F726" s="83">
        <f t="shared" si="11"/>
        <v>0.51041666666666663</v>
      </c>
    </row>
    <row r="727" spans="5:6" x14ac:dyDescent="0.3">
      <c r="E727" s="81">
        <v>0.50347222222222199</v>
      </c>
      <c r="F727" s="83">
        <f t="shared" si="11"/>
        <v>0.51041666666666663</v>
      </c>
    </row>
    <row r="728" spans="5:6" x14ac:dyDescent="0.3">
      <c r="E728" s="81">
        <v>0.50416666666666698</v>
      </c>
      <c r="F728" s="83">
        <f t="shared" si="11"/>
        <v>0.51041666666666663</v>
      </c>
    </row>
    <row r="729" spans="5:6" x14ac:dyDescent="0.3">
      <c r="E729" s="81">
        <v>0.50486111111111098</v>
      </c>
      <c r="F729" s="83">
        <f t="shared" si="11"/>
        <v>0.51041666666666663</v>
      </c>
    </row>
    <row r="730" spans="5:6" x14ac:dyDescent="0.3">
      <c r="E730" s="81">
        <v>0.50555555555555598</v>
      </c>
      <c r="F730" s="83">
        <f t="shared" si="11"/>
        <v>0.51041666666666663</v>
      </c>
    </row>
    <row r="731" spans="5:6" x14ac:dyDescent="0.3">
      <c r="E731" s="81">
        <v>0.50624999999999998</v>
      </c>
      <c r="F731" s="83">
        <f t="shared" si="11"/>
        <v>0.51041666666666663</v>
      </c>
    </row>
    <row r="732" spans="5:6" x14ac:dyDescent="0.3">
      <c r="E732" s="81">
        <v>0.50694444444444398</v>
      </c>
      <c r="F732" s="83">
        <f t="shared" si="11"/>
        <v>0.51041666666666663</v>
      </c>
    </row>
    <row r="733" spans="5:6" x14ac:dyDescent="0.3">
      <c r="E733" s="81">
        <v>0.50763888888888897</v>
      </c>
      <c r="F733" s="83">
        <f t="shared" si="11"/>
        <v>0.51041666666666663</v>
      </c>
    </row>
    <row r="734" spans="5:6" x14ac:dyDescent="0.3">
      <c r="E734" s="81">
        <v>0.50833333333333297</v>
      </c>
      <c r="F734" s="83">
        <f t="shared" si="11"/>
        <v>0.51041666666666663</v>
      </c>
    </row>
    <row r="735" spans="5:6" x14ac:dyDescent="0.3">
      <c r="E735" s="81">
        <v>0.50902777777777797</v>
      </c>
      <c r="F735" s="83">
        <f t="shared" si="11"/>
        <v>0.51041666666666663</v>
      </c>
    </row>
    <row r="736" spans="5:6" x14ac:dyDescent="0.3">
      <c r="E736" s="81">
        <v>0.50972222222222197</v>
      </c>
      <c r="F736" s="83">
        <f t="shared" si="11"/>
        <v>0.51041666666666663</v>
      </c>
    </row>
    <row r="737" spans="5:6" x14ac:dyDescent="0.3">
      <c r="E737" s="81">
        <v>0.51041666666666696</v>
      </c>
      <c r="F737" s="83">
        <f t="shared" si="11"/>
        <v>0.52083333333333337</v>
      </c>
    </row>
    <row r="738" spans="5:6" x14ac:dyDescent="0.3">
      <c r="E738" s="81">
        <v>0.51111111111111096</v>
      </c>
      <c r="F738" s="83">
        <f t="shared" si="11"/>
        <v>0.52083333333333337</v>
      </c>
    </row>
    <row r="739" spans="5:6" x14ac:dyDescent="0.3">
      <c r="E739" s="81">
        <v>0.51180555555555596</v>
      </c>
      <c r="F739" s="83">
        <f t="shared" si="11"/>
        <v>0.52083333333333337</v>
      </c>
    </row>
    <row r="740" spans="5:6" x14ac:dyDescent="0.3">
      <c r="E740" s="81">
        <v>0.51249999999999996</v>
      </c>
      <c r="F740" s="83">
        <f t="shared" si="11"/>
        <v>0.52083333333333337</v>
      </c>
    </row>
    <row r="741" spans="5:6" x14ac:dyDescent="0.3">
      <c r="E741" s="81">
        <v>0.51319444444444495</v>
      </c>
      <c r="F741" s="83">
        <f t="shared" si="11"/>
        <v>0.52083333333333337</v>
      </c>
    </row>
    <row r="742" spans="5:6" x14ac:dyDescent="0.3">
      <c r="E742" s="81">
        <v>0.51388888888888895</v>
      </c>
      <c r="F742" s="83">
        <f t="shared" si="11"/>
        <v>0.52083333333333337</v>
      </c>
    </row>
    <row r="743" spans="5:6" x14ac:dyDescent="0.3">
      <c r="E743" s="81">
        <v>0.51458333333333295</v>
      </c>
      <c r="F743" s="83">
        <f t="shared" si="11"/>
        <v>0.52083333333333337</v>
      </c>
    </row>
    <row r="744" spans="5:6" x14ac:dyDescent="0.3">
      <c r="E744" s="81">
        <v>0.51527777777777795</v>
      </c>
      <c r="F744" s="83">
        <f t="shared" si="11"/>
        <v>0.52083333333333337</v>
      </c>
    </row>
    <row r="745" spans="5:6" x14ac:dyDescent="0.3">
      <c r="E745" s="81">
        <v>0.51597222222222205</v>
      </c>
      <c r="F745" s="83">
        <f t="shared" si="11"/>
        <v>0.52083333333333337</v>
      </c>
    </row>
    <row r="746" spans="5:6" x14ac:dyDescent="0.3">
      <c r="E746" s="81">
        <v>0.51666666666666705</v>
      </c>
      <c r="F746" s="83">
        <f t="shared" si="11"/>
        <v>0.52083333333333337</v>
      </c>
    </row>
    <row r="747" spans="5:6" x14ac:dyDescent="0.3">
      <c r="E747" s="81">
        <v>0.51736111111111105</v>
      </c>
      <c r="F747" s="83">
        <f t="shared" si="11"/>
        <v>0.52083333333333337</v>
      </c>
    </row>
    <row r="748" spans="5:6" x14ac:dyDescent="0.3">
      <c r="E748" s="81">
        <v>0.51805555555555605</v>
      </c>
      <c r="F748" s="83">
        <f t="shared" si="11"/>
        <v>0.52083333333333337</v>
      </c>
    </row>
    <row r="749" spans="5:6" x14ac:dyDescent="0.3">
      <c r="E749" s="81">
        <v>0.51875000000000004</v>
      </c>
      <c r="F749" s="83">
        <f t="shared" si="11"/>
        <v>0.52083333333333337</v>
      </c>
    </row>
    <row r="750" spans="5:6" x14ac:dyDescent="0.3">
      <c r="E750" s="81">
        <v>0.51944444444444404</v>
      </c>
      <c r="F750" s="83">
        <f t="shared" si="11"/>
        <v>0.52083333333333337</v>
      </c>
    </row>
    <row r="751" spans="5:6" x14ac:dyDescent="0.3">
      <c r="E751" s="81">
        <v>0.52013888888888904</v>
      </c>
      <c r="F751" s="83">
        <f t="shared" si="11"/>
        <v>0.52083333333333337</v>
      </c>
    </row>
    <row r="752" spans="5:6" x14ac:dyDescent="0.3">
      <c r="E752" s="81">
        <v>0.52083333333333304</v>
      </c>
      <c r="F752" s="83">
        <f t="shared" si="11"/>
        <v>0.53125</v>
      </c>
    </row>
    <row r="753" spans="5:6" x14ac:dyDescent="0.3">
      <c r="E753" s="81">
        <v>0.52152777777777803</v>
      </c>
      <c r="F753" s="83">
        <f t="shared" si="11"/>
        <v>0.53125</v>
      </c>
    </row>
    <row r="754" spans="5:6" x14ac:dyDescent="0.3">
      <c r="E754" s="81">
        <v>0.52222222222222203</v>
      </c>
      <c r="F754" s="83">
        <f t="shared" si="11"/>
        <v>0.53125</v>
      </c>
    </row>
    <row r="755" spans="5:6" x14ac:dyDescent="0.3">
      <c r="E755" s="81">
        <v>0.52291666666666703</v>
      </c>
      <c r="F755" s="83">
        <f t="shared" si="11"/>
        <v>0.53125</v>
      </c>
    </row>
    <row r="756" spans="5:6" x14ac:dyDescent="0.3">
      <c r="E756" s="81">
        <v>0.52361111111111103</v>
      </c>
      <c r="F756" s="83">
        <f t="shared" si="11"/>
        <v>0.53125</v>
      </c>
    </row>
    <row r="757" spans="5:6" x14ac:dyDescent="0.3">
      <c r="E757" s="81">
        <v>0.52430555555555602</v>
      </c>
      <c r="F757" s="83">
        <f t="shared" si="11"/>
        <v>0.53125</v>
      </c>
    </row>
    <row r="758" spans="5:6" x14ac:dyDescent="0.3">
      <c r="E758" s="81">
        <v>0.52500000000000002</v>
      </c>
      <c r="F758" s="83">
        <f t="shared" si="11"/>
        <v>0.53125</v>
      </c>
    </row>
    <row r="759" spans="5:6" x14ac:dyDescent="0.3">
      <c r="E759" s="81">
        <v>0.52569444444444402</v>
      </c>
      <c r="F759" s="83">
        <f t="shared" si="11"/>
        <v>0.53125</v>
      </c>
    </row>
    <row r="760" spans="5:6" x14ac:dyDescent="0.3">
      <c r="E760" s="81">
        <v>0.52638888888888902</v>
      </c>
      <c r="F760" s="83">
        <f t="shared" si="11"/>
        <v>0.53125</v>
      </c>
    </row>
    <row r="761" spans="5:6" x14ac:dyDescent="0.3">
      <c r="E761" s="81">
        <v>0.52708333333333302</v>
      </c>
      <c r="F761" s="83">
        <f t="shared" si="11"/>
        <v>0.53125</v>
      </c>
    </row>
    <row r="762" spans="5:6" x14ac:dyDescent="0.3">
      <c r="E762" s="81">
        <v>0.52777777777777801</v>
      </c>
      <c r="F762" s="83">
        <f t="shared" si="11"/>
        <v>0.53125</v>
      </c>
    </row>
    <row r="763" spans="5:6" x14ac:dyDescent="0.3">
      <c r="E763" s="81">
        <v>0.52847222222222201</v>
      </c>
      <c r="F763" s="83">
        <f t="shared" si="11"/>
        <v>0.53125</v>
      </c>
    </row>
    <row r="764" spans="5:6" x14ac:dyDescent="0.3">
      <c r="E764" s="81">
        <v>0.52916666666666701</v>
      </c>
      <c r="F764" s="83">
        <f t="shared" si="11"/>
        <v>0.53125</v>
      </c>
    </row>
    <row r="765" spans="5:6" x14ac:dyDescent="0.3">
      <c r="E765" s="81">
        <v>0.52986111111111101</v>
      </c>
      <c r="F765" s="83">
        <f t="shared" si="11"/>
        <v>0.53125</v>
      </c>
    </row>
    <row r="766" spans="5:6" x14ac:dyDescent="0.3">
      <c r="E766" s="81">
        <v>0.530555555555556</v>
      </c>
      <c r="F766" s="83">
        <f t="shared" si="11"/>
        <v>0.53125</v>
      </c>
    </row>
    <row r="767" spans="5:6" x14ac:dyDescent="0.3">
      <c r="E767" s="81">
        <v>0.53125</v>
      </c>
      <c r="F767" s="83">
        <f t="shared" si="11"/>
        <v>0.54166666666666663</v>
      </c>
    </row>
    <row r="768" spans="5:6" x14ac:dyDescent="0.3">
      <c r="E768" s="81">
        <v>0.531944444444444</v>
      </c>
      <c r="F768" s="83">
        <f t="shared" si="11"/>
        <v>0.54166666666666663</v>
      </c>
    </row>
    <row r="769" spans="5:6" x14ac:dyDescent="0.3">
      <c r="E769" s="81">
        <v>0.53263888888888899</v>
      </c>
      <c r="F769" s="83">
        <f t="shared" si="11"/>
        <v>0.54166666666666663</v>
      </c>
    </row>
    <row r="770" spans="5:6" x14ac:dyDescent="0.3">
      <c r="E770" s="81">
        <v>0.53333333333333299</v>
      </c>
      <c r="F770" s="83">
        <f t="shared" si="11"/>
        <v>0.54166666666666663</v>
      </c>
    </row>
    <row r="771" spans="5:6" x14ac:dyDescent="0.3">
      <c r="E771" s="81">
        <v>0.53402777777777799</v>
      </c>
      <c r="F771" s="83">
        <f t="shared" ref="F771:F834" si="12">ROUNDUP(E771*4*24+1/60/24,0)/4/24</f>
        <v>0.54166666666666663</v>
      </c>
    </row>
    <row r="772" spans="5:6" x14ac:dyDescent="0.3">
      <c r="E772" s="81">
        <v>0.53472222222222199</v>
      </c>
      <c r="F772" s="83">
        <f t="shared" si="12"/>
        <v>0.54166666666666663</v>
      </c>
    </row>
    <row r="773" spans="5:6" x14ac:dyDescent="0.3">
      <c r="E773" s="81">
        <v>0.53541666666666698</v>
      </c>
      <c r="F773" s="83">
        <f t="shared" si="12"/>
        <v>0.54166666666666663</v>
      </c>
    </row>
    <row r="774" spans="5:6" x14ac:dyDescent="0.3">
      <c r="E774" s="81">
        <v>0.53611111111111098</v>
      </c>
      <c r="F774" s="83">
        <f t="shared" si="12"/>
        <v>0.54166666666666663</v>
      </c>
    </row>
    <row r="775" spans="5:6" x14ac:dyDescent="0.3">
      <c r="E775" s="81">
        <v>0.53680555555555598</v>
      </c>
      <c r="F775" s="83">
        <f t="shared" si="12"/>
        <v>0.54166666666666663</v>
      </c>
    </row>
    <row r="776" spans="5:6" x14ac:dyDescent="0.3">
      <c r="E776" s="81">
        <v>0.53749999999999998</v>
      </c>
      <c r="F776" s="83">
        <f t="shared" si="12"/>
        <v>0.54166666666666663</v>
      </c>
    </row>
    <row r="777" spans="5:6" x14ac:dyDescent="0.3">
      <c r="E777" s="81">
        <v>0.53819444444444398</v>
      </c>
      <c r="F777" s="83">
        <f t="shared" si="12"/>
        <v>0.54166666666666663</v>
      </c>
    </row>
    <row r="778" spans="5:6" x14ac:dyDescent="0.3">
      <c r="E778" s="81">
        <v>0.53888888888888897</v>
      </c>
      <c r="F778" s="83">
        <f t="shared" si="12"/>
        <v>0.54166666666666663</v>
      </c>
    </row>
    <row r="779" spans="5:6" x14ac:dyDescent="0.3">
      <c r="E779" s="81">
        <v>0.53958333333333297</v>
      </c>
      <c r="F779" s="83">
        <f t="shared" si="12"/>
        <v>0.54166666666666663</v>
      </c>
    </row>
    <row r="780" spans="5:6" x14ac:dyDescent="0.3">
      <c r="E780" s="81">
        <v>0.54027777777777797</v>
      </c>
      <c r="F780" s="83">
        <f t="shared" si="12"/>
        <v>0.54166666666666663</v>
      </c>
    </row>
    <row r="781" spans="5:6" x14ac:dyDescent="0.3">
      <c r="E781" s="81">
        <v>0.54097222222222197</v>
      </c>
      <c r="F781" s="83">
        <f t="shared" si="12"/>
        <v>0.54166666666666663</v>
      </c>
    </row>
    <row r="782" spans="5:6" x14ac:dyDescent="0.3">
      <c r="E782" s="81">
        <v>0.54166666666666696</v>
      </c>
      <c r="F782" s="83">
        <f t="shared" si="12"/>
        <v>0.55208333333333337</v>
      </c>
    </row>
    <row r="783" spans="5:6" x14ac:dyDescent="0.3">
      <c r="E783" s="81">
        <v>0.54236111111111096</v>
      </c>
      <c r="F783" s="83">
        <f t="shared" si="12"/>
        <v>0.55208333333333337</v>
      </c>
    </row>
    <row r="784" spans="5:6" x14ac:dyDescent="0.3">
      <c r="E784" s="81">
        <v>0.54305555555555596</v>
      </c>
      <c r="F784" s="83">
        <f t="shared" si="12"/>
        <v>0.55208333333333337</v>
      </c>
    </row>
    <row r="785" spans="5:6" x14ac:dyDescent="0.3">
      <c r="E785" s="81">
        <v>0.54374999999999996</v>
      </c>
      <c r="F785" s="83">
        <f t="shared" si="12"/>
        <v>0.55208333333333337</v>
      </c>
    </row>
    <row r="786" spans="5:6" x14ac:dyDescent="0.3">
      <c r="E786" s="81">
        <v>0.54444444444444495</v>
      </c>
      <c r="F786" s="83">
        <f t="shared" si="12"/>
        <v>0.55208333333333337</v>
      </c>
    </row>
    <row r="787" spans="5:6" x14ac:dyDescent="0.3">
      <c r="E787" s="81">
        <v>0.54513888888888895</v>
      </c>
      <c r="F787" s="83">
        <f t="shared" si="12"/>
        <v>0.55208333333333337</v>
      </c>
    </row>
    <row r="788" spans="5:6" x14ac:dyDescent="0.3">
      <c r="E788" s="81">
        <v>0.54583333333333295</v>
      </c>
      <c r="F788" s="83">
        <f t="shared" si="12"/>
        <v>0.55208333333333337</v>
      </c>
    </row>
    <row r="789" spans="5:6" x14ac:dyDescent="0.3">
      <c r="E789" s="81">
        <v>0.54652777777777795</v>
      </c>
      <c r="F789" s="83">
        <f t="shared" si="12"/>
        <v>0.55208333333333337</v>
      </c>
    </row>
    <row r="790" spans="5:6" x14ac:dyDescent="0.3">
      <c r="E790" s="81">
        <v>0.54722222222222205</v>
      </c>
      <c r="F790" s="83">
        <f t="shared" si="12"/>
        <v>0.55208333333333337</v>
      </c>
    </row>
    <row r="791" spans="5:6" x14ac:dyDescent="0.3">
      <c r="E791" s="81">
        <v>0.54791666666666705</v>
      </c>
      <c r="F791" s="83">
        <f t="shared" si="12"/>
        <v>0.55208333333333337</v>
      </c>
    </row>
    <row r="792" spans="5:6" x14ac:dyDescent="0.3">
      <c r="E792" s="81">
        <v>0.54861111111111105</v>
      </c>
      <c r="F792" s="83">
        <f t="shared" si="12"/>
        <v>0.55208333333333337</v>
      </c>
    </row>
    <row r="793" spans="5:6" x14ac:dyDescent="0.3">
      <c r="E793" s="81">
        <v>0.54930555555555605</v>
      </c>
      <c r="F793" s="83">
        <f t="shared" si="12"/>
        <v>0.55208333333333337</v>
      </c>
    </row>
    <row r="794" spans="5:6" x14ac:dyDescent="0.3">
      <c r="E794" s="81">
        <v>0.55000000000000004</v>
      </c>
      <c r="F794" s="83">
        <f t="shared" si="12"/>
        <v>0.55208333333333337</v>
      </c>
    </row>
    <row r="795" spans="5:6" x14ac:dyDescent="0.3">
      <c r="E795" s="81">
        <v>0.55069444444444404</v>
      </c>
      <c r="F795" s="83">
        <f t="shared" si="12"/>
        <v>0.55208333333333337</v>
      </c>
    </row>
    <row r="796" spans="5:6" x14ac:dyDescent="0.3">
      <c r="E796" s="81">
        <v>0.55138888888888904</v>
      </c>
      <c r="F796" s="83">
        <f t="shared" si="12"/>
        <v>0.55208333333333337</v>
      </c>
    </row>
    <row r="797" spans="5:6" x14ac:dyDescent="0.3">
      <c r="E797" s="81">
        <v>0.55208333333333304</v>
      </c>
      <c r="F797" s="83">
        <f t="shared" si="12"/>
        <v>0.5625</v>
      </c>
    </row>
    <row r="798" spans="5:6" x14ac:dyDescent="0.3">
      <c r="E798" s="81">
        <v>0.55277777777777803</v>
      </c>
      <c r="F798" s="83">
        <f t="shared" si="12"/>
        <v>0.5625</v>
      </c>
    </row>
    <row r="799" spans="5:6" x14ac:dyDescent="0.3">
      <c r="E799" s="81">
        <v>0.55347222222222203</v>
      </c>
      <c r="F799" s="83">
        <f t="shared" si="12"/>
        <v>0.5625</v>
      </c>
    </row>
    <row r="800" spans="5:6" x14ac:dyDescent="0.3">
      <c r="E800" s="81">
        <v>0.55416666666666703</v>
      </c>
      <c r="F800" s="83">
        <f t="shared" si="12"/>
        <v>0.5625</v>
      </c>
    </row>
    <row r="801" spans="5:6" x14ac:dyDescent="0.3">
      <c r="E801" s="81">
        <v>0.55486111111111103</v>
      </c>
      <c r="F801" s="83">
        <f t="shared" si="12"/>
        <v>0.5625</v>
      </c>
    </row>
    <row r="802" spans="5:6" x14ac:dyDescent="0.3">
      <c r="E802" s="81">
        <v>0.55555555555555602</v>
      </c>
      <c r="F802" s="83">
        <f t="shared" si="12"/>
        <v>0.5625</v>
      </c>
    </row>
    <row r="803" spans="5:6" x14ac:dyDescent="0.3">
      <c r="E803" s="81">
        <v>0.55625000000000002</v>
      </c>
      <c r="F803" s="83">
        <f t="shared" si="12"/>
        <v>0.5625</v>
      </c>
    </row>
    <row r="804" spans="5:6" x14ac:dyDescent="0.3">
      <c r="E804" s="81">
        <v>0.55694444444444402</v>
      </c>
      <c r="F804" s="83">
        <f t="shared" si="12"/>
        <v>0.5625</v>
      </c>
    </row>
    <row r="805" spans="5:6" x14ac:dyDescent="0.3">
      <c r="E805" s="81">
        <v>0.55763888888888902</v>
      </c>
      <c r="F805" s="83">
        <f t="shared" si="12"/>
        <v>0.5625</v>
      </c>
    </row>
    <row r="806" spans="5:6" x14ac:dyDescent="0.3">
      <c r="E806" s="81">
        <v>0.55833333333333302</v>
      </c>
      <c r="F806" s="83">
        <f t="shared" si="12"/>
        <v>0.5625</v>
      </c>
    </row>
    <row r="807" spans="5:6" x14ac:dyDescent="0.3">
      <c r="E807" s="81">
        <v>0.55902777777777801</v>
      </c>
      <c r="F807" s="83">
        <f t="shared" si="12"/>
        <v>0.5625</v>
      </c>
    </row>
    <row r="808" spans="5:6" x14ac:dyDescent="0.3">
      <c r="E808" s="81">
        <v>0.55972222222222201</v>
      </c>
      <c r="F808" s="83">
        <f t="shared" si="12"/>
        <v>0.5625</v>
      </c>
    </row>
    <row r="809" spans="5:6" x14ac:dyDescent="0.3">
      <c r="E809" s="81">
        <v>0.56041666666666701</v>
      </c>
      <c r="F809" s="83">
        <f t="shared" si="12"/>
        <v>0.5625</v>
      </c>
    </row>
    <row r="810" spans="5:6" x14ac:dyDescent="0.3">
      <c r="E810" s="81">
        <v>0.56111111111111101</v>
      </c>
      <c r="F810" s="83">
        <f t="shared" si="12"/>
        <v>0.5625</v>
      </c>
    </row>
    <row r="811" spans="5:6" x14ac:dyDescent="0.3">
      <c r="E811" s="81">
        <v>0.561805555555556</v>
      </c>
      <c r="F811" s="83">
        <f t="shared" si="12"/>
        <v>0.5625</v>
      </c>
    </row>
    <row r="812" spans="5:6" x14ac:dyDescent="0.3">
      <c r="E812" s="81">
        <v>0.5625</v>
      </c>
      <c r="F812" s="83">
        <f t="shared" si="12"/>
        <v>0.57291666666666663</v>
      </c>
    </row>
    <row r="813" spans="5:6" x14ac:dyDescent="0.3">
      <c r="E813" s="81">
        <v>0.563194444444444</v>
      </c>
      <c r="F813" s="83">
        <f t="shared" si="12"/>
        <v>0.57291666666666663</v>
      </c>
    </row>
    <row r="814" spans="5:6" x14ac:dyDescent="0.3">
      <c r="E814" s="81">
        <v>0.56388888888888899</v>
      </c>
      <c r="F814" s="83">
        <f t="shared" si="12"/>
        <v>0.57291666666666663</v>
      </c>
    </row>
    <row r="815" spans="5:6" x14ac:dyDescent="0.3">
      <c r="E815" s="81">
        <v>0.56458333333333299</v>
      </c>
      <c r="F815" s="83">
        <f t="shared" si="12"/>
        <v>0.57291666666666663</v>
      </c>
    </row>
    <row r="816" spans="5:6" x14ac:dyDescent="0.3">
      <c r="E816" s="81">
        <v>0.56527777777777799</v>
      </c>
      <c r="F816" s="83">
        <f t="shared" si="12"/>
        <v>0.57291666666666663</v>
      </c>
    </row>
    <row r="817" spans="5:6" x14ac:dyDescent="0.3">
      <c r="E817" s="81">
        <v>0.56597222222222199</v>
      </c>
      <c r="F817" s="83">
        <f t="shared" si="12"/>
        <v>0.57291666666666663</v>
      </c>
    </row>
    <row r="818" spans="5:6" x14ac:dyDescent="0.3">
      <c r="E818" s="81">
        <v>0.56666666666666698</v>
      </c>
      <c r="F818" s="83">
        <f t="shared" si="12"/>
        <v>0.57291666666666663</v>
      </c>
    </row>
    <row r="819" spans="5:6" x14ac:dyDescent="0.3">
      <c r="E819" s="81">
        <v>0.56736111111111098</v>
      </c>
      <c r="F819" s="83">
        <f t="shared" si="12"/>
        <v>0.57291666666666663</v>
      </c>
    </row>
    <row r="820" spans="5:6" x14ac:dyDescent="0.3">
      <c r="E820" s="81">
        <v>0.56805555555555598</v>
      </c>
      <c r="F820" s="83">
        <f t="shared" si="12"/>
        <v>0.57291666666666663</v>
      </c>
    </row>
    <row r="821" spans="5:6" x14ac:dyDescent="0.3">
      <c r="E821" s="81">
        <v>0.56874999999999998</v>
      </c>
      <c r="F821" s="83">
        <f t="shared" si="12"/>
        <v>0.57291666666666663</v>
      </c>
    </row>
    <row r="822" spans="5:6" x14ac:dyDescent="0.3">
      <c r="E822" s="81">
        <v>0.56944444444444398</v>
      </c>
      <c r="F822" s="83">
        <f t="shared" si="12"/>
        <v>0.57291666666666663</v>
      </c>
    </row>
    <row r="823" spans="5:6" x14ac:dyDescent="0.3">
      <c r="E823" s="81">
        <v>0.57013888888888897</v>
      </c>
      <c r="F823" s="83">
        <f t="shared" si="12"/>
        <v>0.57291666666666663</v>
      </c>
    </row>
    <row r="824" spans="5:6" x14ac:dyDescent="0.3">
      <c r="E824" s="81">
        <v>0.57083333333333297</v>
      </c>
      <c r="F824" s="83">
        <f t="shared" si="12"/>
        <v>0.57291666666666663</v>
      </c>
    </row>
    <row r="825" spans="5:6" x14ac:dyDescent="0.3">
      <c r="E825" s="81">
        <v>0.57152777777777797</v>
      </c>
      <c r="F825" s="83">
        <f t="shared" si="12"/>
        <v>0.57291666666666663</v>
      </c>
    </row>
    <row r="826" spans="5:6" x14ac:dyDescent="0.3">
      <c r="E826" s="81">
        <v>0.57222222222222197</v>
      </c>
      <c r="F826" s="83">
        <f t="shared" si="12"/>
        <v>0.57291666666666663</v>
      </c>
    </row>
    <row r="827" spans="5:6" x14ac:dyDescent="0.3">
      <c r="E827" s="81">
        <v>0.57291666666666696</v>
      </c>
      <c r="F827" s="83">
        <f t="shared" si="12"/>
        <v>0.58333333333333337</v>
      </c>
    </row>
    <row r="828" spans="5:6" x14ac:dyDescent="0.3">
      <c r="E828" s="81">
        <v>0.57361111111111096</v>
      </c>
      <c r="F828" s="83">
        <f t="shared" si="12"/>
        <v>0.58333333333333337</v>
      </c>
    </row>
    <row r="829" spans="5:6" x14ac:dyDescent="0.3">
      <c r="E829" s="81">
        <v>0.57430555555555596</v>
      </c>
      <c r="F829" s="83">
        <f t="shared" si="12"/>
        <v>0.58333333333333337</v>
      </c>
    </row>
    <row r="830" spans="5:6" x14ac:dyDescent="0.3">
      <c r="E830" s="81">
        <v>0.57499999999999996</v>
      </c>
      <c r="F830" s="83">
        <f t="shared" si="12"/>
        <v>0.58333333333333337</v>
      </c>
    </row>
    <row r="831" spans="5:6" x14ac:dyDescent="0.3">
      <c r="E831" s="81">
        <v>0.57569444444444495</v>
      </c>
      <c r="F831" s="83">
        <f t="shared" si="12"/>
        <v>0.58333333333333337</v>
      </c>
    </row>
    <row r="832" spans="5:6" x14ac:dyDescent="0.3">
      <c r="E832" s="81">
        <v>0.57638888888888895</v>
      </c>
      <c r="F832" s="83">
        <f t="shared" si="12"/>
        <v>0.58333333333333337</v>
      </c>
    </row>
    <row r="833" spans="5:6" x14ac:dyDescent="0.3">
      <c r="E833" s="81">
        <v>0.57708333333333295</v>
      </c>
      <c r="F833" s="83">
        <f t="shared" si="12"/>
        <v>0.58333333333333337</v>
      </c>
    </row>
    <row r="834" spans="5:6" x14ac:dyDescent="0.3">
      <c r="E834" s="81">
        <v>0.57777777777777795</v>
      </c>
      <c r="F834" s="83">
        <f t="shared" si="12"/>
        <v>0.58333333333333337</v>
      </c>
    </row>
    <row r="835" spans="5:6" x14ac:dyDescent="0.3">
      <c r="E835" s="81">
        <v>0.57847222222222205</v>
      </c>
      <c r="F835" s="83">
        <f t="shared" ref="F835:F898" si="13">ROUNDUP(E835*4*24+1/60/24,0)/4/24</f>
        <v>0.58333333333333337</v>
      </c>
    </row>
    <row r="836" spans="5:6" x14ac:dyDescent="0.3">
      <c r="E836" s="81">
        <v>0.57916666666666705</v>
      </c>
      <c r="F836" s="83">
        <f t="shared" si="13"/>
        <v>0.58333333333333337</v>
      </c>
    </row>
    <row r="837" spans="5:6" x14ac:dyDescent="0.3">
      <c r="E837" s="81">
        <v>0.57986111111111105</v>
      </c>
      <c r="F837" s="83">
        <f t="shared" si="13"/>
        <v>0.58333333333333337</v>
      </c>
    </row>
    <row r="838" spans="5:6" x14ac:dyDescent="0.3">
      <c r="E838" s="81">
        <v>0.58055555555555605</v>
      </c>
      <c r="F838" s="83">
        <f t="shared" si="13"/>
        <v>0.58333333333333337</v>
      </c>
    </row>
    <row r="839" spans="5:6" x14ac:dyDescent="0.3">
      <c r="E839" s="81">
        <v>0.58125000000000004</v>
      </c>
      <c r="F839" s="83">
        <f t="shared" si="13"/>
        <v>0.58333333333333337</v>
      </c>
    </row>
    <row r="840" spans="5:6" x14ac:dyDescent="0.3">
      <c r="E840" s="81">
        <v>0.58194444444444404</v>
      </c>
      <c r="F840" s="83">
        <f t="shared" si="13"/>
        <v>0.58333333333333337</v>
      </c>
    </row>
    <row r="841" spans="5:6" x14ac:dyDescent="0.3">
      <c r="E841" s="81">
        <v>0.58263888888888904</v>
      </c>
      <c r="F841" s="83">
        <f t="shared" si="13"/>
        <v>0.58333333333333337</v>
      </c>
    </row>
    <row r="842" spans="5:6" x14ac:dyDescent="0.3">
      <c r="E842" s="81">
        <v>0.58333333333333304</v>
      </c>
      <c r="F842" s="83">
        <f t="shared" si="13"/>
        <v>0.59375</v>
      </c>
    </row>
    <row r="843" spans="5:6" x14ac:dyDescent="0.3">
      <c r="E843" s="81">
        <v>0.58402777777777803</v>
      </c>
      <c r="F843" s="83">
        <f t="shared" si="13"/>
        <v>0.59375</v>
      </c>
    </row>
    <row r="844" spans="5:6" x14ac:dyDescent="0.3">
      <c r="E844" s="81">
        <v>0.58472222222222203</v>
      </c>
      <c r="F844" s="83">
        <f t="shared" si="13"/>
        <v>0.59375</v>
      </c>
    </row>
    <row r="845" spans="5:6" x14ac:dyDescent="0.3">
      <c r="E845" s="81">
        <v>0.58541666666666703</v>
      </c>
      <c r="F845" s="83">
        <f t="shared" si="13"/>
        <v>0.59375</v>
      </c>
    </row>
    <row r="846" spans="5:6" x14ac:dyDescent="0.3">
      <c r="E846" s="81">
        <v>0.58611111111111103</v>
      </c>
      <c r="F846" s="83">
        <f t="shared" si="13"/>
        <v>0.59375</v>
      </c>
    </row>
    <row r="847" spans="5:6" x14ac:dyDescent="0.3">
      <c r="E847" s="81">
        <v>0.58680555555555602</v>
      </c>
      <c r="F847" s="83">
        <f t="shared" si="13"/>
        <v>0.59375</v>
      </c>
    </row>
    <row r="848" spans="5:6" x14ac:dyDescent="0.3">
      <c r="E848" s="81">
        <v>0.58750000000000002</v>
      </c>
      <c r="F848" s="83">
        <f t="shared" si="13"/>
        <v>0.59375</v>
      </c>
    </row>
    <row r="849" spans="5:6" x14ac:dyDescent="0.3">
      <c r="E849" s="81">
        <v>0.58819444444444402</v>
      </c>
      <c r="F849" s="83">
        <f t="shared" si="13"/>
        <v>0.59375</v>
      </c>
    </row>
    <row r="850" spans="5:6" x14ac:dyDescent="0.3">
      <c r="E850" s="81">
        <v>0.58888888888888902</v>
      </c>
      <c r="F850" s="83">
        <f t="shared" si="13"/>
        <v>0.59375</v>
      </c>
    </row>
    <row r="851" spans="5:6" x14ac:dyDescent="0.3">
      <c r="E851" s="81">
        <v>0.58958333333333302</v>
      </c>
      <c r="F851" s="83">
        <f t="shared" si="13"/>
        <v>0.59375</v>
      </c>
    </row>
    <row r="852" spans="5:6" x14ac:dyDescent="0.3">
      <c r="E852" s="81">
        <v>0.59027777777777801</v>
      </c>
      <c r="F852" s="83">
        <f t="shared" si="13"/>
        <v>0.59375</v>
      </c>
    </row>
    <row r="853" spans="5:6" x14ac:dyDescent="0.3">
      <c r="E853" s="81">
        <v>0.59097222222222201</v>
      </c>
      <c r="F853" s="83">
        <f t="shared" si="13"/>
        <v>0.59375</v>
      </c>
    </row>
    <row r="854" spans="5:6" x14ac:dyDescent="0.3">
      <c r="E854" s="81">
        <v>0.59166666666666701</v>
      </c>
      <c r="F854" s="83">
        <f t="shared" si="13"/>
        <v>0.59375</v>
      </c>
    </row>
    <row r="855" spans="5:6" x14ac:dyDescent="0.3">
      <c r="E855" s="81">
        <v>0.59236111111111101</v>
      </c>
      <c r="F855" s="83">
        <f t="shared" si="13"/>
        <v>0.59375</v>
      </c>
    </row>
    <row r="856" spans="5:6" x14ac:dyDescent="0.3">
      <c r="E856" s="81">
        <v>0.593055555555556</v>
      </c>
      <c r="F856" s="83">
        <f t="shared" si="13"/>
        <v>0.59375</v>
      </c>
    </row>
    <row r="857" spans="5:6" x14ac:dyDescent="0.3">
      <c r="E857" s="81">
        <v>0.59375</v>
      </c>
      <c r="F857" s="83">
        <f t="shared" si="13"/>
        <v>0.60416666666666663</v>
      </c>
    </row>
    <row r="858" spans="5:6" x14ac:dyDescent="0.3">
      <c r="E858" s="81">
        <v>0.594444444444444</v>
      </c>
      <c r="F858" s="83">
        <f t="shared" si="13"/>
        <v>0.60416666666666663</v>
      </c>
    </row>
    <row r="859" spans="5:6" x14ac:dyDescent="0.3">
      <c r="E859" s="81">
        <v>0.59513888888888899</v>
      </c>
      <c r="F859" s="83">
        <f t="shared" si="13"/>
        <v>0.60416666666666663</v>
      </c>
    </row>
    <row r="860" spans="5:6" x14ac:dyDescent="0.3">
      <c r="E860" s="81">
        <v>0.59583333333333299</v>
      </c>
      <c r="F860" s="83">
        <f t="shared" si="13"/>
        <v>0.60416666666666663</v>
      </c>
    </row>
    <row r="861" spans="5:6" x14ac:dyDescent="0.3">
      <c r="E861" s="81">
        <v>0.59652777777777799</v>
      </c>
      <c r="F861" s="83">
        <f t="shared" si="13"/>
        <v>0.60416666666666663</v>
      </c>
    </row>
    <row r="862" spans="5:6" x14ac:dyDescent="0.3">
      <c r="E862" s="81">
        <v>0.59722222222222199</v>
      </c>
      <c r="F862" s="83">
        <f t="shared" si="13"/>
        <v>0.60416666666666663</v>
      </c>
    </row>
    <row r="863" spans="5:6" x14ac:dyDescent="0.3">
      <c r="E863" s="81">
        <v>0.59791666666666698</v>
      </c>
      <c r="F863" s="83">
        <f t="shared" si="13"/>
        <v>0.60416666666666663</v>
      </c>
    </row>
    <row r="864" spans="5:6" x14ac:dyDescent="0.3">
      <c r="E864" s="81">
        <v>0.59861111111111098</v>
      </c>
      <c r="F864" s="83">
        <f t="shared" si="13"/>
        <v>0.60416666666666663</v>
      </c>
    </row>
    <row r="865" spans="5:6" x14ac:dyDescent="0.3">
      <c r="E865" s="81">
        <v>0.59930555555555598</v>
      </c>
      <c r="F865" s="83">
        <f t="shared" si="13"/>
        <v>0.60416666666666663</v>
      </c>
    </row>
    <row r="866" spans="5:6" x14ac:dyDescent="0.3">
      <c r="E866" s="81">
        <v>0.6</v>
      </c>
      <c r="F866" s="83">
        <f t="shared" si="13"/>
        <v>0.60416666666666663</v>
      </c>
    </row>
    <row r="867" spans="5:6" x14ac:dyDescent="0.3">
      <c r="E867" s="81">
        <v>0.60069444444444398</v>
      </c>
      <c r="F867" s="83">
        <f t="shared" si="13"/>
        <v>0.60416666666666663</v>
      </c>
    </row>
    <row r="868" spans="5:6" x14ac:dyDescent="0.3">
      <c r="E868" s="81">
        <v>0.60138888888888897</v>
      </c>
      <c r="F868" s="83">
        <f t="shared" si="13"/>
        <v>0.60416666666666663</v>
      </c>
    </row>
    <row r="869" spans="5:6" x14ac:dyDescent="0.3">
      <c r="E869" s="81">
        <v>0.60208333333333297</v>
      </c>
      <c r="F869" s="83">
        <f t="shared" si="13"/>
        <v>0.60416666666666663</v>
      </c>
    </row>
    <row r="870" spans="5:6" x14ac:dyDescent="0.3">
      <c r="E870" s="81">
        <v>0.60277777777777797</v>
      </c>
      <c r="F870" s="83">
        <f t="shared" si="13"/>
        <v>0.60416666666666663</v>
      </c>
    </row>
    <row r="871" spans="5:6" x14ac:dyDescent="0.3">
      <c r="E871" s="81">
        <v>0.60347222222222197</v>
      </c>
      <c r="F871" s="83">
        <f t="shared" si="13"/>
        <v>0.60416666666666663</v>
      </c>
    </row>
    <row r="872" spans="5:6" x14ac:dyDescent="0.3">
      <c r="E872" s="81">
        <v>0.60416666666666696</v>
      </c>
      <c r="F872" s="83">
        <f t="shared" si="13"/>
        <v>0.61458333333333337</v>
      </c>
    </row>
    <row r="873" spans="5:6" x14ac:dyDescent="0.3">
      <c r="E873" s="81">
        <v>0.60486111111111096</v>
      </c>
      <c r="F873" s="83">
        <f t="shared" si="13"/>
        <v>0.61458333333333337</v>
      </c>
    </row>
    <row r="874" spans="5:6" x14ac:dyDescent="0.3">
      <c r="E874" s="81">
        <v>0.60555555555555596</v>
      </c>
      <c r="F874" s="83">
        <f t="shared" si="13"/>
        <v>0.61458333333333337</v>
      </c>
    </row>
    <row r="875" spans="5:6" x14ac:dyDescent="0.3">
      <c r="E875" s="81">
        <v>0.60624999999999996</v>
      </c>
      <c r="F875" s="83">
        <f t="shared" si="13"/>
        <v>0.61458333333333337</v>
      </c>
    </row>
    <row r="876" spans="5:6" x14ac:dyDescent="0.3">
      <c r="E876" s="81">
        <v>0.60694444444444495</v>
      </c>
      <c r="F876" s="83">
        <f t="shared" si="13"/>
        <v>0.61458333333333337</v>
      </c>
    </row>
    <row r="877" spans="5:6" x14ac:dyDescent="0.3">
      <c r="E877" s="81">
        <v>0.60763888888888895</v>
      </c>
      <c r="F877" s="83">
        <f t="shared" si="13"/>
        <v>0.61458333333333337</v>
      </c>
    </row>
    <row r="878" spans="5:6" x14ac:dyDescent="0.3">
      <c r="E878" s="81">
        <v>0.60833333333333295</v>
      </c>
      <c r="F878" s="83">
        <f t="shared" si="13"/>
        <v>0.61458333333333337</v>
      </c>
    </row>
    <row r="879" spans="5:6" x14ac:dyDescent="0.3">
      <c r="E879" s="81">
        <v>0.60902777777777795</v>
      </c>
      <c r="F879" s="83">
        <f t="shared" si="13"/>
        <v>0.61458333333333337</v>
      </c>
    </row>
    <row r="880" spans="5:6" x14ac:dyDescent="0.3">
      <c r="E880" s="81">
        <v>0.60972222222222205</v>
      </c>
      <c r="F880" s="83">
        <f t="shared" si="13"/>
        <v>0.61458333333333337</v>
      </c>
    </row>
    <row r="881" spans="5:6" x14ac:dyDescent="0.3">
      <c r="E881" s="81">
        <v>0.61041666666666705</v>
      </c>
      <c r="F881" s="83">
        <f t="shared" si="13"/>
        <v>0.61458333333333337</v>
      </c>
    </row>
    <row r="882" spans="5:6" x14ac:dyDescent="0.3">
      <c r="E882" s="81">
        <v>0.61111111111111105</v>
      </c>
      <c r="F882" s="83">
        <f t="shared" si="13"/>
        <v>0.61458333333333337</v>
      </c>
    </row>
    <row r="883" spans="5:6" x14ac:dyDescent="0.3">
      <c r="E883" s="81">
        <v>0.61180555555555605</v>
      </c>
      <c r="F883" s="83">
        <f t="shared" si="13"/>
        <v>0.61458333333333337</v>
      </c>
    </row>
    <row r="884" spans="5:6" x14ac:dyDescent="0.3">
      <c r="E884" s="81">
        <v>0.61250000000000004</v>
      </c>
      <c r="F884" s="83">
        <f t="shared" si="13"/>
        <v>0.61458333333333337</v>
      </c>
    </row>
    <row r="885" spans="5:6" x14ac:dyDescent="0.3">
      <c r="E885" s="81">
        <v>0.61319444444444404</v>
      </c>
      <c r="F885" s="83">
        <f t="shared" si="13"/>
        <v>0.61458333333333337</v>
      </c>
    </row>
    <row r="886" spans="5:6" x14ac:dyDescent="0.3">
      <c r="E886" s="81">
        <v>0.61388888888888904</v>
      </c>
      <c r="F886" s="83">
        <f t="shared" si="13"/>
        <v>0.61458333333333337</v>
      </c>
    </row>
    <row r="887" spans="5:6" x14ac:dyDescent="0.3">
      <c r="E887" s="81">
        <v>0.61458333333333304</v>
      </c>
      <c r="F887" s="83">
        <f t="shared" si="13"/>
        <v>0.625</v>
      </c>
    </row>
    <row r="888" spans="5:6" x14ac:dyDescent="0.3">
      <c r="E888" s="81">
        <v>0.61527777777777803</v>
      </c>
      <c r="F888" s="83">
        <f t="shared" si="13"/>
        <v>0.625</v>
      </c>
    </row>
    <row r="889" spans="5:6" x14ac:dyDescent="0.3">
      <c r="E889" s="81">
        <v>0.61597222222222203</v>
      </c>
      <c r="F889" s="83">
        <f t="shared" si="13"/>
        <v>0.625</v>
      </c>
    </row>
    <row r="890" spans="5:6" x14ac:dyDescent="0.3">
      <c r="E890" s="81">
        <v>0.61666666666666703</v>
      </c>
      <c r="F890" s="83">
        <f t="shared" si="13"/>
        <v>0.625</v>
      </c>
    </row>
    <row r="891" spans="5:6" x14ac:dyDescent="0.3">
      <c r="E891" s="81">
        <v>0.61736111111111103</v>
      </c>
      <c r="F891" s="83">
        <f t="shared" si="13"/>
        <v>0.625</v>
      </c>
    </row>
    <row r="892" spans="5:6" x14ac:dyDescent="0.3">
      <c r="E892" s="81">
        <v>0.61805555555555602</v>
      </c>
      <c r="F892" s="83">
        <f t="shared" si="13"/>
        <v>0.625</v>
      </c>
    </row>
    <row r="893" spans="5:6" x14ac:dyDescent="0.3">
      <c r="E893" s="81">
        <v>0.61875000000000002</v>
      </c>
      <c r="F893" s="83">
        <f t="shared" si="13"/>
        <v>0.625</v>
      </c>
    </row>
    <row r="894" spans="5:6" x14ac:dyDescent="0.3">
      <c r="E894" s="81">
        <v>0.61944444444444402</v>
      </c>
      <c r="F894" s="83">
        <f t="shared" si="13"/>
        <v>0.625</v>
      </c>
    </row>
    <row r="895" spans="5:6" x14ac:dyDescent="0.3">
      <c r="E895" s="81">
        <v>0.62013888888888902</v>
      </c>
      <c r="F895" s="83">
        <f t="shared" si="13"/>
        <v>0.625</v>
      </c>
    </row>
    <row r="896" spans="5:6" x14ac:dyDescent="0.3">
      <c r="E896" s="81">
        <v>0.62083333333333302</v>
      </c>
      <c r="F896" s="83">
        <f t="shared" si="13"/>
        <v>0.625</v>
      </c>
    </row>
    <row r="897" spans="5:6" x14ac:dyDescent="0.3">
      <c r="E897" s="81">
        <v>0.62152777777777801</v>
      </c>
      <c r="F897" s="83">
        <f t="shared" si="13"/>
        <v>0.625</v>
      </c>
    </row>
    <row r="898" spans="5:6" x14ac:dyDescent="0.3">
      <c r="E898" s="81">
        <v>0.62222222222222201</v>
      </c>
      <c r="F898" s="83">
        <f t="shared" si="13"/>
        <v>0.625</v>
      </c>
    </row>
    <row r="899" spans="5:6" x14ac:dyDescent="0.3">
      <c r="E899" s="81">
        <v>0.62291666666666701</v>
      </c>
      <c r="F899" s="83">
        <f t="shared" ref="F899:F962" si="14">ROUNDUP(E899*4*24+1/60/24,0)/4/24</f>
        <v>0.625</v>
      </c>
    </row>
    <row r="900" spans="5:6" x14ac:dyDescent="0.3">
      <c r="E900" s="81">
        <v>0.62361111111111101</v>
      </c>
      <c r="F900" s="83">
        <f t="shared" si="14"/>
        <v>0.625</v>
      </c>
    </row>
    <row r="901" spans="5:6" x14ac:dyDescent="0.3">
      <c r="E901" s="81">
        <v>0.624305555555556</v>
      </c>
      <c r="F901" s="83">
        <f t="shared" si="14"/>
        <v>0.625</v>
      </c>
    </row>
    <row r="902" spans="5:6" x14ac:dyDescent="0.3">
      <c r="E902" s="81">
        <v>0.625</v>
      </c>
      <c r="F902" s="83">
        <f t="shared" si="14"/>
        <v>0.63541666666666663</v>
      </c>
    </row>
    <row r="903" spans="5:6" x14ac:dyDescent="0.3">
      <c r="E903" s="81">
        <v>0.625694444444444</v>
      </c>
      <c r="F903" s="83">
        <f t="shared" si="14"/>
        <v>0.63541666666666663</v>
      </c>
    </row>
    <row r="904" spans="5:6" x14ac:dyDescent="0.3">
      <c r="E904" s="81">
        <v>0.62638888888888899</v>
      </c>
      <c r="F904" s="83">
        <f t="shared" si="14"/>
        <v>0.63541666666666663</v>
      </c>
    </row>
    <row r="905" spans="5:6" x14ac:dyDescent="0.3">
      <c r="E905" s="81">
        <v>0.62708333333333299</v>
      </c>
      <c r="F905" s="83">
        <f t="shared" si="14"/>
        <v>0.63541666666666663</v>
      </c>
    </row>
    <row r="906" spans="5:6" x14ac:dyDescent="0.3">
      <c r="E906" s="81">
        <v>0.62777777777777799</v>
      </c>
      <c r="F906" s="83">
        <f t="shared" si="14"/>
        <v>0.63541666666666663</v>
      </c>
    </row>
    <row r="907" spans="5:6" x14ac:dyDescent="0.3">
      <c r="E907" s="81">
        <v>0.62847222222222199</v>
      </c>
      <c r="F907" s="83">
        <f t="shared" si="14"/>
        <v>0.63541666666666663</v>
      </c>
    </row>
    <row r="908" spans="5:6" x14ac:dyDescent="0.3">
      <c r="E908" s="81">
        <v>0.62916666666666698</v>
      </c>
      <c r="F908" s="83">
        <f t="shared" si="14"/>
        <v>0.63541666666666663</v>
      </c>
    </row>
    <row r="909" spans="5:6" x14ac:dyDescent="0.3">
      <c r="E909" s="81">
        <v>0.62986111111111098</v>
      </c>
      <c r="F909" s="83">
        <f t="shared" si="14"/>
        <v>0.63541666666666663</v>
      </c>
    </row>
    <row r="910" spans="5:6" x14ac:dyDescent="0.3">
      <c r="E910" s="81">
        <v>0.63055555555555598</v>
      </c>
      <c r="F910" s="83">
        <f t="shared" si="14"/>
        <v>0.63541666666666663</v>
      </c>
    </row>
    <row r="911" spans="5:6" x14ac:dyDescent="0.3">
      <c r="E911" s="81">
        <v>0.63124999999999998</v>
      </c>
      <c r="F911" s="83">
        <f t="shared" si="14"/>
        <v>0.63541666666666663</v>
      </c>
    </row>
    <row r="912" spans="5:6" x14ac:dyDescent="0.3">
      <c r="E912" s="81">
        <v>0.63194444444444398</v>
      </c>
      <c r="F912" s="83">
        <f t="shared" si="14"/>
        <v>0.63541666666666663</v>
      </c>
    </row>
    <row r="913" spans="5:6" x14ac:dyDescent="0.3">
      <c r="E913" s="81">
        <v>0.63263888888888897</v>
      </c>
      <c r="F913" s="83">
        <f t="shared" si="14"/>
        <v>0.63541666666666663</v>
      </c>
    </row>
    <row r="914" spans="5:6" x14ac:dyDescent="0.3">
      <c r="E914" s="81">
        <v>0.63333333333333297</v>
      </c>
      <c r="F914" s="83">
        <f t="shared" si="14"/>
        <v>0.63541666666666663</v>
      </c>
    </row>
    <row r="915" spans="5:6" x14ac:dyDescent="0.3">
      <c r="E915" s="81">
        <v>0.63402777777777797</v>
      </c>
      <c r="F915" s="83">
        <f t="shared" si="14"/>
        <v>0.63541666666666663</v>
      </c>
    </row>
    <row r="916" spans="5:6" x14ac:dyDescent="0.3">
      <c r="E916" s="81">
        <v>0.63472222222222197</v>
      </c>
      <c r="F916" s="83">
        <f t="shared" si="14"/>
        <v>0.63541666666666663</v>
      </c>
    </row>
    <row r="917" spans="5:6" x14ac:dyDescent="0.3">
      <c r="E917" s="81">
        <v>0.63541666666666696</v>
      </c>
      <c r="F917" s="83">
        <f t="shared" si="14"/>
        <v>0.64583333333333337</v>
      </c>
    </row>
    <row r="918" spans="5:6" x14ac:dyDescent="0.3">
      <c r="E918" s="81">
        <v>0.63611111111111096</v>
      </c>
      <c r="F918" s="83">
        <f t="shared" si="14"/>
        <v>0.64583333333333337</v>
      </c>
    </row>
    <row r="919" spans="5:6" x14ac:dyDescent="0.3">
      <c r="E919" s="81">
        <v>0.63680555555555596</v>
      </c>
      <c r="F919" s="83">
        <f t="shared" si="14"/>
        <v>0.64583333333333337</v>
      </c>
    </row>
    <row r="920" spans="5:6" x14ac:dyDescent="0.3">
      <c r="E920" s="81">
        <v>0.63749999999999996</v>
      </c>
      <c r="F920" s="83">
        <f t="shared" si="14"/>
        <v>0.64583333333333337</v>
      </c>
    </row>
    <row r="921" spans="5:6" x14ac:dyDescent="0.3">
      <c r="E921" s="81">
        <v>0.63819444444444495</v>
      </c>
      <c r="F921" s="83">
        <f t="shared" si="14"/>
        <v>0.64583333333333337</v>
      </c>
    </row>
    <row r="922" spans="5:6" x14ac:dyDescent="0.3">
      <c r="E922" s="81">
        <v>0.63888888888888895</v>
      </c>
      <c r="F922" s="83">
        <f t="shared" si="14"/>
        <v>0.64583333333333337</v>
      </c>
    </row>
    <row r="923" spans="5:6" x14ac:dyDescent="0.3">
      <c r="E923" s="81">
        <v>0.63958333333333295</v>
      </c>
      <c r="F923" s="83">
        <f t="shared" si="14"/>
        <v>0.64583333333333337</v>
      </c>
    </row>
    <row r="924" spans="5:6" x14ac:dyDescent="0.3">
      <c r="E924" s="81">
        <v>0.64027777777777795</v>
      </c>
      <c r="F924" s="83">
        <f t="shared" si="14"/>
        <v>0.64583333333333337</v>
      </c>
    </row>
    <row r="925" spans="5:6" x14ac:dyDescent="0.3">
      <c r="E925" s="81">
        <v>0.64097222222222205</v>
      </c>
      <c r="F925" s="83">
        <f t="shared" si="14"/>
        <v>0.64583333333333337</v>
      </c>
    </row>
    <row r="926" spans="5:6" x14ac:dyDescent="0.3">
      <c r="E926" s="81">
        <v>0.64166666666666705</v>
      </c>
      <c r="F926" s="83">
        <f t="shared" si="14"/>
        <v>0.64583333333333337</v>
      </c>
    </row>
    <row r="927" spans="5:6" x14ac:dyDescent="0.3">
      <c r="E927" s="81">
        <v>0.64236111111111105</v>
      </c>
      <c r="F927" s="83">
        <f t="shared" si="14"/>
        <v>0.64583333333333337</v>
      </c>
    </row>
    <row r="928" spans="5:6" x14ac:dyDescent="0.3">
      <c r="E928" s="81">
        <v>0.64305555555555605</v>
      </c>
      <c r="F928" s="83">
        <f t="shared" si="14"/>
        <v>0.64583333333333337</v>
      </c>
    </row>
    <row r="929" spans="5:6" x14ac:dyDescent="0.3">
      <c r="E929" s="81">
        <v>0.64375000000000004</v>
      </c>
      <c r="F929" s="83">
        <f t="shared" si="14"/>
        <v>0.64583333333333337</v>
      </c>
    </row>
    <row r="930" spans="5:6" x14ac:dyDescent="0.3">
      <c r="E930" s="81">
        <v>0.64444444444444404</v>
      </c>
      <c r="F930" s="83">
        <f t="shared" si="14"/>
        <v>0.64583333333333337</v>
      </c>
    </row>
    <row r="931" spans="5:6" x14ac:dyDescent="0.3">
      <c r="E931" s="81">
        <v>0.64513888888888904</v>
      </c>
      <c r="F931" s="83">
        <f t="shared" si="14"/>
        <v>0.64583333333333337</v>
      </c>
    </row>
    <row r="932" spans="5:6" x14ac:dyDescent="0.3">
      <c r="E932" s="81">
        <v>0.64583333333333304</v>
      </c>
      <c r="F932" s="83">
        <f t="shared" si="14"/>
        <v>0.65625</v>
      </c>
    </row>
    <row r="933" spans="5:6" x14ac:dyDescent="0.3">
      <c r="E933" s="81">
        <v>0.64652777777777803</v>
      </c>
      <c r="F933" s="83">
        <f t="shared" si="14"/>
        <v>0.65625</v>
      </c>
    </row>
    <row r="934" spans="5:6" x14ac:dyDescent="0.3">
      <c r="E934" s="81">
        <v>0.64722222222222203</v>
      </c>
      <c r="F934" s="83">
        <f t="shared" si="14"/>
        <v>0.65625</v>
      </c>
    </row>
    <row r="935" spans="5:6" x14ac:dyDescent="0.3">
      <c r="E935" s="81">
        <v>0.64791666666666703</v>
      </c>
      <c r="F935" s="83">
        <f t="shared" si="14"/>
        <v>0.65625</v>
      </c>
    </row>
    <row r="936" spans="5:6" x14ac:dyDescent="0.3">
      <c r="E936" s="81">
        <v>0.64861111111111103</v>
      </c>
      <c r="F936" s="83">
        <f t="shared" si="14"/>
        <v>0.65625</v>
      </c>
    </row>
    <row r="937" spans="5:6" x14ac:dyDescent="0.3">
      <c r="E937" s="81">
        <v>0.64930555555555602</v>
      </c>
      <c r="F937" s="83">
        <f t="shared" si="14"/>
        <v>0.65625</v>
      </c>
    </row>
    <row r="938" spans="5:6" x14ac:dyDescent="0.3">
      <c r="E938" s="81">
        <v>0.65</v>
      </c>
      <c r="F938" s="83">
        <f t="shared" si="14"/>
        <v>0.65625</v>
      </c>
    </row>
    <row r="939" spans="5:6" x14ac:dyDescent="0.3">
      <c r="E939" s="81">
        <v>0.65069444444444402</v>
      </c>
      <c r="F939" s="83">
        <f t="shared" si="14"/>
        <v>0.65625</v>
      </c>
    </row>
    <row r="940" spans="5:6" x14ac:dyDescent="0.3">
      <c r="E940" s="81">
        <v>0.65138888888888902</v>
      </c>
      <c r="F940" s="83">
        <f t="shared" si="14"/>
        <v>0.65625</v>
      </c>
    </row>
    <row r="941" spans="5:6" x14ac:dyDescent="0.3">
      <c r="E941" s="81">
        <v>0.65208333333333302</v>
      </c>
      <c r="F941" s="83">
        <f t="shared" si="14"/>
        <v>0.65625</v>
      </c>
    </row>
    <row r="942" spans="5:6" x14ac:dyDescent="0.3">
      <c r="E942" s="81">
        <v>0.65277777777777801</v>
      </c>
      <c r="F942" s="83">
        <f t="shared" si="14"/>
        <v>0.65625</v>
      </c>
    </row>
    <row r="943" spans="5:6" x14ac:dyDescent="0.3">
      <c r="E943" s="81">
        <v>0.65347222222222201</v>
      </c>
      <c r="F943" s="83">
        <f t="shared" si="14"/>
        <v>0.65625</v>
      </c>
    </row>
    <row r="944" spans="5:6" x14ac:dyDescent="0.3">
      <c r="E944" s="81">
        <v>0.65416666666666701</v>
      </c>
      <c r="F944" s="83">
        <f t="shared" si="14"/>
        <v>0.65625</v>
      </c>
    </row>
    <row r="945" spans="5:6" x14ac:dyDescent="0.3">
      <c r="E945" s="81">
        <v>0.65486111111111101</v>
      </c>
      <c r="F945" s="83">
        <f t="shared" si="14"/>
        <v>0.65625</v>
      </c>
    </row>
    <row r="946" spans="5:6" x14ac:dyDescent="0.3">
      <c r="E946" s="81">
        <v>0.655555555555556</v>
      </c>
      <c r="F946" s="83">
        <f t="shared" si="14"/>
        <v>0.65625</v>
      </c>
    </row>
    <row r="947" spans="5:6" x14ac:dyDescent="0.3">
      <c r="E947" s="81">
        <v>0.65625</v>
      </c>
      <c r="F947" s="83">
        <f t="shared" si="14"/>
        <v>0.66666666666666663</v>
      </c>
    </row>
    <row r="948" spans="5:6" x14ac:dyDescent="0.3">
      <c r="E948" s="81">
        <v>0.656944444444444</v>
      </c>
      <c r="F948" s="83">
        <f t="shared" si="14"/>
        <v>0.66666666666666663</v>
      </c>
    </row>
    <row r="949" spans="5:6" x14ac:dyDescent="0.3">
      <c r="E949" s="81">
        <v>0.65763888888888899</v>
      </c>
      <c r="F949" s="83">
        <f t="shared" si="14"/>
        <v>0.66666666666666663</v>
      </c>
    </row>
    <row r="950" spans="5:6" x14ac:dyDescent="0.3">
      <c r="E950" s="81">
        <v>0.65833333333333299</v>
      </c>
      <c r="F950" s="83">
        <f t="shared" si="14"/>
        <v>0.66666666666666663</v>
      </c>
    </row>
    <row r="951" spans="5:6" x14ac:dyDescent="0.3">
      <c r="E951" s="81">
        <v>0.65902777777777799</v>
      </c>
      <c r="F951" s="83">
        <f t="shared" si="14"/>
        <v>0.66666666666666663</v>
      </c>
    </row>
    <row r="952" spans="5:6" x14ac:dyDescent="0.3">
      <c r="E952" s="81">
        <v>0.65972222222222199</v>
      </c>
      <c r="F952" s="83">
        <f t="shared" si="14"/>
        <v>0.66666666666666663</v>
      </c>
    </row>
    <row r="953" spans="5:6" x14ac:dyDescent="0.3">
      <c r="E953" s="81">
        <v>0.66041666666666698</v>
      </c>
      <c r="F953" s="83">
        <f t="shared" si="14"/>
        <v>0.66666666666666663</v>
      </c>
    </row>
    <row r="954" spans="5:6" x14ac:dyDescent="0.3">
      <c r="E954" s="81">
        <v>0.66111111111111098</v>
      </c>
      <c r="F954" s="83">
        <f t="shared" si="14"/>
        <v>0.66666666666666663</v>
      </c>
    </row>
    <row r="955" spans="5:6" x14ac:dyDescent="0.3">
      <c r="E955" s="81">
        <v>0.66180555555555598</v>
      </c>
      <c r="F955" s="83">
        <f t="shared" si="14"/>
        <v>0.66666666666666663</v>
      </c>
    </row>
    <row r="956" spans="5:6" x14ac:dyDescent="0.3">
      <c r="E956" s="81">
        <v>0.66249999999999998</v>
      </c>
      <c r="F956" s="83">
        <f t="shared" si="14"/>
        <v>0.66666666666666663</v>
      </c>
    </row>
    <row r="957" spans="5:6" x14ac:dyDescent="0.3">
      <c r="E957" s="81">
        <v>0.66319444444444398</v>
      </c>
      <c r="F957" s="83">
        <f t="shared" si="14"/>
        <v>0.66666666666666663</v>
      </c>
    </row>
    <row r="958" spans="5:6" x14ac:dyDescent="0.3">
      <c r="E958" s="81">
        <v>0.66388888888888897</v>
      </c>
      <c r="F958" s="83">
        <f t="shared" si="14"/>
        <v>0.66666666666666663</v>
      </c>
    </row>
    <row r="959" spans="5:6" x14ac:dyDescent="0.3">
      <c r="E959" s="81">
        <v>0.66458333333333297</v>
      </c>
      <c r="F959" s="83">
        <f t="shared" si="14"/>
        <v>0.66666666666666663</v>
      </c>
    </row>
    <row r="960" spans="5:6" x14ac:dyDescent="0.3">
      <c r="E960" s="81">
        <v>0.66527777777777797</v>
      </c>
      <c r="F960" s="83">
        <f t="shared" si="14"/>
        <v>0.66666666666666663</v>
      </c>
    </row>
    <row r="961" spans="5:6" x14ac:dyDescent="0.3">
      <c r="E961" s="81">
        <v>0.66597222222222197</v>
      </c>
      <c r="F961" s="83">
        <f t="shared" si="14"/>
        <v>0.66666666666666663</v>
      </c>
    </row>
    <row r="962" spans="5:6" x14ac:dyDescent="0.3">
      <c r="E962" s="81">
        <v>0.66666666666666696</v>
      </c>
      <c r="F962" s="83">
        <f t="shared" si="14"/>
        <v>0.67708333333333337</v>
      </c>
    </row>
    <row r="963" spans="5:6" x14ac:dyDescent="0.3">
      <c r="E963" s="81">
        <v>0.66736111111111096</v>
      </c>
      <c r="F963" s="83">
        <f t="shared" ref="F963:F1026" si="15">ROUNDUP(E963*4*24+1/60/24,0)/4/24</f>
        <v>0.67708333333333337</v>
      </c>
    </row>
    <row r="964" spans="5:6" x14ac:dyDescent="0.3">
      <c r="E964" s="81">
        <v>0.66805555555555596</v>
      </c>
      <c r="F964" s="83">
        <f t="shared" si="15"/>
        <v>0.67708333333333337</v>
      </c>
    </row>
    <row r="965" spans="5:6" x14ac:dyDescent="0.3">
      <c r="E965" s="81">
        <v>0.66874999999999996</v>
      </c>
      <c r="F965" s="83">
        <f t="shared" si="15"/>
        <v>0.67708333333333337</v>
      </c>
    </row>
    <row r="966" spans="5:6" x14ac:dyDescent="0.3">
      <c r="E966" s="81">
        <v>0.66944444444444495</v>
      </c>
      <c r="F966" s="83">
        <f t="shared" si="15"/>
        <v>0.67708333333333337</v>
      </c>
    </row>
    <row r="967" spans="5:6" x14ac:dyDescent="0.3">
      <c r="E967" s="81">
        <v>0.67013888888888895</v>
      </c>
      <c r="F967" s="83">
        <f t="shared" si="15"/>
        <v>0.67708333333333337</v>
      </c>
    </row>
    <row r="968" spans="5:6" x14ac:dyDescent="0.3">
      <c r="E968" s="81">
        <v>0.67083333333333295</v>
      </c>
      <c r="F968" s="83">
        <f t="shared" si="15"/>
        <v>0.67708333333333337</v>
      </c>
    </row>
    <row r="969" spans="5:6" x14ac:dyDescent="0.3">
      <c r="E969" s="81">
        <v>0.67152777777777795</v>
      </c>
      <c r="F969" s="83">
        <f t="shared" si="15"/>
        <v>0.67708333333333337</v>
      </c>
    </row>
    <row r="970" spans="5:6" x14ac:dyDescent="0.3">
      <c r="E970" s="81">
        <v>0.67222222222222205</v>
      </c>
      <c r="F970" s="83">
        <f t="shared" si="15"/>
        <v>0.67708333333333337</v>
      </c>
    </row>
    <row r="971" spans="5:6" x14ac:dyDescent="0.3">
      <c r="E971" s="81">
        <v>0.67291666666666705</v>
      </c>
      <c r="F971" s="83">
        <f t="shared" si="15"/>
        <v>0.67708333333333337</v>
      </c>
    </row>
    <row r="972" spans="5:6" x14ac:dyDescent="0.3">
      <c r="E972" s="81">
        <v>0.67361111111111105</v>
      </c>
      <c r="F972" s="83">
        <f t="shared" si="15"/>
        <v>0.67708333333333337</v>
      </c>
    </row>
    <row r="973" spans="5:6" x14ac:dyDescent="0.3">
      <c r="E973" s="81">
        <v>0.67430555555555605</v>
      </c>
      <c r="F973" s="83">
        <f t="shared" si="15"/>
        <v>0.67708333333333337</v>
      </c>
    </row>
    <row r="974" spans="5:6" x14ac:dyDescent="0.3">
      <c r="E974" s="81">
        <v>0.67500000000000004</v>
      </c>
      <c r="F974" s="83">
        <f t="shared" si="15"/>
        <v>0.67708333333333337</v>
      </c>
    </row>
    <row r="975" spans="5:6" x14ac:dyDescent="0.3">
      <c r="E975" s="81">
        <v>0.67569444444444404</v>
      </c>
      <c r="F975" s="83">
        <f t="shared" si="15"/>
        <v>0.67708333333333337</v>
      </c>
    </row>
    <row r="976" spans="5:6" x14ac:dyDescent="0.3">
      <c r="E976" s="81">
        <v>0.67638888888888904</v>
      </c>
      <c r="F976" s="83">
        <f t="shared" si="15"/>
        <v>0.67708333333333337</v>
      </c>
    </row>
    <row r="977" spans="5:6" x14ac:dyDescent="0.3">
      <c r="E977" s="81">
        <v>0.67708333333333304</v>
      </c>
      <c r="F977" s="83">
        <f t="shared" si="15"/>
        <v>0.6875</v>
      </c>
    </row>
    <row r="978" spans="5:6" x14ac:dyDescent="0.3">
      <c r="E978" s="81">
        <v>0.67777777777777803</v>
      </c>
      <c r="F978" s="83">
        <f t="shared" si="15"/>
        <v>0.6875</v>
      </c>
    </row>
    <row r="979" spans="5:6" x14ac:dyDescent="0.3">
      <c r="E979" s="81">
        <v>0.67847222222222203</v>
      </c>
      <c r="F979" s="83">
        <f t="shared" si="15"/>
        <v>0.6875</v>
      </c>
    </row>
    <row r="980" spans="5:6" x14ac:dyDescent="0.3">
      <c r="E980" s="81">
        <v>0.67916666666666703</v>
      </c>
      <c r="F980" s="83">
        <f t="shared" si="15"/>
        <v>0.6875</v>
      </c>
    </row>
    <row r="981" spans="5:6" x14ac:dyDescent="0.3">
      <c r="E981" s="81">
        <v>0.67986111111111103</v>
      </c>
      <c r="F981" s="83">
        <f t="shared" si="15"/>
        <v>0.6875</v>
      </c>
    </row>
    <row r="982" spans="5:6" x14ac:dyDescent="0.3">
      <c r="E982" s="81">
        <v>0.68055555555555602</v>
      </c>
      <c r="F982" s="83">
        <f t="shared" si="15"/>
        <v>0.6875</v>
      </c>
    </row>
    <row r="983" spans="5:6" x14ac:dyDescent="0.3">
      <c r="E983" s="81">
        <v>0.68125000000000002</v>
      </c>
      <c r="F983" s="83">
        <f t="shared" si="15"/>
        <v>0.6875</v>
      </c>
    </row>
    <row r="984" spans="5:6" x14ac:dyDescent="0.3">
      <c r="E984" s="81">
        <v>0.68194444444444402</v>
      </c>
      <c r="F984" s="83">
        <f t="shared" si="15"/>
        <v>0.6875</v>
      </c>
    </row>
    <row r="985" spans="5:6" x14ac:dyDescent="0.3">
      <c r="E985" s="81">
        <v>0.68263888888888902</v>
      </c>
      <c r="F985" s="83">
        <f t="shared" si="15"/>
        <v>0.6875</v>
      </c>
    </row>
    <row r="986" spans="5:6" x14ac:dyDescent="0.3">
      <c r="E986" s="81">
        <v>0.68333333333333302</v>
      </c>
      <c r="F986" s="83">
        <f t="shared" si="15"/>
        <v>0.6875</v>
      </c>
    </row>
    <row r="987" spans="5:6" x14ac:dyDescent="0.3">
      <c r="E987" s="81">
        <v>0.68402777777777801</v>
      </c>
      <c r="F987" s="83">
        <f t="shared" si="15"/>
        <v>0.6875</v>
      </c>
    </row>
    <row r="988" spans="5:6" x14ac:dyDescent="0.3">
      <c r="E988" s="81">
        <v>0.68472222222222201</v>
      </c>
      <c r="F988" s="83">
        <f t="shared" si="15"/>
        <v>0.6875</v>
      </c>
    </row>
    <row r="989" spans="5:6" x14ac:dyDescent="0.3">
      <c r="E989" s="81">
        <v>0.68541666666666701</v>
      </c>
      <c r="F989" s="83">
        <f t="shared" si="15"/>
        <v>0.6875</v>
      </c>
    </row>
    <row r="990" spans="5:6" x14ac:dyDescent="0.3">
      <c r="E990" s="81">
        <v>0.68611111111111101</v>
      </c>
      <c r="F990" s="83">
        <f t="shared" si="15"/>
        <v>0.6875</v>
      </c>
    </row>
    <row r="991" spans="5:6" x14ac:dyDescent="0.3">
      <c r="E991" s="81">
        <v>0.686805555555556</v>
      </c>
      <c r="F991" s="83">
        <f t="shared" si="15"/>
        <v>0.6875</v>
      </c>
    </row>
    <row r="992" spans="5:6" x14ac:dyDescent="0.3">
      <c r="E992" s="81">
        <v>0.6875</v>
      </c>
      <c r="F992" s="83">
        <f t="shared" si="15"/>
        <v>0.69791666666666663</v>
      </c>
    </row>
    <row r="993" spans="5:6" x14ac:dyDescent="0.3">
      <c r="E993" s="81">
        <v>0.688194444444444</v>
      </c>
      <c r="F993" s="83">
        <f t="shared" si="15"/>
        <v>0.69791666666666663</v>
      </c>
    </row>
    <row r="994" spans="5:6" x14ac:dyDescent="0.3">
      <c r="E994" s="81">
        <v>0.68888888888888899</v>
      </c>
      <c r="F994" s="83">
        <f t="shared" si="15"/>
        <v>0.69791666666666663</v>
      </c>
    </row>
    <row r="995" spans="5:6" x14ac:dyDescent="0.3">
      <c r="E995" s="81">
        <v>0.68958333333333299</v>
      </c>
      <c r="F995" s="83">
        <f t="shared" si="15"/>
        <v>0.69791666666666663</v>
      </c>
    </row>
    <row r="996" spans="5:6" x14ac:dyDescent="0.3">
      <c r="E996" s="81">
        <v>0.69027777777777799</v>
      </c>
      <c r="F996" s="83">
        <f t="shared" si="15"/>
        <v>0.69791666666666663</v>
      </c>
    </row>
    <row r="997" spans="5:6" x14ac:dyDescent="0.3">
      <c r="E997" s="81">
        <v>0.69097222222222199</v>
      </c>
      <c r="F997" s="83">
        <f t="shared" si="15"/>
        <v>0.69791666666666663</v>
      </c>
    </row>
    <row r="998" spans="5:6" x14ac:dyDescent="0.3">
      <c r="E998" s="81">
        <v>0.69166666666666698</v>
      </c>
      <c r="F998" s="83">
        <f t="shared" si="15"/>
        <v>0.69791666666666663</v>
      </c>
    </row>
    <row r="999" spans="5:6" x14ac:dyDescent="0.3">
      <c r="E999" s="81">
        <v>0.69236111111111098</v>
      </c>
      <c r="F999" s="83">
        <f t="shared" si="15"/>
        <v>0.69791666666666663</v>
      </c>
    </row>
    <row r="1000" spans="5:6" x14ac:dyDescent="0.3">
      <c r="E1000" s="81">
        <v>0.69305555555555598</v>
      </c>
      <c r="F1000" s="83">
        <f t="shared" si="15"/>
        <v>0.69791666666666663</v>
      </c>
    </row>
    <row r="1001" spans="5:6" x14ac:dyDescent="0.3">
      <c r="E1001" s="81">
        <v>0.69374999999999998</v>
      </c>
      <c r="F1001" s="83">
        <f t="shared" si="15"/>
        <v>0.69791666666666663</v>
      </c>
    </row>
    <row r="1002" spans="5:6" x14ac:dyDescent="0.3">
      <c r="E1002" s="81">
        <v>0.69444444444444398</v>
      </c>
      <c r="F1002" s="83">
        <f t="shared" si="15"/>
        <v>0.69791666666666663</v>
      </c>
    </row>
    <row r="1003" spans="5:6" x14ac:dyDescent="0.3">
      <c r="E1003" s="81">
        <v>0.69513888888888897</v>
      </c>
      <c r="F1003" s="83">
        <f t="shared" si="15"/>
        <v>0.69791666666666663</v>
      </c>
    </row>
    <row r="1004" spans="5:6" x14ac:dyDescent="0.3">
      <c r="E1004" s="81">
        <v>0.69583333333333297</v>
      </c>
      <c r="F1004" s="83">
        <f t="shared" si="15"/>
        <v>0.69791666666666663</v>
      </c>
    </row>
    <row r="1005" spans="5:6" x14ac:dyDescent="0.3">
      <c r="E1005" s="81">
        <v>0.69652777777777797</v>
      </c>
      <c r="F1005" s="83">
        <f t="shared" si="15"/>
        <v>0.69791666666666663</v>
      </c>
    </row>
    <row r="1006" spans="5:6" x14ac:dyDescent="0.3">
      <c r="E1006" s="81">
        <v>0.69722222222222197</v>
      </c>
      <c r="F1006" s="83">
        <f t="shared" si="15"/>
        <v>0.69791666666666663</v>
      </c>
    </row>
    <row r="1007" spans="5:6" x14ac:dyDescent="0.3">
      <c r="E1007" s="81">
        <v>0.69791666666666696</v>
      </c>
      <c r="F1007" s="83">
        <f t="shared" si="15"/>
        <v>0.70833333333333337</v>
      </c>
    </row>
    <row r="1008" spans="5:6" x14ac:dyDescent="0.3">
      <c r="E1008" s="81">
        <v>0.69861111111111096</v>
      </c>
      <c r="F1008" s="83">
        <f t="shared" si="15"/>
        <v>0.70833333333333337</v>
      </c>
    </row>
    <row r="1009" spans="5:6" x14ac:dyDescent="0.3">
      <c r="E1009" s="81">
        <v>0.69930555555555596</v>
      </c>
      <c r="F1009" s="83">
        <f t="shared" si="15"/>
        <v>0.70833333333333337</v>
      </c>
    </row>
    <row r="1010" spans="5:6" x14ac:dyDescent="0.3">
      <c r="E1010" s="81">
        <v>0.7</v>
      </c>
      <c r="F1010" s="83">
        <f t="shared" si="15"/>
        <v>0.70833333333333337</v>
      </c>
    </row>
    <row r="1011" spans="5:6" x14ac:dyDescent="0.3">
      <c r="E1011" s="81">
        <v>0.70069444444444495</v>
      </c>
      <c r="F1011" s="83">
        <f t="shared" si="15"/>
        <v>0.70833333333333337</v>
      </c>
    </row>
    <row r="1012" spans="5:6" x14ac:dyDescent="0.3">
      <c r="E1012" s="81">
        <v>0.70138888888888895</v>
      </c>
      <c r="F1012" s="83">
        <f t="shared" si="15"/>
        <v>0.70833333333333337</v>
      </c>
    </row>
    <row r="1013" spans="5:6" x14ac:dyDescent="0.3">
      <c r="E1013" s="81">
        <v>0.70208333333333295</v>
      </c>
      <c r="F1013" s="83">
        <f t="shared" si="15"/>
        <v>0.70833333333333337</v>
      </c>
    </row>
    <row r="1014" spans="5:6" x14ac:dyDescent="0.3">
      <c r="E1014" s="81">
        <v>0.70277777777777795</v>
      </c>
      <c r="F1014" s="83">
        <f t="shared" si="15"/>
        <v>0.70833333333333337</v>
      </c>
    </row>
    <row r="1015" spans="5:6" x14ac:dyDescent="0.3">
      <c r="E1015" s="81">
        <v>0.70347222222222205</v>
      </c>
      <c r="F1015" s="83">
        <f t="shared" si="15"/>
        <v>0.70833333333333337</v>
      </c>
    </row>
    <row r="1016" spans="5:6" x14ac:dyDescent="0.3">
      <c r="E1016" s="81">
        <v>0.70416666666666705</v>
      </c>
      <c r="F1016" s="83">
        <f t="shared" si="15"/>
        <v>0.70833333333333337</v>
      </c>
    </row>
    <row r="1017" spans="5:6" x14ac:dyDescent="0.3">
      <c r="E1017" s="81">
        <v>0.70486111111111105</v>
      </c>
      <c r="F1017" s="83">
        <f t="shared" si="15"/>
        <v>0.70833333333333337</v>
      </c>
    </row>
    <row r="1018" spans="5:6" x14ac:dyDescent="0.3">
      <c r="E1018" s="81">
        <v>0.70555555555555605</v>
      </c>
      <c r="F1018" s="83">
        <f t="shared" si="15"/>
        <v>0.70833333333333337</v>
      </c>
    </row>
    <row r="1019" spans="5:6" x14ac:dyDescent="0.3">
      <c r="E1019" s="81">
        <v>0.70625000000000004</v>
      </c>
      <c r="F1019" s="83">
        <f t="shared" si="15"/>
        <v>0.70833333333333337</v>
      </c>
    </row>
    <row r="1020" spans="5:6" x14ac:dyDescent="0.3">
      <c r="E1020" s="81">
        <v>0.70694444444444404</v>
      </c>
      <c r="F1020" s="83">
        <f t="shared" si="15"/>
        <v>0.70833333333333337</v>
      </c>
    </row>
    <row r="1021" spans="5:6" x14ac:dyDescent="0.3">
      <c r="E1021" s="81">
        <v>0.70763888888888904</v>
      </c>
      <c r="F1021" s="83">
        <f t="shared" si="15"/>
        <v>0.70833333333333337</v>
      </c>
    </row>
    <row r="1022" spans="5:6" x14ac:dyDescent="0.3">
      <c r="E1022" s="81">
        <v>0.70833333333333304</v>
      </c>
      <c r="F1022" s="83">
        <f t="shared" si="15"/>
        <v>0.71875</v>
      </c>
    </row>
    <row r="1023" spans="5:6" x14ac:dyDescent="0.3">
      <c r="E1023" s="81">
        <v>0.70902777777777803</v>
      </c>
      <c r="F1023" s="83">
        <f t="shared" si="15"/>
        <v>0.71875</v>
      </c>
    </row>
    <row r="1024" spans="5:6" x14ac:dyDescent="0.3">
      <c r="E1024" s="81">
        <v>0.70972222222222203</v>
      </c>
      <c r="F1024" s="83">
        <f t="shared" si="15"/>
        <v>0.71875</v>
      </c>
    </row>
    <row r="1025" spans="5:6" x14ac:dyDescent="0.3">
      <c r="E1025" s="81">
        <v>0.71041666666666703</v>
      </c>
      <c r="F1025" s="83">
        <f t="shared" si="15"/>
        <v>0.71875</v>
      </c>
    </row>
    <row r="1026" spans="5:6" x14ac:dyDescent="0.3">
      <c r="E1026" s="81">
        <v>0.71111111111111103</v>
      </c>
      <c r="F1026" s="83">
        <f t="shared" si="15"/>
        <v>0.71875</v>
      </c>
    </row>
    <row r="1027" spans="5:6" x14ac:dyDescent="0.3">
      <c r="E1027" s="81">
        <v>0.71180555555555602</v>
      </c>
      <c r="F1027" s="83">
        <f t="shared" ref="F1027:F1090" si="16">ROUNDUP(E1027*4*24+1/60/24,0)/4/24</f>
        <v>0.71875</v>
      </c>
    </row>
    <row r="1028" spans="5:6" x14ac:dyDescent="0.3">
      <c r="E1028" s="81">
        <v>0.71250000000000002</v>
      </c>
      <c r="F1028" s="83">
        <f t="shared" si="16"/>
        <v>0.71875</v>
      </c>
    </row>
    <row r="1029" spans="5:6" x14ac:dyDescent="0.3">
      <c r="E1029" s="81">
        <v>0.71319444444444402</v>
      </c>
      <c r="F1029" s="83">
        <f t="shared" si="16"/>
        <v>0.71875</v>
      </c>
    </row>
    <row r="1030" spans="5:6" x14ac:dyDescent="0.3">
      <c r="E1030" s="81">
        <v>0.71388888888888902</v>
      </c>
      <c r="F1030" s="83">
        <f t="shared" si="16"/>
        <v>0.71875</v>
      </c>
    </row>
    <row r="1031" spans="5:6" x14ac:dyDescent="0.3">
      <c r="E1031" s="81">
        <v>0.71458333333333302</v>
      </c>
      <c r="F1031" s="83">
        <f t="shared" si="16"/>
        <v>0.71875</v>
      </c>
    </row>
    <row r="1032" spans="5:6" x14ac:dyDescent="0.3">
      <c r="E1032" s="81">
        <v>0.71527777777777801</v>
      </c>
      <c r="F1032" s="83">
        <f t="shared" si="16"/>
        <v>0.71875</v>
      </c>
    </row>
    <row r="1033" spans="5:6" x14ac:dyDescent="0.3">
      <c r="E1033" s="81">
        <v>0.71597222222222201</v>
      </c>
      <c r="F1033" s="83">
        <f t="shared" si="16"/>
        <v>0.71875</v>
      </c>
    </row>
    <row r="1034" spans="5:6" x14ac:dyDescent="0.3">
      <c r="E1034" s="81">
        <v>0.71666666666666701</v>
      </c>
      <c r="F1034" s="83">
        <f t="shared" si="16"/>
        <v>0.71875</v>
      </c>
    </row>
    <row r="1035" spans="5:6" x14ac:dyDescent="0.3">
      <c r="E1035" s="81">
        <v>0.71736111111111101</v>
      </c>
      <c r="F1035" s="83">
        <f t="shared" si="16"/>
        <v>0.71875</v>
      </c>
    </row>
    <row r="1036" spans="5:6" x14ac:dyDescent="0.3">
      <c r="E1036" s="81">
        <v>0.718055555555556</v>
      </c>
      <c r="F1036" s="83">
        <f t="shared" si="16"/>
        <v>0.71875</v>
      </c>
    </row>
    <row r="1037" spans="5:6" x14ac:dyDescent="0.3">
      <c r="E1037" s="81">
        <v>0.71875</v>
      </c>
      <c r="F1037" s="83">
        <f t="shared" si="16"/>
        <v>0.72916666666666663</v>
      </c>
    </row>
    <row r="1038" spans="5:6" x14ac:dyDescent="0.3">
      <c r="E1038" s="81">
        <v>0.719444444444444</v>
      </c>
      <c r="F1038" s="83">
        <f t="shared" si="16"/>
        <v>0.72916666666666663</v>
      </c>
    </row>
    <row r="1039" spans="5:6" x14ac:dyDescent="0.3">
      <c r="E1039" s="81">
        <v>0.72013888888888899</v>
      </c>
      <c r="F1039" s="83">
        <f t="shared" si="16"/>
        <v>0.72916666666666663</v>
      </c>
    </row>
    <row r="1040" spans="5:6" x14ac:dyDescent="0.3">
      <c r="E1040" s="81">
        <v>0.72083333333333299</v>
      </c>
      <c r="F1040" s="83">
        <f t="shared" si="16"/>
        <v>0.72916666666666663</v>
      </c>
    </row>
    <row r="1041" spans="5:6" x14ac:dyDescent="0.3">
      <c r="E1041" s="81">
        <v>0.72152777777777799</v>
      </c>
      <c r="F1041" s="83">
        <f t="shared" si="16"/>
        <v>0.72916666666666663</v>
      </c>
    </row>
    <row r="1042" spans="5:6" x14ac:dyDescent="0.3">
      <c r="E1042" s="81">
        <v>0.72222222222222199</v>
      </c>
      <c r="F1042" s="83">
        <f t="shared" si="16"/>
        <v>0.72916666666666663</v>
      </c>
    </row>
    <row r="1043" spans="5:6" x14ac:dyDescent="0.3">
      <c r="E1043" s="81">
        <v>0.72291666666666698</v>
      </c>
      <c r="F1043" s="83">
        <f t="shared" si="16"/>
        <v>0.72916666666666663</v>
      </c>
    </row>
    <row r="1044" spans="5:6" x14ac:dyDescent="0.3">
      <c r="E1044" s="81">
        <v>0.72361111111111098</v>
      </c>
      <c r="F1044" s="83">
        <f t="shared" si="16"/>
        <v>0.72916666666666663</v>
      </c>
    </row>
    <row r="1045" spans="5:6" x14ac:dyDescent="0.3">
      <c r="E1045" s="81">
        <v>0.72430555555555598</v>
      </c>
      <c r="F1045" s="83">
        <f t="shared" si="16"/>
        <v>0.72916666666666663</v>
      </c>
    </row>
    <row r="1046" spans="5:6" x14ac:dyDescent="0.3">
      <c r="E1046" s="81">
        <v>0.72499999999999998</v>
      </c>
      <c r="F1046" s="83">
        <f t="shared" si="16"/>
        <v>0.72916666666666663</v>
      </c>
    </row>
    <row r="1047" spans="5:6" x14ac:dyDescent="0.3">
      <c r="E1047" s="81">
        <v>0.72569444444444398</v>
      </c>
      <c r="F1047" s="83">
        <f t="shared" si="16"/>
        <v>0.72916666666666663</v>
      </c>
    </row>
    <row r="1048" spans="5:6" x14ac:dyDescent="0.3">
      <c r="E1048" s="81">
        <v>0.72638888888888897</v>
      </c>
      <c r="F1048" s="83">
        <f t="shared" si="16"/>
        <v>0.72916666666666663</v>
      </c>
    </row>
    <row r="1049" spans="5:6" x14ac:dyDescent="0.3">
      <c r="E1049" s="81">
        <v>0.72708333333333297</v>
      </c>
      <c r="F1049" s="83">
        <f t="shared" si="16"/>
        <v>0.72916666666666663</v>
      </c>
    </row>
    <row r="1050" spans="5:6" x14ac:dyDescent="0.3">
      <c r="E1050" s="81">
        <v>0.72777777777777797</v>
      </c>
      <c r="F1050" s="83">
        <f t="shared" si="16"/>
        <v>0.72916666666666663</v>
      </c>
    </row>
    <row r="1051" spans="5:6" x14ac:dyDescent="0.3">
      <c r="E1051" s="81">
        <v>0.72847222222222197</v>
      </c>
      <c r="F1051" s="83">
        <f t="shared" si="16"/>
        <v>0.72916666666666663</v>
      </c>
    </row>
    <row r="1052" spans="5:6" x14ac:dyDescent="0.3">
      <c r="E1052" s="81">
        <v>0.72916666666666696</v>
      </c>
      <c r="F1052" s="83">
        <f t="shared" si="16"/>
        <v>0.73958333333333337</v>
      </c>
    </row>
    <row r="1053" spans="5:6" x14ac:dyDescent="0.3">
      <c r="E1053" s="81">
        <v>0.72986111111111096</v>
      </c>
      <c r="F1053" s="83">
        <f t="shared" si="16"/>
        <v>0.73958333333333337</v>
      </c>
    </row>
    <row r="1054" spans="5:6" x14ac:dyDescent="0.3">
      <c r="E1054" s="81">
        <v>0.73055555555555596</v>
      </c>
      <c r="F1054" s="83">
        <f t="shared" si="16"/>
        <v>0.73958333333333337</v>
      </c>
    </row>
    <row r="1055" spans="5:6" x14ac:dyDescent="0.3">
      <c r="E1055" s="81">
        <v>0.73124999999999996</v>
      </c>
      <c r="F1055" s="83">
        <f t="shared" si="16"/>
        <v>0.73958333333333337</v>
      </c>
    </row>
    <row r="1056" spans="5:6" x14ac:dyDescent="0.3">
      <c r="E1056" s="81">
        <v>0.73194444444444495</v>
      </c>
      <c r="F1056" s="83">
        <f t="shared" si="16"/>
        <v>0.73958333333333337</v>
      </c>
    </row>
    <row r="1057" spans="5:6" x14ac:dyDescent="0.3">
      <c r="E1057" s="81">
        <v>0.73263888888888895</v>
      </c>
      <c r="F1057" s="83">
        <f t="shared" si="16"/>
        <v>0.73958333333333337</v>
      </c>
    </row>
    <row r="1058" spans="5:6" x14ac:dyDescent="0.3">
      <c r="E1058" s="81">
        <v>0.73333333333333295</v>
      </c>
      <c r="F1058" s="83">
        <f t="shared" si="16"/>
        <v>0.73958333333333337</v>
      </c>
    </row>
    <row r="1059" spans="5:6" x14ac:dyDescent="0.3">
      <c r="E1059" s="81">
        <v>0.73402777777777795</v>
      </c>
      <c r="F1059" s="83">
        <f t="shared" si="16"/>
        <v>0.73958333333333337</v>
      </c>
    </row>
    <row r="1060" spans="5:6" x14ac:dyDescent="0.3">
      <c r="E1060" s="81">
        <v>0.73472222222222205</v>
      </c>
      <c r="F1060" s="83">
        <f t="shared" si="16"/>
        <v>0.73958333333333337</v>
      </c>
    </row>
    <row r="1061" spans="5:6" x14ac:dyDescent="0.3">
      <c r="E1061" s="81">
        <v>0.73541666666666705</v>
      </c>
      <c r="F1061" s="83">
        <f t="shared" si="16"/>
        <v>0.73958333333333337</v>
      </c>
    </row>
    <row r="1062" spans="5:6" x14ac:dyDescent="0.3">
      <c r="E1062" s="81">
        <v>0.73611111111111105</v>
      </c>
      <c r="F1062" s="83">
        <f t="shared" si="16"/>
        <v>0.73958333333333337</v>
      </c>
    </row>
    <row r="1063" spans="5:6" x14ac:dyDescent="0.3">
      <c r="E1063" s="81">
        <v>0.73680555555555605</v>
      </c>
      <c r="F1063" s="83">
        <f t="shared" si="16"/>
        <v>0.73958333333333337</v>
      </c>
    </row>
    <row r="1064" spans="5:6" x14ac:dyDescent="0.3">
      <c r="E1064" s="81">
        <v>0.73750000000000004</v>
      </c>
      <c r="F1064" s="83">
        <f t="shared" si="16"/>
        <v>0.73958333333333337</v>
      </c>
    </row>
    <row r="1065" spans="5:6" x14ac:dyDescent="0.3">
      <c r="E1065" s="81">
        <v>0.73819444444444404</v>
      </c>
      <c r="F1065" s="83">
        <f t="shared" si="16"/>
        <v>0.73958333333333337</v>
      </c>
    </row>
    <row r="1066" spans="5:6" x14ac:dyDescent="0.3">
      <c r="E1066" s="81">
        <v>0.73888888888888904</v>
      </c>
      <c r="F1066" s="83">
        <f t="shared" si="16"/>
        <v>0.73958333333333337</v>
      </c>
    </row>
    <row r="1067" spans="5:6" x14ac:dyDescent="0.3">
      <c r="E1067" s="81">
        <v>0.73958333333333304</v>
      </c>
      <c r="F1067" s="83">
        <f t="shared" si="16"/>
        <v>0.75</v>
      </c>
    </row>
    <row r="1068" spans="5:6" x14ac:dyDescent="0.3">
      <c r="E1068" s="81">
        <v>0.74027777777777803</v>
      </c>
      <c r="F1068" s="83">
        <f t="shared" si="16"/>
        <v>0.75</v>
      </c>
    </row>
    <row r="1069" spans="5:6" x14ac:dyDescent="0.3">
      <c r="E1069" s="81">
        <v>0.74097222222222203</v>
      </c>
      <c r="F1069" s="83">
        <f t="shared" si="16"/>
        <v>0.75</v>
      </c>
    </row>
    <row r="1070" spans="5:6" x14ac:dyDescent="0.3">
      <c r="E1070" s="81">
        <v>0.74166666666666703</v>
      </c>
      <c r="F1070" s="83">
        <f t="shared" si="16"/>
        <v>0.75</v>
      </c>
    </row>
    <row r="1071" spans="5:6" x14ac:dyDescent="0.3">
      <c r="E1071" s="81">
        <v>0.74236111111111103</v>
      </c>
      <c r="F1071" s="83">
        <f t="shared" si="16"/>
        <v>0.75</v>
      </c>
    </row>
    <row r="1072" spans="5:6" x14ac:dyDescent="0.3">
      <c r="E1072" s="81">
        <v>0.74305555555555602</v>
      </c>
      <c r="F1072" s="83">
        <f t="shared" si="16"/>
        <v>0.75</v>
      </c>
    </row>
    <row r="1073" spans="5:6" x14ac:dyDescent="0.3">
      <c r="E1073" s="81">
        <v>0.74375000000000002</v>
      </c>
      <c r="F1073" s="83">
        <f t="shared" si="16"/>
        <v>0.75</v>
      </c>
    </row>
    <row r="1074" spans="5:6" x14ac:dyDescent="0.3">
      <c r="E1074" s="81">
        <v>0.74444444444444402</v>
      </c>
      <c r="F1074" s="83">
        <f t="shared" si="16"/>
        <v>0.75</v>
      </c>
    </row>
    <row r="1075" spans="5:6" x14ac:dyDescent="0.3">
      <c r="E1075" s="81">
        <v>0.74513888888888902</v>
      </c>
      <c r="F1075" s="83">
        <f t="shared" si="16"/>
        <v>0.75</v>
      </c>
    </row>
    <row r="1076" spans="5:6" x14ac:dyDescent="0.3">
      <c r="E1076" s="81">
        <v>0.74583333333333302</v>
      </c>
      <c r="F1076" s="83">
        <f t="shared" si="16"/>
        <v>0.75</v>
      </c>
    </row>
    <row r="1077" spans="5:6" x14ac:dyDescent="0.3">
      <c r="E1077" s="81">
        <v>0.74652777777777801</v>
      </c>
      <c r="F1077" s="83">
        <f t="shared" si="16"/>
        <v>0.75</v>
      </c>
    </row>
    <row r="1078" spans="5:6" x14ac:dyDescent="0.3">
      <c r="E1078" s="81">
        <v>0.74722222222222201</v>
      </c>
      <c r="F1078" s="83">
        <f t="shared" si="16"/>
        <v>0.75</v>
      </c>
    </row>
    <row r="1079" spans="5:6" x14ac:dyDescent="0.3">
      <c r="E1079" s="81">
        <v>0.74791666666666701</v>
      </c>
      <c r="F1079" s="83">
        <f t="shared" si="16"/>
        <v>0.75</v>
      </c>
    </row>
    <row r="1080" spans="5:6" x14ac:dyDescent="0.3">
      <c r="E1080" s="81">
        <v>0.74861111111111101</v>
      </c>
      <c r="F1080" s="83">
        <f t="shared" si="16"/>
        <v>0.75</v>
      </c>
    </row>
    <row r="1081" spans="5:6" x14ac:dyDescent="0.3">
      <c r="E1081" s="81">
        <v>0.749305555555556</v>
      </c>
      <c r="F1081" s="83">
        <f t="shared" si="16"/>
        <v>0.75</v>
      </c>
    </row>
    <row r="1082" spans="5:6" x14ac:dyDescent="0.3">
      <c r="E1082" s="81">
        <v>0.75</v>
      </c>
      <c r="F1082" s="83">
        <f t="shared" si="16"/>
        <v>0.76041666666666663</v>
      </c>
    </row>
    <row r="1083" spans="5:6" x14ac:dyDescent="0.3">
      <c r="E1083" s="81">
        <v>0.750694444444444</v>
      </c>
      <c r="F1083" s="83">
        <f t="shared" si="16"/>
        <v>0.76041666666666663</v>
      </c>
    </row>
    <row r="1084" spans="5:6" x14ac:dyDescent="0.3">
      <c r="E1084" s="81">
        <v>0.75138888888888899</v>
      </c>
      <c r="F1084" s="83">
        <f t="shared" si="16"/>
        <v>0.76041666666666663</v>
      </c>
    </row>
    <row r="1085" spans="5:6" x14ac:dyDescent="0.3">
      <c r="E1085" s="81">
        <v>0.75208333333333299</v>
      </c>
      <c r="F1085" s="83">
        <f t="shared" si="16"/>
        <v>0.76041666666666663</v>
      </c>
    </row>
    <row r="1086" spans="5:6" x14ac:dyDescent="0.3">
      <c r="E1086" s="81">
        <v>0.75277777777777799</v>
      </c>
      <c r="F1086" s="83">
        <f t="shared" si="16"/>
        <v>0.76041666666666663</v>
      </c>
    </row>
    <row r="1087" spans="5:6" x14ac:dyDescent="0.3">
      <c r="E1087" s="81">
        <v>0.75347222222222199</v>
      </c>
      <c r="F1087" s="83">
        <f t="shared" si="16"/>
        <v>0.76041666666666663</v>
      </c>
    </row>
    <row r="1088" spans="5:6" x14ac:dyDescent="0.3">
      <c r="E1088" s="81">
        <v>0.75416666666666698</v>
      </c>
      <c r="F1088" s="83">
        <f t="shared" si="16"/>
        <v>0.76041666666666663</v>
      </c>
    </row>
    <row r="1089" spans="5:6" x14ac:dyDescent="0.3">
      <c r="E1089" s="81">
        <v>0.75486111111111098</v>
      </c>
      <c r="F1089" s="83">
        <f t="shared" si="16"/>
        <v>0.76041666666666663</v>
      </c>
    </row>
    <row r="1090" spans="5:6" x14ac:dyDescent="0.3">
      <c r="E1090" s="81">
        <v>0.75555555555555598</v>
      </c>
      <c r="F1090" s="83">
        <f t="shared" si="16"/>
        <v>0.76041666666666663</v>
      </c>
    </row>
    <row r="1091" spans="5:6" x14ac:dyDescent="0.3">
      <c r="E1091" s="81">
        <v>0.75624999999999998</v>
      </c>
      <c r="F1091" s="83">
        <f t="shared" ref="F1091:F1154" si="17">ROUNDUP(E1091*4*24+1/60/24,0)/4/24</f>
        <v>0.76041666666666663</v>
      </c>
    </row>
    <row r="1092" spans="5:6" x14ac:dyDescent="0.3">
      <c r="E1092" s="81">
        <v>0.75694444444444398</v>
      </c>
      <c r="F1092" s="83">
        <f t="shared" si="17"/>
        <v>0.76041666666666663</v>
      </c>
    </row>
    <row r="1093" spans="5:6" x14ac:dyDescent="0.3">
      <c r="E1093" s="81">
        <v>0.75763888888888897</v>
      </c>
      <c r="F1093" s="83">
        <f t="shared" si="17"/>
        <v>0.76041666666666663</v>
      </c>
    </row>
    <row r="1094" spans="5:6" x14ac:dyDescent="0.3">
      <c r="E1094" s="81">
        <v>0.75833333333333297</v>
      </c>
      <c r="F1094" s="83">
        <f t="shared" si="17"/>
        <v>0.76041666666666663</v>
      </c>
    </row>
    <row r="1095" spans="5:6" x14ac:dyDescent="0.3">
      <c r="E1095" s="81">
        <v>0.75902777777777797</v>
      </c>
      <c r="F1095" s="83">
        <f t="shared" si="17"/>
        <v>0.76041666666666663</v>
      </c>
    </row>
    <row r="1096" spans="5:6" x14ac:dyDescent="0.3">
      <c r="E1096" s="81">
        <v>0.75972222222222197</v>
      </c>
      <c r="F1096" s="83">
        <f t="shared" si="17"/>
        <v>0.76041666666666663</v>
      </c>
    </row>
    <row r="1097" spans="5:6" x14ac:dyDescent="0.3">
      <c r="E1097" s="81">
        <v>0.76041666666666696</v>
      </c>
      <c r="F1097" s="83">
        <f t="shared" si="17"/>
        <v>0.77083333333333337</v>
      </c>
    </row>
    <row r="1098" spans="5:6" x14ac:dyDescent="0.3">
      <c r="E1098" s="81">
        <v>0.76111111111111096</v>
      </c>
      <c r="F1098" s="83">
        <f t="shared" si="17"/>
        <v>0.77083333333333337</v>
      </c>
    </row>
    <row r="1099" spans="5:6" x14ac:dyDescent="0.3">
      <c r="E1099" s="81">
        <v>0.76180555555555596</v>
      </c>
      <c r="F1099" s="83">
        <f t="shared" si="17"/>
        <v>0.77083333333333337</v>
      </c>
    </row>
    <row r="1100" spans="5:6" x14ac:dyDescent="0.3">
      <c r="E1100" s="81">
        <v>0.76249999999999996</v>
      </c>
      <c r="F1100" s="83">
        <f t="shared" si="17"/>
        <v>0.77083333333333337</v>
      </c>
    </row>
    <row r="1101" spans="5:6" x14ac:dyDescent="0.3">
      <c r="E1101" s="81">
        <v>0.76319444444444495</v>
      </c>
      <c r="F1101" s="83">
        <f t="shared" si="17"/>
        <v>0.77083333333333337</v>
      </c>
    </row>
    <row r="1102" spans="5:6" x14ac:dyDescent="0.3">
      <c r="E1102" s="81">
        <v>0.76388888888888895</v>
      </c>
      <c r="F1102" s="83">
        <f t="shared" si="17"/>
        <v>0.77083333333333337</v>
      </c>
    </row>
    <row r="1103" spans="5:6" x14ac:dyDescent="0.3">
      <c r="E1103" s="81">
        <v>0.76458333333333295</v>
      </c>
      <c r="F1103" s="83">
        <f t="shared" si="17"/>
        <v>0.77083333333333337</v>
      </c>
    </row>
    <row r="1104" spans="5:6" x14ac:dyDescent="0.3">
      <c r="E1104" s="81">
        <v>0.76527777777777795</v>
      </c>
      <c r="F1104" s="83">
        <f t="shared" si="17"/>
        <v>0.77083333333333337</v>
      </c>
    </row>
    <row r="1105" spans="5:6" x14ac:dyDescent="0.3">
      <c r="E1105" s="81">
        <v>0.76597222222222205</v>
      </c>
      <c r="F1105" s="83">
        <f t="shared" si="17"/>
        <v>0.77083333333333337</v>
      </c>
    </row>
    <row r="1106" spans="5:6" x14ac:dyDescent="0.3">
      <c r="E1106" s="81">
        <v>0.76666666666666705</v>
      </c>
      <c r="F1106" s="83">
        <f t="shared" si="17"/>
        <v>0.77083333333333337</v>
      </c>
    </row>
    <row r="1107" spans="5:6" x14ac:dyDescent="0.3">
      <c r="E1107" s="81">
        <v>0.76736111111111105</v>
      </c>
      <c r="F1107" s="83">
        <f t="shared" si="17"/>
        <v>0.77083333333333337</v>
      </c>
    </row>
    <row r="1108" spans="5:6" x14ac:dyDescent="0.3">
      <c r="E1108" s="81">
        <v>0.76805555555555605</v>
      </c>
      <c r="F1108" s="83">
        <f t="shared" si="17"/>
        <v>0.77083333333333337</v>
      </c>
    </row>
    <row r="1109" spans="5:6" x14ac:dyDescent="0.3">
      <c r="E1109" s="81">
        <v>0.76875000000000004</v>
      </c>
      <c r="F1109" s="83">
        <f t="shared" si="17"/>
        <v>0.77083333333333337</v>
      </c>
    </row>
    <row r="1110" spans="5:6" x14ac:dyDescent="0.3">
      <c r="E1110" s="81">
        <v>0.76944444444444404</v>
      </c>
      <c r="F1110" s="83">
        <f t="shared" si="17"/>
        <v>0.77083333333333337</v>
      </c>
    </row>
    <row r="1111" spans="5:6" x14ac:dyDescent="0.3">
      <c r="E1111" s="81">
        <v>0.77013888888888904</v>
      </c>
      <c r="F1111" s="83">
        <f t="shared" si="17"/>
        <v>0.77083333333333337</v>
      </c>
    </row>
    <row r="1112" spans="5:6" x14ac:dyDescent="0.3">
      <c r="E1112" s="81">
        <v>0.77083333333333304</v>
      </c>
      <c r="F1112" s="83">
        <f t="shared" si="17"/>
        <v>0.78125</v>
      </c>
    </row>
    <row r="1113" spans="5:6" x14ac:dyDescent="0.3">
      <c r="E1113" s="81">
        <v>0.77152777777777803</v>
      </c>
      <c r="F1113" s="83">
        <f t="shared" si="17"/>
        <v>0.78125</v>
      </c>
    </row>
    <row r="1114" spans="5:6" x14ac:dyDescent="0.3">
      <c r="E1114" s="81">
        <v>0.77222222222222203</v>
      </c>
      <c r="F1114" s="83">
        <f t="shared" si="17"/>
        <v>0.78125</v>
      </c>
    </row>
    <row r="1115" spans="5:6" x14ac:dyDescent="0.3">
      <c r="E1115" s="81">
        <v>0.77291666666666703</v>
      </c>
      <c r="F1115" s="83">
        <f t="shared" si="17"/>
        <v>0.78125</v>
      </c>
    </row>
    <row r="1116" spans="5:6" x14ac:dyDescent="0.3">
      <c r="E1116" s="81">
        <v>0.77361111111111103</v>
      </c>
      <c r="F1116" s="83">
        <f t="shared" si="17"/>
        <v>0.78125</v>
      </c>
    </row>
    <row r="1117" spans="5:6" x14ac:dyDescent="0.3">
      <c r="E1117" s="81">
        <v>0.77430555555555602</v>
      </c>
      <c r="F1117" s="83">
        <f t="shared" si="17"/>
        <v>0.78125</v>
      </c>
    </row>
    <row r="1118" spans="5:6" x14ac:dyDescent="0.3">
      <c r="E1118" s="81">
        <v>0.77500000000000002</v>
      </c>
      <c r="F1118" s="83">
        <f t="shared" si="17"/>
        <v>0.78125</v>
      </c>
    </row>
    <row r="1119" spans="5:6" x14ac:dyDescent="0.3">
      <c r="E1119" s="81">
        <v>0.77569444444444402</v>
      </c>
      <c r="F1119" s="83">
        <f t="shared" si="17"/>
        <v>0.78125</v>
      </c>
    </row>
    <row r="1120" spans="5:6" x14ac:dyDescent="0.3">
      <c r="E1120" s="81">
        <v>0.77638888888888902</v>
      </c>
      <c r="F1120" s="83">
        <f t="shared" si="17"/>
        <v>0.78125</v>
      </c>
    </row>
    <row r="1121" spans="5:6" x14ac:dyDescent="0.3">
      <c r="E1121" s="81">
        <v>0.77708333333333302</v>
      </c>
      <c r="F1121" s="83">
        <f t="shared" si="17"/>
        <v>0.78125</v>
      </c>
    </row>
    <row r="1122" spans="5:6" x14ac:dyDescent="0.3">
      <c r="E1122" s="81">
        <v>0.77777777777777801</v>
      </c>
      <c r="F1122" s="83">
        <f t="shared" si="17"/>
        <v>0.78125</v>
      </c>
    </row>
    <row r="1123" spans="5:6" x14ac:dyDescent="0.3">
      <c r="E1123" s="81">
        <v>0.77847222222222201</v>
      </c>
      <c r="F1123" s="83">
        <f t="shared" si="17"/>
        <v>0.78125</v>
      </c>
    </row>
    <row r="1124" spans="5:6" x14ac:dyDescent="0.3">
      <c r="E1124" s="81">
        <v>0.77916666666666701</v>
      </c>
      <c r="F1124" s="83">
        <f t="shared" si="17"/>
        <v>0.78125</v>
      </c>
    </row>
    <row r="1125" spans="5:6" x14ac:dyDescent="0.3">
      <c r="E1125" s="81">
        <v>0.77986111111111101</v>
      </c>
      <c r="F1125" s="83">
        <f t="shared" si="17"/>
        <v>0.78125</v>
      </c>
    </row>
    <row r="1126" spans="5:6" x14ac:dyDescent="0.3">
      <c r="E1126" s="81">
        <v>0.780555555555556</v>
      </c>
      <c r="F1126" s="83">
        <f t="shared" si="17"/>
        <v>0.78125</v>
      </c>
    </row>
    <row r="1127" spans="5:6" x14ac:dyDescent="0.3">
      <c r="E1127" s="81">
        <v>0.78125</v>
      </c>
      <c r="F1127" s="83">
        <f t="shared" si="17"/>
        <v>0.79166666666666663</v>
      </c>
    </row>
    <row r="1128" spans="5:6" x14ac:dyDescent="0.3">
      <c r="E1128" s="81">
        <v>0.781944444444444</v>
      </c>
      <c r="F1128" s="83">
        <f t="shared" si="17"/>
        <v>0.79166666666666663</v>
      </c>
    </row>
    <row r="1129" spans="5:6" x14ac:dyDescent="0.3">
      <c r="E1129" s="81">
        <v>0.78263888888888899</v>
      </c>
      <c r="F1129" s="83">
        <f t="shared" si="17"/>
        <v>0.79166666666666663</v>
      </c>
    </row>
    <row r="1130" spans="5:6" x14ac:dyDescent="0.3">
      <c r="E1130" s="81">
        <v>0.78333333333333299</v>
      </c>
      <c r="F1130" s="83">
        <f t="shared" si="17"/>
        <v>0.79166666666666663</v>
      </c>
    </row>
    <row r="1131" spans="5:6" x14ac:dyDescent="0.3">
      <c r="E1131" s="81">
        <v>0.78402777777777799</v>
      </c>
      <c r="F1131" s="83">
        <f t="shared" si="17"/>
        <v>0.79166666666666663</v>
      </c>
    </row>
    <row r="1132" spans="5:6" x14ac:dyDescent="0.3">
      <c r="E1132" s="81">
        <v>0.78472222222222199</v>
      </c>
      <c r="F1132" s="83">
        <f t="shared" si="17"/>
        <v>0.79166666666666663</v>
      </c>
    </row>
    <row r="1133" spans="5:6" x14ac:dyDescent="0.3">
      <c r="E1133" s="81">
        <v>0.78541666666666698</v>
      </c>
      <c r="F1133" s="83">
        <f t="shared" si="17"/>
        <v>0.79166666666666663</v>
      </c>
    </row>
    <row r="1134" spans="5:6" x14ac:dyDescent="0.3">
      <c r="E1134" s="81">
        <v>0.78611111111111098</v>
      </c>
      <c r="F1134" s="83">
        <f t="shared" si="17"/>
        <v>0.79166666666666663</v>
      </c>
    </row>
    <row r="1135" spans="5:6" x14ac:dyDescent="0.3">
      <c r="E1135" s="81">
        <v>0.78680555555555598</v>
      </c>
      <c r="F1135" s="83">
        <f t="shared" si="17"/>
        <v>0.79166666666666663</v>
      </c>
    </row>
    <row r="1136" spans="5:6" x14ac:dyDescent="0.3">
      <c r="E1136" s="81">
        <v>0.78749999999999998</v>
      </c>
      <c r="F1136" s="83">
        <f t="shared" si="17"/>
        <v>0.79166666666666663</v>
      </c>
    </row>
    <row r="1137" spans="5:6" x14ac:dyDescent="0.3">
      <c r="E1137" s="81">
        <v>0.78819444444444398</v>
      </c>
      <c r="F1137" s="83">
        <f t="shared" si="17"/>
        <v>0.79166666666666663</v>
      </c>
    </row>
    <row r="1138" spans="5:6" x14ac:dyDescent="0.3">
      <c r="E1138" s="81">
        <v>0.78888888888888897</v>
      </c>
      <c r="F1138" s="83">
        <f t="shared" si="17"/>
        <v>0.79166666666666663</v>
      </c>
    </row>
    <row r="1139" spans="5:6" x14ac:dyDescent="0.3">
      <c r="E1139" s="81">
        <v>0.78958333333333297</v>
      </c>
      <c r="F1139" s="83">
        <f t="shared" si="17"/>
        <v>0.79166666666666663</v>
      </c>
    </row>
    <row r="1140" spans="5:6" x14ac:dyDescent="0.3">
      <c r="E1140" s="81">
        <v>0.79027777777777797</v>
      </c>
      <c r="F1140" s="83">
        <f t="shared" si="17"/>
        <v>0.79166666666666663</v>
      </c>
    </row>
    <row r="1141" spans="5:6" x14ac:dyDescent="0.3">
      <c r="E1141" s="81">
        <v>0.79097222222222197</v>
      </c>
      <c r="F1141" s="83">
        <f t="shared" si="17"/>
        <v>0.79166666666666663</v>
      </c>
    </row>
    <row r="1142" spans="5:6" x14ac:dyDescent="0.3">
      <c r="E1142" s="81">
        <v>0.79166666666666696</v>
      </c>
      <c r="F1142" s="83">
        <f t="shared" si="17"/>
        <v>0.80208333333333337</v>
      </c>
    </row>
    <row r="1143" spans="5:6" x14ac:dyDescent="0.3">
      <c r="E1143" s="81">
        <v>0.79236111111111096</v>
      </c>
      <c r="F1143" s="83">
        <f t="shared" si="17"/>
        <v>0.80208333333333337</v>
      </c>
    </row>
    <row r="1144" spans="5:6" x14ac:dyDescent="0.3">
      <c r="E1144" s="81">
        <v>0.79305555555555596</v>
      </c>
      <c r="F1144" s="83">
        <f t="shared" si="17"/>
        <v>0.80208333333333337</v>
      </c>
    </row>
    <row r="1145" spans="5:6" x14ac:dyDescent="0.3">
      <c r="E1145" s="81">
        <v>0.79374999999999996</v>
      </c>
      <c r="F1145" s="83">
        <f t="shared" si="17"/>
        <v>0.80208333333333337</v>
      </c>
    </row>
    <row r="1146" spans="5:6" x14ac:dyDescent="0.3">
      <c r="E1146" s="81">
        <v>0.79444444444444495</v>
      </c>
      <c r="F1146" s="83">
        <f t="shared" si="17"/>
        <v>0.80208333333333337</v>
      </c>
    </row>
    <row r="1147" spans="5:6" x14ac:dyDescent="0.3">
      <c r="E1147" s="81">
        <v>0.79513888888888895</v>
      </c>
      <c r="F1147" s="83">
        <f t="shared" si="17"/>
        <v>0.80208333333333337</v>
      </c>
    </row>
    <row r="1148" spans="5:6" x14ac:dyDescent="0.3">
      <c r="E1148" s="81">
        <v>0.79583333333333295</v>
      </c>
      <c r="F1148" s="83">
        <f t="shared" si="17"/>
        <v>0.80208333333333337</v>
      </c>
    </row>
    <row r="1149" spans="5:6" x14ac:dyDescent="0.3">
      <c r="E1149" s="81">
        <v>0.79652777777777795</v>
      </c>
      <c r="F1149" s="83">
        <f t="shared" si="17"/>
        <v>0.80208333333333337</v>
      </c>
    </row>
    <row r="1150" spans="5:6" x14ac:dyDescent="0.3">
      <c r="E1150" s="81">
        <v>0.79722222222222205</v>
      </c>
      <c r="F1150" s="83">
        <f t="shared" si="17"/>
        <v>0.80208333333333337</v>
      </c>
    </row>
    <row r="1151" spans="5:6" x14ac:dyDescent="0.3">
      <c r="E1151" s="81">
        <v>0.79791666666666705</v>
      </c>
      <c r="F1151" s="83">
        <f t="shared" si="17"/>
        <v>0.80208333333333337</v>
      </c>
    </row>
    <row r="1152" spans="5:6" x14ac:dyDescent="0.3">
      <c r="E1152" s="81">
        <v>0.79861111111111105</v>
      </c>
      <c r="F1152" s="83">
        <f t="shared" si="17"/>
        <v>0.80208333333333337</v>
      </c>
    </row>
    <row r="1153" spans="5:6" x14ac:dyDescent="0.3">
      <c r="E1153" s="81">
        <v>0.79930555555555605</v>
      </c>
      <c r="F1153" s="83">
        <f t="shared" si="17"/>
        <v>0.80208333333333337</v>
      </c>
    </row>
    <row r="1154" spans="5:6" x14ac:dyDescent="0.3">
      <c r="E1154" s="81">
        <v>0.8</v>
      </c>
      <c r="F1154" s="83">
        <f t="shared" si="17"/>
        <v>0.80208333333333337</v>
      </c>
    </row>
    <row r="1155" spans="5:6" x14ac:dyDescent="0.3">
      <c r="E1155" s="81">
        <v>0.80069444444444404</v>
      </c>
      <c r="F1155" s="83">
        <f t="shared" ref="F1155:F1218" si="18">ROUNDUP(E1155*4*24+1/60/24,0)/4/24</f>
        <v>0.80208333333333337</v>
      </c>
    </row>
    <row r="1156" spans="5:6" x14ac:dyDescent="0.3">
      <c r="E1156" s="81">
        <v>0.80138888888888904</v>
      </c>
      <c r="F1156" s="83">
        <f t="shared" si="18"/>
        <v>0.80208333333333337</v>
      </c>
    </row>
    <row r="1157" spans="5:6" x14ac:dyDescent="0.3">
      <c r="E1157" s="81">
        <v>0.80208333333333304</v>
      </c>
      <c r="F1157" s="83">
        <f t="shared" si="18"/>
        <v>0.8125</v>
      </c>
    </row>
    <row r="1158" spans="5:6" x14ac:dyDescent="0.3">
      <c r="E1158" s="81">
        <v>0.80277777777777803</v>
      </c>
      <c r="F1158" s="83">
        <f t="shared" si="18"/>
        <v>0.8125</v>
      </c>
    </row>
    <row r="1159" spans="5:6" x14ac:dyDescent="0.3">
      <c r="E1159" s="81">
        <v>0.80347222222222203</v>
      </c>
      <c r="F1159" s="83">
        <f t="shared" si="18"/>
        <v>0.8125</v>
      </c>
    </row>
    <row r="1160" spans="5:6" x14ac:dyDescent="0.3">
      <c r="E1160" s="81">
        <v>0.80416666666666703</v>
      </c>
      <c r="F1160" s="83">
        <f t="shared" si="18"/>
        <v>0.8125</v>
      </c>
    </row>
    <row r="1161" spans="5:6" x14ac:dyDescent="0.3">
      <c r="E1161" s="81">
        <v>0.80486111111111103</v>
      </c>
      <c r="F1161" s="83">
        <f t="shared" si="18"/>
        <v>0.8125</v>
      </c>
    </row>
    <row r="1162" spans="5:6" x14ac:dyDescent="0.3">
      <c r="E1162" s="81">
        <v>0.80555555555555602</v>
      </c>
      <c r="F1162" s="83">
        <f t="shared" si="18"/>
        <v>0.8125</v>
      </c>
    </row>
    <row r="1163" spans="5:6" x14ac:dyDescent="0.3">
      <c r="E1163" s="81">
        <v>0.80625000000000002</v>
      </c>
      <c r="F1163" s="83">
        <f t="shared" si="18"/>
        <v>0.8125</v>
      </c>
    </row>
    <row r="1164" spans="5:6" x14ac:dyDescent="0.3">
      <c r="E1164" s="81">
        <v>0.80694444444444402</v>
      </c>
      <c r="F1164" s="83">
        <f t="shared" si="18"/>
        <v>0.8125</v>
      </c>
    </row>
    <row r="1165" spans="5:6" x14ac:dyDescent="0.3">
      <c r="E1165" s="81">
        <v>0.80763888888888902</v>
      </c>
      <c r="F1165" s="83">
        <f t="shared" si="18"/>
        <v>0.8125</v>
      </c>
    </row>
    <row r="1166" spans="5:6" x14ac:dyDescent="0.3">
      <c r="E1166" s="81">
        <v>0.80833333333333302</v>
      </c>
      <c r="F1166" s="83">
        <f t="shared" si="18"/>
        <v>0.8125</v>
      </c>
    </row>
    <row r="1167" spans="5:6" x14ac:dyDescent="0.3">
      <c r="E1167" s="81">
        <v>0.80902777777777801</v>
      </c>
      <c r="F1167" s="83">
        <f t="shared" si="18"/>
        <v>0.8125</v>
      </c>
    </row>
    <row r="1168" spans="5:6" x14ac:dyDescent="0.3">
      <c r="E1168" s="81">
        <v>0.80972222222222201</v>
      </c>
      <c r="F1168" s="83">
        <f t="shared" si="18"/>
        <v>0.8125</v>
      </c>
    </row>
    <row r="1169" spans="5:6" x14ac:dyDescent="0.3">
      <c r="E1169" s="81">
        <v>0.81041666666666701</v>
      </c>
      <c r="F1169" s="83">
        <f t="shared" si="18"/>
        <v>0.8125</v>
      </c>
    </row>
    <row r="1170" spans="5:6" x14ac:dyDescent="0.3">
      <c r="E1170" s="81">
        <v>0.81111111111111101</v>
      </c>
      <c r="F1170" s="83">
        <f t="shared" si="18"/>
        <v>0.8125</v>
      </c>
    </row>
    <row r="1171" spans="5:6" x14ac:dyDescent="0.3">
      <c r="E1171" s="81">
        <v>0.811805555555556</v>
      </c>
      <c r="F1171" s="83">
        <f t="shared" si="18"/>
        <v>0.8125</v>
      </c>
    </row>
    <row r="1172" spans="5:6" x14ac:dyDescent="0.3">
      <c r="E1172" s="81">
        <v>0.8125</v>
      </c>
      <c r="F1172" s="83">
        <f t="shared" si="18"/>
        <v>0.82291666666666663</v>
      </c>
    </row>
    <row r="1173" spans="5:6" x14ac:dyDescent="0.3">
      <c r="E1173" s="81">
        <v>0.813194444444444</v>
      </c>
      <c r="F1173" s="83">
        <f t="shared" si="18"/>
        <v>0.82291666666666663</v>
      </c>
    </row>
    <row r="1174" spans="5:6" x14ac:dyDescent="0.3">
      <c r="E1174" s="81">
        <v>0.81388888888888899</v>
      </c>
      <c r="F1174" s="83">
        <f t="shared" si="18"/>
        <v>0.82291666666666663</v>
      </c>
    </row>
    <row r="1175" spans="5:6" x14ac:dyDescent="0.3">
      <c r="E1175" s="81">
        <v>0.81458333333333299</v>
      </c>
      <c r="F1175" s="83">
        <f t="shared" si="18"/>
        <v>0.82291666666666663</v>
      </c>
    </row>
    <row r="1176" spans="5:6" x14ac:dyDescent="0.3">
      <c r="E1176" s="81">
        <v>0.81527777777777799</v>
      </c>
      <c r="F1176" s="83">
        <f t="shared" si="18"/>
        <v>0.82291666666666663</v>
      </c>
    </row>
    <row r="1177" spans="5:6" x14ac:dyDescent="0.3">
      <c r="E1177" s="81">
        <v>0.81597222222222199</v>
      </c>
      <c r="F1177" s="83">
        <f t="shared" si="18"/>
        <v>0.82291666666666663</v>
      </c>
    </row>
    <row r="1178" spans="5:6" x14ac:dyDescent="0.3">
      <c r="E1178" s="81">
        <v>0.81666666666666698</v>
      </c>
      <c r="F1178" s="83">
        <f t="shared" si="18"/>
        <v>0.82291666666666663</v>
      </c>
    </row>
    <row r="1179" spans="5:6" x14ac:dyDescent="0.3">
      <c r="E1179" s="81">
        <v>0.81736111111111098</v>
      </c>
      <c r="F1179" s="83">
        <f t="shared" si="18"/>
        <v>0.82291666666666663</v>
      </c>
    </row>
    <row r="1180" spans="5:6" x14ac:dyDescent="0.3">
      <c r="E1180" s="81">
        <v>0.81805555555555598</v>
      </c>
      <c r="F1180" s="83">
        <f t="shared" si="18"/>
        <v>0.82291666666666663</v>
      </c>
    </row>
    <row r="1181" spans="5:6" x14ac:dyDescent="0.3">
      <c r="E1181" s="81">
        <v>0.81874999999999998</v>
      </c>
      <c r="F1181" s="83">
        <f t="shared" si="18"/>
        <v>0.82291666666666663</v>
      </c>
    </row>
    <row r="1182" spans="5:6" x14ac:dyDescent="0.3">
      <c r="E1182" s="81">
        <v>0.81944444444444497</v>
      </c>
      <c r="F1182" s="83">
        <f t="shared" si="18"/>
        <v>0.82291666666666663</v>
      </c>
    </row>
    <row r="1183" spans="5:6" x14ac:dyDescent="0.3">
      <c r="E1183" s="81">
        <v>0.82013888888888897</v>
      </c>
      <c r="F1183" s="83">
        <f t="shared" si="18"/>
        <v>0.82291666666666663</v>
      </c>
    </row>
    <row r="1184" spans="5:6" x14ac:dyDescent="0.3">
      <c r="E1184" s="81">
        <v>0.82083333333333297</v>
      </c>
      <c r="F1184" s="83">
        <f t="shared" si="18"/>
        <v>0.82291666666666663</v>
      </c>
    </row>
    <row r="1185" spans="5:6" x14ac:dyDescent="0.3">
      <c r="E1185" s="81">
        <v>0.82152777777777797</v>
      </c>
      <c r="F1185" s="83">
        <f t="shared" si="18"/>
        <v>0.82291666666666663</v>
      </c>
    </row>
    <row r="1186" spans="5:6" x14ac:dyDescent="0.3">
      <c r="E1186" s="81">
        <v>0.82222222222222197</v>
      </c>
      <c r="F1186" s="83">
        <f t="shared" si="18"/>
        <v>0.82291666666666663</v>
      </c>
    </row>
    <row r="1187" spans="5:6" x14ac:dyDescent="0.3">
      <c r="E1187" s="81">
        <v>0.82291666666666696</v>
      </c>
      <c r="F1187" s="83">
        <f t="shared" si="18"/>
        <v>0.83333333333333337</v>
      </c>
    </row>
    <row r="1188" spans="5:6" x14ac:dyDescent="0.3">
      <c r="E1188" s="81">
        <v>0.82361111111111096</v>
      </c>
      <c r="F1188" s="83">
        <f t="shared" si="18"/>
        <v>0.83333333333333337</v>
      </c>
    </row>
    <row r="1189" spans="5:6" x14ac:dyDescent="0.3">
      <c r="E1189" s="81">
        <v>0.82430555555555596</v>
      </c>
      <c r="F1189" s="83">
        <f t="shared" si="18"/>
        <v>0.83333333333333337</v>
      </c>
    </row>
    <row r="1190" spans="5:6" x14ac:dyDescent="0.3">
      <c r="E1190" s="81">
        <v>0.82499999999999996</v>
      </c>
      <c r="F1190" s="83">
        <f t="shared" si="18"/>
        <v>0.83333333333333337</v>
      </c>
    </row>
    <row r="1191" spans="5:6" x14ac:dyDescent="0.3">
      <c r="E1191" s="81">
        <v>0.82569444444444495</v>
      </c>
      <c r="F1191" s="83">
        <f t="shared" si="18"/>
        <v>0.83333333333333337</v>
      </c>
    </row>
    <row r="1192" spans="5:6" x14ac:dyDescent="0.3">
      <c r="E1192" s="81">
        <v>0.82638888888888895</v>
      </c>
      <c r="F1192" s="83">
        <f t="shared" si="18"/>
        <v>0.83333333333333337</v>
      </c>
    </row>
    <row r="1193" spans="5:6" x14ac:dyDescent="0.3">
      <c r="E1193" s="81">
        <v>0.82708333333333295</v>
      </c>
      <c r="F1193" s="83">
        <f t="shared" si="18"/>
        <v>0.83333333333333337</v>
      </c>
    </row>
    <row r="1194" spans="5:6" x14ac:dyDescent="0.3">
      <c r="E1194" s="81">
        <v>0.82777777777777795</v>
      </c>
      <c r="F1194" s="83">
        <f t="shared" si="18"/>
        <v>0.83333333333333337</v>
      </c>
    </row>
    <row r="1195" spans="5:6" x14ac:dyDescent="0.3">
      <c r="E1195" s="81">
        <v>0.82847222222222205</v>
      </c>
      <c r="F1195" s="83">
        <f t="shared" si="18"/>
        <v>0.83333333333333337</v>
      </c>
    </row>
    <row r="1196" spans="5:6" x14ac:dyDescent="0.3">
      <c r="E1196" s="81">
        <v>0.82916666666666705</v>
      </c>
      <c r="F1196" s="83">
        <f t="shared" si="18"/>
        <v>0.83333333333333337</v>
      </c>
    </row>
    <row r="1197" spans="5:6" x14ac:dyDescent="0.3">
      <c r="E1197" s="81">
        <v>0.82986111111111105</v>
      </c>
      <c r="F1197" s="83">
        <f t="shared" si="18"/>
        <v>0.83333333333333337</v>
      </c>
    </row>
    <row r="1198" spans="5:6" x14ac:dyDescent="0.3">
      <c r="E1198" s="81">
        <v>0.83055555555555605</v>
      </c>
      <c r="F1198" s="83">
        <f t="shared" si="18"/>
        <v>0.83333333333333337</v>
      </c>
    </row>
    <row r="1199" spans="5:6" x14ac:dyDescent="0.3">
      <c r="E1199" s="81">
        <v>0.83125000000000004</v>
      </c>
      <c r="F1199" s="83">
        <f t="shared" si="18"/>
        <v>0.83333333333333337</v>
      </c>
    </row>
    <row r="1200" spans="5:6" x14ac:dyDescent="0.3">
      <c r="E1200" s="81">
        <v>0.83194444444444404</v>
      </c>
      <c r="F1200" s="83">
        <f t="shared" si="18"/>
        <v>0.83333333333333337</v>
      </c>
    </row>
    <row r="1201" spans="5:6" x14ac:dyDescent="0.3">
      <c r="E1201" s="81">
        <v>0.83263888888888904</v>
      </c>
      <c r="F1201" s="83">
        <f t="shared" si="18"/>
        <v>0.83333333333333337</v>
      </c>
    </row>
    <row r="1202" spans="5:6" x14ac:dyDescent="0.3">
      <c r="E1202" s="81">
        <v>0.83333333333333304</v>
      </c>
      <c r="F1202" s="83">
        <f t="shared" si="18"/>
        <v>0.84375</v>
      </c>
    </row>
    <row r="1203" spans="5:6" x14ac:dyDescent="0.3">
      <c r="E1203" s="81">
        <v>0.83402777777777803</v>
      </c>
      <c r="F1203" s="83">
        <f t="shared" si="18"/>
        <v>0.84375</v>
      </c>
    </row>
    <row r="1204" spans="5:6" x14ac:dyDescent="0.3">
      <c r="E1204" s="81">
        <v>0.83472222222222203</v>
      </c>
      <c r="F1204" s="83">
        <f t="shared" si="18"/>
        <v>0.84375</v>
      </c>
    </row>
    <row r="1205" spans="5:6" x14ac:dyDescent="0.3">
      <c r="E1205" s="81">
        <v>0.83541666666666703</v>
      </c>
      <c r="F1205" s="83">
        <f t="shared" si="18"/>
        <v>0.84375</v>
      </c>
    </row>
    <row r="1206" spans="5:6" x14ac:dyDescent="0.3">
      <c r="E1206" s="81">
        <v>0.83611111111111103</v>
      </c>
      <c r="F1206" s="83">
        <f t="shared" si="18"/>
        <v>0.84375</v>
      </c>
    </row>
    <row r="1207" spans="5:6" x14ac:dyDescent="0.3">
      <c r="E1207" s="81">
        <v>0.83680555555555602</v>
      </c>
      <c r="F1207" s="83">
        <f t="shared" si="18"/>
        <v>0.84375</v>
      </c>
    </row>
    <row r="1208" spans="5:6" x14ac:dyDescent="0.3">
      <c r="E1208" s="81">
        <v>0.83750000000000002</v>
      </c>
      <c r="F1208" s="83">
        <f t="shared" si="18"/>
        <v>0.84375</v>
      </c>
    </row>
    <row r="1209" spans="5:6" x14ac:dyDescent="0.3">
      <c r="E1209" s="81">
        <v>0.83819444444444402</v>
      </c>
      <c r="F1209" s="83">
        <f t="shared" si="18"/>
        <v>0.84375</v>
      </c>
    </row>
    <row r="1210" spans="5:6" x14ac:dyDescent="0.3">
      <c r="E1210" s="81">
        <v>0.83888888888888902</v>
      </c>
      <c r="F1210" s="83">
        <f t="shared" si="18"/>
        <v>0.84375</v>
      </c>
    </row>
    <row r="1211" spans="5:6" x14ac:dyDescent="0.3">
      <c r="E1211" s="81">
        <v>0.83958333333333302</v>
      </c>
      <c r="F1211" s="83">
        <f t="shared" si="18"/>
        <v>0.84375</v>
      </c>
    </row>
    <row r="1212" spans="5:6" x14ac:dyDescent="0.3">
      <c r="E1212" s="81">
        <v>0.84027777777777801</v>
      </c>
      <c r="F1212" s="83">
        <f t="shared" si="18"/>
        <v>0.84375</v>
      </c>
    </row>
    <row r="1213" spans="5:6" x14ac:dyDescent="0.3">
      <c r="E1213" s="81">
        <v>0.84097222222222201</v>
      </c>
      <c r="F1213" s="83">
        <f t="shared" si="18"/>
        <v>0.84375</v>
      </c>
    </row>
    <row r="1214" spans="5:6" x14ac:dyDescent="0.3">
      <c r="E1214" s="81">
        <v>0.84166666666666701</v>
      </c>
      <c r="F1214" s="83">
        <f t="shared" si="18"/>
        <v>0.84375</v>
      </c>
    </row>
    <row r="1215" spans="5:6" x14ac:dyDescent="0.3">
      <c r="E1215" s="81">
        <v>0.84236111111111101</v>
      </c>
      <c r="F1215" s="83">
        <f t="shared" si="18"/>
        <v>0.84375</v>
      </c>
    </row>
    <row r="1216" spans="5:6" x14ac:dyDescent="0.3">
      <c r="E1216" s="81">
        <v>0.843055555555556</v>
      </c>
      <c r="F1216" s="83">
        <f t="shared" si="18"/>
        <v>0.84375</v>
      </c>
    </row>
    <row r="1217" spans="5:6" x14ac:dyDescent="0.3">
      <c r="E1217" s="81">
        <v>0.84375</v>
      </c>
      <c r="F1217" s="83">
        <f t="shared" si="18"/>
        <v>0.85416666666666663</v>
      </c>
    </row>
    <row r="1218" spans="5:6" x14ac:dyDescent="0.3">
      <c r="E1218" s="81">
        <v>0.844444444444444</v>
      </c>
      <c r="F1218" s="83">
        <f t="shared" si="18"/>
        <v>0.85416666666666663</v>
      </c>
    </row>
    <row r="1219" spans="5:6" x14ac:dyDescent="0.3">
      <c r="E1219" s="81">
        <v>0.84513888888888899</v>
      </c>
      <c r="F1219" s="83">
        <f t="shared" ref="F1219:F1282" si="19">ROUNDUP(E1219*4*24+1/60/24,0)/4/24</f>
        <v>0.85416666666666663</v>
      </c>
    </row>
    <row r="1220" spans="5:6" x14ac:dyDescent="0.3">
      <c r="E1220" s="81">
        <v>0.84583333333333299</v>
      </c>
      <c r="F1220" s="83">
        <f t="shared" si="19"/>
        <v>0.85416666666666663</v>
      </c>
    </row>
    <row r="1221" spans="5:6" x14ac:dyDescent="0.3">
      <c r="E1221" s="81">
        <v>0.84652777777777799</v>
      </c>
      <c r="F1221" s="83">
        <f t="shared" si="19"/>
        <v>0.85416666666666663</v>
      </c>
    </row>
    <row r="1222" spans="5:6" x14ac:dyDescent="0.3">
      <c r="E1222" s="81">
        <v>0.84722222222222199</v>
      </c>
      <c r="F1222" s="83">
        <f t="shared" si="19"/>
        <v>0.85416666666666663</v>
      </c>
    </row>
    <row r="1223" spans="5:6" x14ac:dyDescent="0.3">
      <c r="E1223" s="81">
        <v>0.84791666666666698</v>
      </c>
      <c r="F1223" s="83">
        <f t="shared" si="19"/>
        <v>0.85416666666666663</v>
      </c>
    </row>
    <row r="1224" spans="5:6" x14ac:dyDescent="0.3">
      <c r="E1224" s="81">
        <v>0.84861111111111098</v>
      </c>
      <c r="F1224" s="83">
        <f t="shared" si="19"/>
        <v>0.85416666666666663</v>
      </c>
    </row>
    <row r="1225" spans="5:6" x14ac:dyDescent="0.3">
      <c r="E1225" s="81">
        <v>0.84930555555555598</v>
      </c>
      <c r="F1225" s="83">
        <f t="shared" si="19"/>
        <v>0.85416666666666663</v>
      </c>
    </row>
    <row r="1226" spans="5:6" x14ac:dyDescent="0.3">
      <c r="E1226" s="81">
        <v>0.85</v>
      </c>
      <c r="F1226" s="83">
        <f t="shared" si="19"/>
        <v>0.85416666666666663</v>
      </c>
    </row>
    <row r="1227" spans="5:6" x14ac:dyDescent="0.3">
      <c r="E1227" s="81">
        <v>0.85069444444444497</v>
      </c>
      <c r="F1227" s="83">
        <f t="shared" si="19"/>
        <v>0.85416666666666663</v>
      </c>
    </row>
    <row r="1228" spans="5:6" x14ac:dyDescent="0.3">
      <c r="E1228" s="81">
        <v>0.85138888888888897</v>
      </c>
      <c r="F1228" s="83">
        <f t="shared" si="19"/>
        <v>0.85416666666666663</v>
      </c>
    </row>
    <row r="1229" spans="5:6" x14ac:dyDescent="0.3">
      <c r="E1229" s="81">
        <v>0.85208333333333297</v>
      </c>
      <c r="F1229" s="83">
        <f t="shared" si="19"/>
        <v>0.85416666666666663</v>
      </c>
    </row>
    <row r="1230" spans="5:6" x14ac:dyDescent="0.3">
      <c r="E1230" s="81">
        <v>0.85277777777777797</v>
      </c>
      <c r="F1230" s="83">
        <f t="shared" si="19"/>
        <v>0.85416666666666663</v>
      </c>
    </row>
    <row r="1231" spans="5:6" x14ac:dyDescent="0.3">
      <c r="E1231" s="81">
        <v>0.85347222222222197</v>
      </c>
      <c r="F1231" s="83">
        <f t="shared" si="19"/>
        <v>0.85416666666666663</v>
      </c>
    </row>
    <row r="1232" spans="5:6" x14ac:dyDescent="0.3">
      <c r="E1232" s="81">
        <v>0.85416666666666696</v>
      </c>
      <c r="F1232" s="83">
        <f t="shared" si="19"/>
        <v>0.86458333333333337</v>
      </c>
    </row>
    <row r="1233" spans="5:6" x14ac:dyDescent="0.3">
      <c r="E1233" s="81">
        <v>0.85486111111111096</v>
      </c>
      <c r="F1233" s="83">
        <f t="shared" si="19"/>
        <v>0.86458333333333337</v>
      </c>
    </row>
    <row r="1234" spans="5:6" x14ac:dyDescent="0.3">
      <c r="E1234" s="81">
        <v>0.85555555555555596</v>
      </c>
      <c r="F1234" s="83">
        <f t="shared" si="19"/>
        <v>0.86458333333333337</v>
      </c>
    </row>
    <row r="1235" spans="5:6" x14ac:dyDescent="0.3">
      <c r="E1235" s="81">
        <v>0.85624999999999996</v>
      </c>
      <c r="F1235" s="83">
        <f t="shared" si="19"/>
        <v>0.86458333333333337</v>
      </c>
    </row>
    <row r="1236" spans="5:6" x14ac:dyDescent="0.3">
      <c r="E1236" s="81">
        <v>0.85694444444444495</v>
      </c>
      <c r="F1236" s="83">
        <f t="shared" si="19"/>
        <v>0.86458333333333337</v>
      </c>
    </row>
    <row r="1237" spans="5:6" x14ac:dyDescent="0.3">
      <c r="E1237" s="81">
        <v>0.85763888888888895</v>
      </c>
      <c r="F1237" s="83">
        <f t="shared" si="19"/>
        <v>0.86458333333333337</v>
      </c>
    </row>
    <row r="1238" spans="5:6" x14ac:dyDescent="0.3">
      <c r="E1238" s="81">
        <v>0.85833333333333295</v>
      </c>
      <c r="F1238" s="83">
        <f t="shared" si="19"/>
        <v>0.86458333333333337</v>
      </c>
    </row>
    <row r="1239" spans="5:6" x14ac:dyDescent="0.3">
      <c r="E1239" s="81">
        <v>0.85902777777777795</v>
      </c>
      <c r="F1239" s="83">
        <f t="shared" si="19"/>
        <v>0.86458333333333337</v>
      </c>
    </row>
    <row r="1240" spans="5:6" x14ac:dyDescent="0.3">
      <c r="E1240" s="81">
        <v>0.85972222222222205</v>
      </c>
      <c r="F1240" s="83">
        <f t="shared" si="19"/>
        <v>0.86458333333333337</v>
      </c>
    </row>
    <row r="1241" spans="5:6" x14ac:dyDescent="0.3">
      <c r="E1241" s="81">
        <v>0.86041666666666705</v>
      </c>
      <c r="F1241" s="83">
        <f t="shared" si="19"/>
        <v>0.86458333333333337</v>
      </c>
    </row>
    <row r="1242" spans="5:6" x14ac:dyDescent="0.3">
      <c r="E1242" s="81">
        <v>0.86111111111111105</v>
      </c>
      <c r="F1242" s="83">
        <f t="shared" si="19"/>
        <v>0.86458333333333337</v>
      </c>
    </row>
    <row r="1243" spans="5:6" x14ac:dyDescent="0.3">
      <c r="E1243" s="81">
        <v>0.86180555555555605</v>
      </c>
      <c r="F1243" s="83">
        <f t="shared" si="19"/>
        <v>0.86458333333333337</v>
      </c>
    </row>
    <row r="1244" spans="5:6" x14ac:dyDescent="0.3">
      <c r="E1244" s="81">
        <v>0.86250000000000004</v>
      </c>
      <c r="F1244" s="83">
        <f t="shared" si="19"/>
        <v>0.86458333333333337</v>
      </c>
    </row>
    <row r="1245" spans="5:6" x14ac:dyDescent="0.3">
      <c r="E1245" s="81">
        <v>0.86319444444444404</v>
      </c>
      <c r="F1245" s="83">
        <f t="shared" si="19"/>
        <v>0.86458333333333337</v>
      </c>
    </row>
    <row r="1246" spans="5:6" x14ac:dyDescent="0.3">
      <c r="E1246" s="81">
        <v>0.86388888888888904</v>
      </c>
      <c r="F1246" s="83">
        <f t="shared" si="19"/>
        <v>0.86458333333333337</v>
      </c>
    </row>
    <row r="1247" spans="5:6" x14ac:dyDescent="0.3">
      <c r="E1247" s="81">
        <v>0.86458333333333304</v>
      </c>
      <c r="F1247" s="83">
        <f t="shared" si="19"/>
        <v>0.875</v>
      </c>
    </row>
    <row r="1248" spans="5:6" x14ac:dyDescent="0.3">
      <c r="E1248" s="81">
        <v>0.86527777777777803</v>
      </c>
      <c r="F1248" s="83">
        <f t="shared" si="19"/>
        <v>0.875</v>
      </c>
    </row>
    <row r="1249" spans="5:6" x14ac:dyDescent="0.3">
      <c r="E1249" s="81">
        <v>0.86597222222222203</v>
      </c>
      <c r="F1249" s="83">
        <f t="shared" si="19"/>
        <v>0.875</v>
      </c>
    </row>
    <row r="1250" spans="5:6" x14ac:dyDescent="0.3">
      <c r="E1250" s="81">
        <v>0.86666666666666703</v>
      </c>
      <c r="F1250" s="83">
        <f t="shared" si="19"/>
        <v>0.875</v>
      </c>
    </row>
    <row r="1251" spans="5:6" x14ac:dyDescent="0.3">
      <c r="E1251" s="81">
        <v>0.86736111111111103</v>
      </c>
      <c r="F1251" s="83">
        <f t="shared" si="19"/>
        <v>0.875</v>
      </c>
    </row>
    <row r="1252" spans="5:6" x14ac:dyDescent="0.3">
      <c r="E1252" s="81">
        <v>0.86805555555555602</v>
      </c>
      <c r="F1252" s="83">
        <f t="shared" si="19"/>
        <v>0.875</v>
      </c>
    </row>
    <row r="1253" spans="5:6" x14ac:dyDescent="0.3">
      <c r="E1253" s="81">
        <v>0.86875000000000002</v>
      </c>
      <c r="F1253" s="83">
        <f t="shared" si="19"/>
        <v>0.875</v>
      </c>
    </row>
    <row r="1254" spans="5:6" x14ac:dyDescent="0.3">
      <c r="E1254" s="81">
        <v>0.86944444444444402</v>
      </c>
      <c r="F1254" s="83">
        <f t="shared" si="19"/>
        <v>0.875</v>
      </c>
    </row>
    <row r="1255" spans="5:6" x14ac:dyDescent="0.3">
      <c r="E1255" s="81">
        <v>0.87013888888888902</v>
      </c>
      <c r="F1255" s="83">
        <f t="shared" si="19"/>
        <v>0.875</v>
      </c>
    </row>
    <row r="1256" spans="5:6" x14ac:dyDescent="0.3">
      <c r="E1256" s="81">
        <v>0.87083333333333302</v>
      </c>
      <c r="F1256" s="83">
        <f t="shared" si="19"/>
        <v>0.875</v>
      </c>
    </row>
    <row r="1257" spans="5:6" x14ac:dyDescent="0.3">
      <c r="E1257" s="81">
        <v>0.87152777777777801</v>
      </c>
      <c r="F1257" s="83">
        <f t="shared" si="19"/>
        <v>0.875</v>
      </c>
    </row>
    <row r="1258" spans="5:6" x14ac:dyDescent="0.3">
      <c r="E1258" s="81">
        <v>0.87222222222222201</v>
      </c>
      <c r="F1258" s="83">
        <f t="shared" si="19"/>
        <v>0.875</v>
      </c>
    </row>
    <row r="1259" spans="5:6" x14ac:dyDescent="0.3">
      <c r="E1259" s="81">
        <v>0.87291666666666701</v>
      </c>
      <c r="F1259" s="83">
        <f t="shared" si="19"/>
        <v>0.875</v>
      </c>
    </row>
    <row r="1260" spans="5:6" x14ac:dyDescent="0.3">
      <c r="E1260" s="81">
        <v>0.87361111111111101</v>
      </c>
      <c r="F1260" s="83">
        <f t="shared" si="19"/>
        <v>0.875</v>
      </c>
    </row>
    <row r="1261" spans="5:6" x14ac:dyDescent="0.3">
      <c r="E1261" s="81">
        <v>0.874305555555556</v>
      </c>
      <c r="F1261" s="83">
        <f t="shared" si="19"/>
        <v>0.875</v>
      </c>
    </row>
    <row r="1262" spans="5:6" x14ac:dyDescent="0.3">
      <c r="E1262" s="81">
        <v>0.875</v>
      </c>
      <c r="F1262" s="83">
        <f t="shared" si="19"/>
        <v>0.88541666666666663</v>
      </c>
    </row>
    <row r="1263" spans="5:6" x14ac:dyDescent="0.3">
      <c r="E1263" s="81">
        <v>0.875694444444444</v>
      </c>
      <c r="F1263" s="83">
        <f t="shared" si="19"/>
        <v>0.88541666666666663</v>
      </c>
    </row>
    <row r="1264" spans="5:6" x14ac:dyDescent="0.3">
      <c r="E1264" s="81">
        <v>0.87638888888888899</v>
      </c>
      <c r="F1264" s="83">
        <f t="shared" si="19"/>
        <v>0.88541666666666663</v>
      </c>
    </row>
    <row r="1265" spans="5:6" x14ac:dyDescent="0.3">
      <c r="E1265" s="81">
        <v>0.87708333333333299</v>
      </c>
      <c r="F1265" s="83">
        <f t="shared" si="19"/>
        <v>0.88541666666666663</v>
      </c>
    </row>
    <row r="1266" spans="5:6" x14ac:dyDescent="0.3">
      <c r="E1266" s="81">
        <v>0.87777777777777799</v>
      </c>
      <c r="F1266" s="83">
        <f t="shared" si="19"/>
        <v>0.88541666666666663</v>
      </c>
    </row>
    <row r="1267" spans="5:6" x14ac:dyDescent="0.3">
      <c r="E1267" s="81">
        <v>0.87847222222222199</v>
      </c>
      <c r="F1267" s="83">
        <f t="shared" si="19"/>
        <v>0.88541666666666663</v>
      </c>
    </row>
    <row r="1268" spans="5:6" x14ac:dyDescent="0.3">
      <c r="E1268" s="81">
        <v>0.87916666666666698</v>
      </c>
      <c r="F1268" s="83">
        <f t="shared" si="19"/>
        <v>0.88541666666666663</v>
      </c>
    </row>
    <row r="1269" spans="5:6" x14ac:dyDescent="0.3">
      <c r="E1269" s="81">
        <v>0.87986111111111098</v>
      </c>
      <c r="F1269" s="83">
        <f t="shared" si="19"/>
        <v>0.88541666666666663</v>
      </c>
    </row>
    <row r="1270" spans="5:6" x14ac:dyDescent="0.3">
      <c r="E1270" s="81">
        <v>0.88055555555555598</v>
      </c>
      <c r="F1270" s="83">
        <f t="shared" si="19"/>
        <v>0.88541666666666663</v>
      </c>
    </row>
    <row r="1271" spans="5:6" x14ac:dyDescent="0.3">
      <c r="E1271" s="81">
        <v>0.88124999999999998</v>
      </c>
      <c r="F1271" s="83">
        <f t="shared" si="19"/>
        <v>0.88541666666666663</v>
      </c>
    </row>
    <row r="1272" spans="5:6" x14ac:dyDescent="0.3">
      <c r="E1272" s="81">
        <v>0.88194444444444497</v>
      </c>
      <c r="F1272" s="83">
        <f t="shared" si="19"/>
        <v>0.88541666666666663</v>
      </c>
    </row>
    <row r="1273" spans="5:6" x14ac:dyDescent="0.3">
      <c r="E1273" s="81">
        <v>0.88263888888888897</v>
      </c>
      <c r="F1273" s="83">
        <f t="shared" si="19"/>
        <v>0.88541666666666663</v>
      </c>
    </row>
    <row r="1274" spans="5:6" x14ac:dyDescent="0.3">
      <c r="E1274" s="81">
        <v>0.88333333333333297</v>
      </c>
      <c r="F1274" s="83">
        <f t="shared" si="19"/>
        <v>0.88541666666666663</v>
      </c>
    </row>
    <row r="1275" spans="5:6" x14ac:dyDescent="0.3">
      <c r="E1275" s="81">
        <v>0.88402777777777797</v>
      </c>
      <c r="F1275" s="83">
        <f t="shared" si="19"/>
        <v>0.88541666666666663</v>
      </c>
    </row>
    <row r="1276" spans="5:6" x14ac:dyDescent="0.3">
      <c r="E1276" s="81">
        <v>0.88472222222222197</v>
      </c>
      <c r="F1276" s="83">
        <f t="shared" si="19"/>
        <v>0.88541666666666663</v>
      </c>
    </row>
    <row r="1277" spans="5:6" x14ac:dyDescent="0.3">
      <c r="E1277" s="81">
        <v>0.88541666666666696</v>
      </c>
      <c r="F1277" s="83">
        <f t="shared" si="19"/>
        <v>0.89583333333333337</v>
      </c>
    </row>
    <row r="1278" spans="5:6" x14ac:dyDescent="0.3">
      <c r="E1278" s="81">
        <v>0.88611111111111096</v>
      </c>
      <c r="F1278" s="83">
        <f t="shared" si="19"/>
        <v>0.89583333333333337</v>
      </c>
    </row>
    <row r="1279" spans="5:6" x14ac:dyDescent="0.3">
      <c r="E1279" s="81">
        <v>0.88680555555555596</v>
      </c>
      <c r="F1279" s="83">
        <f t="shared" si="19"/>
        <v>0.89583333333333337</v>
      </c>
    </row>
    <row r="1280" spans="5:6" x14ac:dyDescent="0.3">
      <c r="E1280" s="81">
        <v>0.88749999999999996</v>
      </c>
      <c r="F1280" s="83">
        <f t="shared" si="19"/>
        <v>0.89583333333333337</v>
      </c>
    </row>
    <row r="1281" spans="5:6" x14ac:dyDescent="0.3">
      <c r="E1281" s="81">
        <v>0.88819444444444495</v>
      </c>
      <c r="F1281" s="83">
        <f t="shared" si="19"/>
        <v>0.89583333333333337</v>
      </c>
    </row>
    <row r="1282" spans="5:6" x14ac:dyDescent="0.3">
      <c r="E1282" s="81">
        <v>0.88888888888888895</v>
      </c>
      <c r="F1282" s="83">
        <f t="shared" si="19"/>
        <v>0.89583333333333337</v>
      </c>
    </row>
    <row r="1283" spans="5:6" x14ac:dyDescent="0.3">
      <c r="E1283" s="81">
        <v>0.88958333333333295</v>
      </c>
      <c r="F1283" s="83">
        <f t="shared" ref="F1283:F1346" si="20">ROUNDUP(E1283*4*24+1/60/24,0)/4/24</f>
        <v>0.89583333333333337</v>
      </c>
    </row>
    <row r="1284" spans="5:6" x14ac:dyDescent="0.3">
      <c r="E1284" s="81">
        <v>0.89027777777777795</v>
      </c>
      <c r="F1284" s="83">
        <f t="shared" si="20"/>
        <v>0.89583333333333337</v>
      </c>
    </row>
    <row r="1285" spans="5:6" x14ac:dyDescent="0.3">
      <c r="E1285" s="81">
        <v>0.89097222222222205</v>
      </c>
      <c r="F1285" s="83">
        <f t="shared" si="20"/>
        <v>0.89583333333333337</v>
      </c>
    </row>
    <row r="1286" spans="5:6" x14ac:dyDescent="0.3">
      <c r="E1286" s="81">
        <v>0.89166666666666705</v>
      </c>
      <c r="F1286" s="83">
        <f t="shared" si="20"/>
        <v>0.89583333333333337</v>
      </c>
    </row>
    <row r="1287" spans="5:6" x14ac:dyDescent="0.3">
      <c r="E1287" s="81">
        <v>0.89236111111111105</v>
      </c>
      <c r="F1287" s="83">
        <f t="shared" si="20"/>
        <v>0.89583333333333337</v>
      </c>
    </row>
    <row r="1288" spans="5:6" x14ac:dyDescent="0.3">
      <c r="E1288" s="81">
        <v>0.89305555555555605</v>
      </c>
      <c r="F1288" s="83">
        <f t="shared" si="20"/>
        <v>0.89583333333333337</v>
      </c>
    </row>
    <row r="1289" spans="5:6" x14ac:dyDescent="0.3">
      <c r="E1289" s="81">
        <v>0.89375000000000004</v>
      </c>
      <c r="F1289" s="83">
        <f t="shared" si="20"/>
        <v>0.89583333333333337</v>
      </c>
    </row>
    <row r="1290" spans="5:6" x14ac:dyDescent="0.3">
      <c r="E1290" s="81">
        <v>0.89444444444444404</v>
      </c>
      <c r="F1290" s="83">
        <f t="shared" si="20"/>
        <v>0.89583333333333337</v>
      </c>
    </row>
    <row r="1291" spans="5:6" x14ac:dyDescent="0.3">
      <c r="E1291" s="81">
        <v>0.89513888888888904</v>
      </c>
      <c r="F1291" s="83">
        <f t="shared" si="20"/>
        <v>0.89583333333333337</v>
      </c>
    </row>
    <row r="1292" spans="5:6" x14ac:dyDescent="0.3">
      <c r="E1292" s="81">
        <v>0.89583333333333304</v>
      </c>
      <c r="F1292" s="83">
        <f t="shared" si="20"/>
        <v>0.90625</v>
      </c>
    </row>
    <row r="1293" spans="5:6" x14ac:dyDescent="0.3">
      <c r="E1293" s="81">
        <v>0.89652777777777803</v>
      </c>
      <c r="F1293" s="83">
        <f t="shared" si="20"/>
        <v>0.90625</v>
      </c>
    </row>
    <row r="1294" spans="5:6" x14ac:dyDescent="0.3">
      <c r="E1294" s="81">
        <v>0.89722222222222203</v>
      </c>
      <c r="F1294" s="83">
        <f t="shared" si="20"/>
        <v>0.90625</v>
      </c>
    </row>
    <row r="1295" spans="5:6" x14ac:dyDescent="0.3">
      <c r="E1295" s="81">
        <v>0.89791666666666703</v>
      </c>
      <c r="F1295" s="83">
        <f t="shared" si="20"/>
        <v>0.90625</v>
      </c>
    </row>
    <row r="1296" spans="5:6" x14ac:dyDescent="0.3">
      <c r="E1296" s="81">
        <v>0.89861111111111103</v>
      </c>
      <c r="F1296" s="83">
        <f t="shared" si="20"/>
        <v>0.90625</v>
      </c>
    </row>
    <row r="1297" spans="5:6" x14ac:dyDescent="0.3">
      <c r="E1297" s="81">
        <v>0.89930555555555602</v>
      </c>
      <c r="F1297" s="83">
        <f t="shared" si="20"/>
        <v>0.90625</v>
      </c>
    </row>
    <row r="1298" spans="5:6" x14ac:dyDescent="0.3">
      <c r="E1298" s="81">
        <v>0.9</v>
      </c>
      <c r="F1298" s="83">
        <f t="shared" si="20"/>
        <v>0.90625</v>
      </c>
    </row>
    <row r="1299" spans="5:6" x14ac:dyDescent="0.3">
      <c r="E1299" s="81">
        <v>0.90069444444444402</v>
      </c>
      <c r="F1299" s="83">
        <f t="shared" si="20"/>
        <v>0.90625</v>
      </c>
    </row>
    <row r="1300" spans="5:6" x14ac:dyDescent="0.3">
      <c r="E1300" s="81">
        <v>0.90138888888888902</v>
      </c>
      <c r="F1300" s="83">
        <f t="shared" si="20"/>
        <v>0.90625</v>
      </c>
    </row>
    <row r="1301" spans="5:6" x14ac:dyDescent="0.3">
      <c r="E1301" s="81">
        <v>0.90208333333333302</v>
      </c>
      <c r="F1301" s="83">
        <f t="shared" si="20"/>
        <v>0.90625</v>
      </c>
    </row>
    <row r="1302" spans="5:6" x14ac:dyDescent="0.3">
      <c r="E1302" s="81">
        <v>0.90277777777777801</v>
      </c>
      <c r="F1302" s="83">
        <f t="shared" si="20"/>
        <v>0.90625</v>
      </c>
    </row>
    <row r="1303" spans="5:6" x14ac:dyDescent="0.3">
      <c r="E1303" s="81">
        <v>0.90347222222222201</v>
      </c>
      <c r="F1303" s="83">
        <f t="shared" si="20"/>
        <v>0.90625</v>
      </c>
    </row>
    <row r="1304" spans="5:6" x14ac:dyDescent="0.3">
      <c r="E1304" s="81">
        <v>0.90416666666666701</v>
      </c>
      <c r="F1304" s="83">
        <f t="shared" si="20"/>
        <v>0.90625</v>
      </c>
    </row>
    <row r="1305" spans="5:6" x14ac:dyDescent="0.3">
      <c r="E1305" s="81">
        <v>0.90486111111111101</v>
      </c>
      <c r="F1305" s="83">
        <f t="shared" si="20"/>
        <v>0.90625</v>
      </c>
    </row>
    <row r="1306" spans="5:6" x14ac:dyDescent="0.3">
      <c r="E1306" s="81">
        <v>0.905555555555556</v>
      </c>
      <c r="F1306" s="83">
        <f t="shared" si="20"/>
        <v>0.90625</v>
      </c>
    </row>
    <row r="1307" spans="5:6" x14ac:dyDescent="0.3">
      <c r="E1307" s="81">
        <v>0.90625</v>
      </c>
      <c r="F1307" s="83">
        <f t="shared" si="20"/>
        <v>0.91666666666666663</v>
      </c>
    </row>
    <row r="1308" spans="5:6" x14ac:dyDescent="0.3">
      <c r="E1308" s="81">
        <v>0.906944444444444</v>
      </c>
      <c r="F1308" s="83">
        <f t="shared" si="20"/>
        <v>0.91666666666666663</v>
      </c>
    </row>
    <row r="1309" spans="5:6" x14ac:dyDescent="0.3">
      <c r="E1309" s="81">
        <v>0.90763888888888899</v>
      </c>
      <c r="F1309" s="83">
        <f t="shared" si="20"/>
        <v>0.91666666666666663</v>
      </c>
    </row>
    <row r="1310" spans="5:6" x14ac:dyDescent="0.3">
      <c r="E1310" s="81">
        <v>0.90833333333333299</v>
      </c>
      <c r="F1310" s="83">
        <f t="shared" si="20"/>
        <v>0.91666666666666663</v>
      </c>
    </row>
    <row r="1311" spans="5:6" x14ac:dyDescent="0.3">
      <c r="E1311" s="81">
        <v>0.90902777777777799</v>
      </c>
      <c r="F1311" s="83">
        <f t="shared" si="20"/>
        <v>0.91666666666666663</v>
      </c>
    </row>
    <row r="1312" spans="5:6" x14ac:dyDescent="0.3">
      <c r="E1312" s="81">
        <v>0.90972222222222199</v>
      </c>
      <c r="F1312" s="83">
        <f t="shared" si="20"/>
        <v>0.91666666666666663</v>
      </c>
    </row>
    <row r="1313" spans="5:6" x14ac:dyDescent="0.3">
      <c r="E1313" s="81">
        <v>0.91041666666666698</v>
      </c>
      <c r="F1313" s="83">
        <f t="shared" si="20"/>
        <v>0.91666666666666663</v>
      </c>
    </row>
    <row r="1314" spans="5:6" x14ac:dyDescent="0.3">
      <c r="E1314" s="81">
        <v>0.91111111111111098</v>
      </c>
      <c r="F1314" s="83">
        <f t="shared" si="20"/>
        <v>0.91666666666666663</v>
      </c>
    </row>
    <row r="1315" spans="5:6" x14ac:dyDescent="0.3">
      <c r="E1315" s="81">
        <v>0.91180555555555598</v>
      </c>
      <c r="F1315" s="83">
        <f t="shared" si="20"/>
        <v>0.91666666666666663</v>
      </c>
    </row>
    <row r="1316" spans="5:6" x14ac:dyDescent="0.3">
      <c r="E1316" s="81">
        <v>0.91249999999999998</v>
      </c>
      <c r="F1316" s="83">
        <f t="shared" si="20"/>
        <v>0.91666666666666663</v>
      </c>
    </row>
    <row r="1317" spans="5:6" x14ac:dyDescent="0.3">
      <c r="E1317" s="81">
        <v>0.91319444444444497</v>
      </c>
      <c r="F1317" s="83">
        <f t="shared" si="20"/>
        <v>0.91666666666666663</v>
      </c>
    </row>
    <row r="1318" spans="5:6" x14ac:dyDescent="0.3">
      <c r="E1318" s="81">
        <v>0.91388888888888897</v>
      </c>
      <c r="F1318" s="83">
        <f t="shared" si="20"/>
        <v>0.91666666666666663</v>
      </c>
    </row>
    <row r="1319" spans="5:6" x14ac:dyDescent="0.3">
      <c r="E1319" s="81">
        <v>0.91458333333333297</v>
      </c>
      <c r="F1319" s="83">
        <f t="shared" si="20"/>
        <v>0.91666666666666663</v>
      </c>
    </row>
    <row r="1320" spans="5:6" x14ac:dyDescent="0.3">
      <c r="E1320" s="81">
        <v>0.91527777777777797</v>
      </c>
      <c r="F1320" s="83">
        <f t="shared" si="20"/>
        <v>0.91666666666666663</v>
      </c>
    </row>
    <row r="1321" spans="5:6" x14ac:dyDescent="0.3">
      <c r="E1321" s="81">
        <v>0.91597222222222197</v>
      </c>
      <c r="F1321" s="83">
        <f t="shared" si="20"/>
        <v>0.91666666666666663</v>
      </c>
    </row>
    <row r="1322" spans="5:6" x14ac:dyDescent="0.3">
      <c r="E1322" s="81">
        <v>0.91666666666666696</v>
      </c>
      <c r="F1322" s="83">
        <f t="shared" si="20"/>
        <v>0.92708333333333337</v>
      </c>
    </row>
    <row r="1323" spans="5:6" x14ac:dyDescent="0.3">
      <c r="E1323" s="81">
        <v>0.91736111111111096</v>
      </c>
      <c r="F1323" s="83">
        <f t="shared" si="20"/>
        <v>0.92708333333333337</v>
      </c>
    </row>
    <row r="1324" spans="5:6" x14ac:dyDescent="0.3">
      <c r="E1324" s="81">
        <v>0.91805555555555596</v>
      </c>
      <c r="F1324" s="83">
        <f t="shared" si="20"/>
        <v>0.92708333333333337</v>
      </c>
    </row>
    <row r="1325" spans="5:6" x14ac:dyDescent="0.3">
      <c r="E1325" s="81">
        <v>0.91874999999999996</v>
      </c>
      <c r="F1325" s="83">
        <f t="shared" si="20"/>
        <v>0.92708333333333337</v>
      </c>
    </row>
    <row r="1326" spans="5:6" x14ac:dyDescent="0.3">
      <c r="E1326" s="81">
        <v>0.91944444444444495</v>
      </c>
      <c r="F1326" s="83">
        <f t="shared" si="20"/>
        <v>0.92708333333333337</v>
      </c>
    </row>
    <row r="1327" spans="5:6" x14ac:dyDescent="0.3">
      <c r="E1327" s="81">
        <v>0.92013888888888895</v>
      </c>
      <c r="F1327" s="83">
        <f t="shared" si="20"/>
        <v>0.92708333333333337</v>
      </c>
    </row>
    <row r="1328" spans="5:6" x14ac:dyDescent="0.3">
      <c r="E1328" s="81">
        <v>0.92083333333333295</v>
      </c>
      <c r="F1328" s="83">
        <f t="shared" si="20"/>
        <v>0.92708333333333337</v>
      </c>
    </row>
    <row r="1329" spans="5:6" x14ac:dyDescent="0.3">
      <c r="E1329" s="81">
        <v>0.92152777777777795</v>
      </c>
      <c r="F1329" s="83">
        <f t="shared" si="20"/>
        <v>0.92708333333333337</v>
      </c>
    </row>
    <row r="1330" spans="5:6" x14ac:dyDescent="0.3">
      <c r="E1330" s="81">
        <v>0.92222222222222205</v>
      </c>
      <c r="F1330" s="83">
        <f t="shared" si="20"/>
        <v>0.92708333333333337</v>
      </c>
    </row>
    <row r="1331" spans="5:6" x14ac:dyDescent="0.3">
      <c r="E1331" s="81">
        <v>0.92291666666666705</v>
      </c>
      <c r="F1331" s="83">
        <f t="shared" si="20"/>
        <v>0.92708333333333337</v>
      </c>
    </row>
    <row r="1332" spans="5:6" x14ac:dyDescent="0.3">
      <c r="E1332" s="81">
        <v>0.92361111111111105</v>
      </c>
      <c r="F1332" s="83">
        <f t="shared" si="20"/>
        <v>0.92708333333333337</v>
      </c>
    </row>
    <row r="1333" spans="5:6" x14ac:dyDescent="0.3">
      <c r="E1333" s="81">
        <v>0.92430555555555605</v>
      </c>
      <c r="F1333" s="83">
        <f t="shared" si="20"/>
        <v>0.92708333333333337</v>
      </c>
    </row>
    <row r="1334" spans="5:6" x14ac:dyDescent="0.3">
      <c r="E1334" s="81">
        <v>0.92500000000000004</v>
      </c>
      <c r="F1334" s="83">
        <f t="shared" si="20"/>
        <v>0.92708333333333337</v>
      </c>
    </row>
    <row r="1335" spans="5:6" x14ac:dyDescent="0.3">
      <c r="E1335" s="81">
        <v>0.92569444444444404</v>
      </c>
      <c r="F1335" s="83">
        <f t="shared" si="20"/>
        <v>0.92708333333333337</v>
      </c>
    </row>
    <row r="1336" spans="5:6" x14ac:dyDescent="0.3">
      <c r="E1336" s="81">
        <v>0.92638888888888904</v>
      </c>
      <c r="F1336" s="83">
        <f t="shared" si="20"/>
        <v>0.92708333333333337</v>
      </c>
    </row>
    <row r="1337" spans="5:6" x14ac:dyDescent="0.3">
      <c r="E1337" s="81">
        <v>0.92708333333333304</v>
      </c>
      <c r="F1337" s="83">
        <f t="shared" si="20"/>
        <v>0.9375</v>
      </c>
    </row>
    <row r="1338" spans="5:6" x14ac:dyDescent="0.3">
      <c r="E1338" s="81">
        <v>0.92777777777777803</v>
      </c>
      <c r="F1338" s="83">
        <f t="shared" si="20"/>
        <v>0.9375</v>
      </c>
    </row>
    <row r="1339" spans="5:6" x14ac:dyDescent="0.3">
      <c r="E1339" s="81">
        <v>0.92847222222222203</v>
      </c>
      <c r="F1339" s="83">
        <f t="shared" si="20"/>
        <v>0.9375</v>
      </c>
    </row>
    <row r="1340" spans="5:6" x14ac:dyDescent="0.3">
      <c r="E1340" s="81">
        <v>0.92916666666666703</v>
      </c>
      <c r="F1340" s="83">
        <f t="shared" si="20"/>
        <v>0.9375</v>
      </c>
    </row>
    <row r="1341" spans="5:6" x14ac:dyDescent="0.3">
      <c r="E1341" s="81">
        <v>0.92986111111111103</v>
      </c>
      <c r="F1341" s="83">
        <f t="shared" si="20"/>
        <v>0.9375</v>
      </c>
    </row>
    <row r="1342" spans="5:6" x14ac:dyDescent="0.3">
      <c r="E1342" s="81">
        <v>0.93055555555555602</v>
      </c>
      <c r="F1342" s="83">
        <f t="shared" si="20"/>
        <v>0.9375</v>
      </c>
    </row>
    <row r="1343" spans="5:6" x14ac:dyDescent="0.3">
      <c r="E1343" s="81">
        <v>0.93125000000000002</v>
      </c>
      <c r="F1343" s="83">
        <f t="shared" si="20"/>
        <v>0.9375</v>
      </c>
    </row>
    <row r="1344" spans="5:6" x14ac:dyDescent="0.3">
      <c r="E1344" s="81">
        <v>0.93194444444444402</v>
      </c>
      <c r="F1344" s="83">
        <f t="shared" si="20"/>
        <v>0.9375</v>
      </c>
    </row>
    <row r="1345" spans="5:6" x14ac:dyDescent="0.3">
      <c r="E1345" s="81">
        <v>0.93263888888888902</v>
      </c>
      <c r="F1345" s="83">
        <f t="shared" si="20"/>
        <v>0.9375</v>
      </c>
    </row>
    <row r="1346" spans="5:6" x14ac:dyDescent="0.3">
      <c r="E1346" s="81">
        <v>0.93333333333333302</v>
      </c>
      <c r="F1346" s="83">
        <f t="shared" si="20"/>
        <v>0.9375</v>
      </c>
    </row>
    <row r="1347" spans="5:6" x14ac:dyDescent="0.3">
      <c r="E1347" s="81">
        <v>0.93402777777777801</v>
      </c>
      <c r="F1347" s="83">
        <f t="shared" ref="F1347:F1410" si="21">ROUNDUP(E1347*4*24+1/60/24,0)/4/24</f>
        <v>0.9375</v>
      </c>
    </row>
    <row r="1348" spans="5:6" x14ac:dyDescent="0.3">
      <c r="E1348" s="81">
        <v>0.93472222222222201</v>
      </c>
      <c r="F1348" s="83">
        <f t="shared" si="21"/>
        <v>0.9375</v>
      </c>
    </row>
    <row r="1349" spans="5:6" x14ac:dyDescent="0.3">
      <c r="E1349" s="81">
        <v>0.93541666666666701</v>
      </c>
      <c r="F1349" s="83">
        <f t="shared" si="21"/>
        <v>0.9375</v>
      </c>
    </row>
    <row r="1350" spans="5:6" x14ac:dyDescent="0.3">
      <c r="E1350" s="81">
        <v>0.93611111111111101</v>
      </c>
      <c r="F1350" s="83">
        <f t="shared" si="21"/>
        <v>0.9375</v>
      </c>
    </row>
    <row r="1351" spans="5:6" x14ac:dyDescent="0.3">
      <c r="E1351" s="81">
        <v>0.936805555555556</v>
      </c>
      <c r="F1351" s="83">
        <f t="shared" si="21"/>
        <v>0.9375</v>
      </c>
    </row>
    <row r="1352" spans="5:6" x14ac:dyDescent="0.3">
      <c r="E1352" s="81">
        <v>0.9375</v>
      </c>
      <c r="F1352" s="83">
        <f t="shared" si="21"/>
        <v>0.94791666666666663</v>
      </c>
    </row>
    <row r="1353" spans="5:6" x14ac:dyDescent="0.3">
      <c r="E1353" s="81">
        <v>0.938194444444444</v>
      </c>
      <c r="F1353" s="83">
        <f t="shared" si="21"/>
        <v>0.94791666666666663</v>
      </c>
    </row>
    <row r="1354" spans="5:6" x14ac:dyDescent="0.3">
      <c r="E1354" s="81">
        <v>0.93888888888888899</v>
      </c>
      <c r="F1354" s="83">
        <f t="shared" si="21"/>
        <v>0.94791666666666663</v>
      </c>
    </row>
    <row r="1355" spans="5:6" x14ac:dyDescent="0.3">
      <c r="E1355" s="81">
        <v>0.93958333333333299</v>
      </c>
      <c r="F1355" s="83">
        <f t="shared" si="21"/>
        <v>0.94791666666666663</v>
      </c>
    </row>
    <row r="1356" spans="5:6" x14ac:dyDescent="0.3">
      <c r="E1356" s="81">
        <v>0.94027777777777799</v>
      </c>
      <c r="F1356" s="83">
        <f t="shared" si="21"/>
        <v>0.94791666666666663</v>
      </c>
    </row>
    <row r="1357" spans="5:6" x14ac:dyDescent="0.3">
      <c r="E1357" s="81">
        <v>0.94097222222222199</v>
      </c>
      <c r="F1357" s="83">
        <f t="shared" si="21"/>
        <v>0.94791666666666663</v>
      </c>
    </row>
    <row r="1358" spans="5:6" x14ac:dyDescent="0.3">
      <c r="E1358" s="81">
        <v>0.94166666666666698</v>
      </c>
      <c r="F1358" s="83">
        <f t="shared" si="21"/>
        <v>0.94791666666666663</v>
      </c>
    </row>
    <row r="1359" spans="5:6" x14ac:dyDescent="0.3">
      <c r="E1359" s="81">
        <v>0.94236111111111098</v>
      </c>
      <c r="F1359" s="83">
        <f t="shared" si="21"/>
        <v>0.94791666666666663</v>
      </c>
    </row>
    <row r="1360" spans="5:6" x14ac:dyDescent="0.3">
      <c r="E1360" s="81">
        <v>0.94305555555555598</v>
      </c>
      <c r="F1360" s="83">
        <f t="shared" si="21"/>
        <v>0.94791666666666663</v>
      </c>
    </row>
    <row r="1361" spans="5:6" x14ac:dyDescent="0.3">
      <c r="E1361" s="81">
        <v>0.94374999999999998</v>
      </c>
      <c r="F1361" s="83">
        <f t="shared" si="21"/>
        <v>0.94791666666666663</v>
      </c>
    </row>
    <row r="1362" spans="5:6" x14ac:dyDescent="0.3">
      <c r="E1362" s="81">
        <v>0.94444444444444497</v>
      </c>
      <c r="F1362" s="83">
        <f t="shared" si="21"/>
        <v>0.94791666666666663</v>
      </c>
    </row>
    <row r="1363" spans="5:6" x14ac:dyDescent="0.3">
      <c r="E1363" s="81">
        <v>0.94513888888888897</v>
      </c>
      <c r="F1363" s="83">
        <f t="shared" si="21"/>
        <v>0.94791666666666663</v>
      </c>
    </row>
    <row r="1364" spans="5:6" x14ac:dyDescent="0.3">
      <c r="E1364" s="81">
        <v>0.94583333333333297</v>
      </c>
      <c r="F1364" s="83">
        <f t="shared" si="21"/>
        <v>0.94791666666666663</v>
      </c>
    </row>
    <row r="1365" spans="5:6" x14ac:dyDescent="0.3">
      <c r="E1365" s="81">
        <v>0.94652777777777797</v>
      </c>
      <c r="F1365" s="83">
        <f t="shared" si="21"/>
        <v>0.94791666666666663</v>
      </c>
    </row>
    <row r="1366" spans="5:6" x14ac:dyDescent="0.3">
      <c r="E1366" s="81">
        <v>0.94722222222222197</v>
      </c>
      <c r="F1366" s="83">
        <f t="shared" si="21"/>
        <v>0.94791666666666663</v>
      </c>
    </row>
    <row r="1367" spans="5:6" x14ac:dyDescent="0.3">
      <c r="E1367" s="81">
        <v>0.94791666666666696</v>
      </c>
      <c r="F1367" s="83">
        <f t="shared" si="21"/>
        <v>0.95833333333333337</v>
      </c>
    </row>
    <row r="1368" spans="5:6" x14ac:dyDescent="0.3">
      <c r="E1368" s="81">
        <v>0.94861111111111096</v>
      </c>
      <c r="F1368" s="83">
        <f t="shared" si="21"/>
        <v>0.95833333333333337</v>
      </c>
    </row>
    <row r="1369" spans="5:6" x14ac:dyDescent="0.3">
      <c r="E1369" s="81">
        <v>0.94930555555555596</v>
      </c>
      <c r="F1369" s="83">
        <f t="shared" si="21"/>
        <v>0.95833333333333337</v>
      </c>
    </row>
    <row r="1370" spans="5:6" x14ac:dyDescent="0.3">
      <c r="E1370" s="81">
        <v>0.95</v>
      </c>
      <c r="F1370" s="83">
        <f t="shared" si="21"/>
        <v>0.95833333333333337</v>
      </c>
    </row>
    <row r="1371" spans="5:6" x14ac:dyDescent="0.3">
      <c r="E1371" s="81">
        <v>0.95069444444444495</v>
      </c>
      <c r="F1371" s="83">
        <f t="shared" si="21"/>
        <v>0.95833333333333337</v>
      </c>
    </row>
    <row r="1372" spans="5:6" x14ac:dyDescent="0.3">
      <c r="E1372" s="81">
        <v>0.95138888888888895</v>
      </c>
      <c r="F1372" s="83">
        <f t="shared" si="21"/>
        <v>0.95833333333333337</v>
      </c>
    </row>
    <row r="1373" spans="5:6" x14ac:dyDescent="0.3">
      <c r="E1373" s="81">
        <v>0.95208333333333295</v>
      </c>
      <c r="F1373" s="83">
        <f t="shared" si="21"/>
        <v>0.95833333333333337</v>
      </c>
    </row>
    <row r="1374" spans="5:6" x14ac:dyDescent="0.3">
      <c r="E1374" s="81">
        <v>0.95277777777777795</v>
      </c>
      <c r="F1374" s="83">
        <f t="shared" si="21"/>
        <v>0.95833333333333337</v>
      </c>
    </row>
    <row r="1375" spans="5:6" x14ac:dyDescent="0.3">
      <c r="E1375" s="81">
        <v>0.95347222222222205</v>
      </c>
      <c r="F1375" s="83">
        <f t="shared" si="21"/>
        <v>0.95833333333333337</v>
      </c>
    </row>
    <row r="1376" spans="5:6" x14ac:dyDescent="0.3">
      <c r="E1376" s="81">
        <v>0.95416666666666705</v>
      </c>
      <c r="F1376" s="83">
        <f t="shared" si="21"/>
        <v>0.95833333333333337</v>
      </c>
    </row>
    <row r="1377" spans="5:6" x14ac:dyDescent="0.3">
      <c r="E1377" s="81">
        <v>0.95486111111111105</v>
      </c>
      <c r="F1377" s="83">
        <f t="shared" si="21"/>
        <v>0.95833333333333337</v>
      </c>
    </row>
    <row r="1378" spans="5:6" x14ac:dyDescent="0.3">
      <c r="E1378" s="81">
        <v>0.95555555555555605</v>
      </c>
      <c r="F1378" s="83">
        <f t="shared" si="21"/>
        <v>0.95833333333333337</v>
      </c>
    </row>
    <row r="1379" spans="5:6" x14ac:dyDescent="0.3">
      <c r="E1379" s="81">
        <v>0.95625000000000004</v>
      </c>
      <c r="F1379" s="83">
        <f t="shared" si="21"/>
        <v>0.95833333333333337</v>
      </c>
    </row>
    <row r="1380" spans="5:6" x14ac:dyDescent="0.3">
      <c r="E1380" s="81">
        <v>0.95694444444444404</v>
      </c>
      <c r="F1380" s="83">
        <f t="shared" si="21"/>
        <v>0.95833333333333337</v>
      </c>
    </row>
    <row r="1381" spans="5:6" x14ac:dyDescent="0.3">
      <c r="E1381" s="81">
        <v>0.95763888888888904</v>
      </c>
      <c r="F1381" s="83">
        <f t="shared" si="21"/>
        <v>0.95833333333333337</v>
      </c>
    </row>
    <row r="1382" spans="5:6" x14ac:dyDescent="0.3">
      <c r="E1382" s="81">
        <v>0.95833333333333304</v>
      </c>
      <c r="F1382" s="83">
        <f t="shared" si="21"/>
        <v>0.96875</v>
      </c>
    </row>
    <row r="1383" spans="5:6" x14ac:dyDescent="0.3">
      <c r="E1383" s="81">
        <v>0.95902777777777803</v>
      </c>
      <c r="F1383" s="83">
        <f t="shared" si="21"/>
        <v>0.96875</v>
      </c>
    </row>
    <row r="1384" spans="5:6" x14ac:dyDescent="0.3">
      <c r="E1384" s="81">
        <v>0.95972222222222203</v>
      </c>
      <c r="F1384" s="83">
        <f t="shared" si="21"/>
        <v>0.96875</v>
      </c>
    </row>
    <row r="1385" spans="5:6" x14ac:dyDescent="0.3">
      <c r="E1385" s="81">
        <v>0.96041666666666703</v>
      </c>
      <c r="F1385" s="83">
        <f t="shared" si="21"/>
        <v>0.96875</v>
      </c>
    </row>
    <row r="1386" spans="5:6" x14ac:dyDescent="0.3">
      <c r="E1386" s="81">
        <v>0.96111111111111103</v>
      </c>
      <c r="F1386" s="83">
        <f t="shared" si="21"/>
        <v>0.96875</v>
      </c>
    </row>
    <row r="1387" spans="5:6" x14ac:dyDescent="0.3">
      <c r="E1387" s="81">
        <v>0.96180555555555602</v>
      </c>
      <c r="F1387" s="83">
        <f t="shared" si="21"/>
        <v>0.96875</v>
      </c>
    </row>
    <row r="1388" spans="5:6" x14ac:dyDescent="0.3">
      <c r="E1388" s="81">
        <v>0.96250000000000002</v>
      </c>
      <c r="F1388" s="83">
        <f t="shared" si="21"/>
        <v>0.96875</v>
      </c>
    </row>
    <row r="1389" spans="5:6" x14ac:dyDescent="0.3">
      <c r="E1389" s="81">
        <v>0.96319444444444402</v>
      </c>
      <c r="F1389" s="83">
        <f t="shared" si="21"/>
        <v>0.96875</v>
      </c>
    </row>
    <row r="1390" spans="5:6" x14ac:dyDescent="0.3">
      <c r="E1390" s="81">
        <v>0.96388888888888902</v>
      </c>
      <c r="F1390" s="83">
        <f t="shared" si="21"/>
        <v>0.96875</v>
      </c>
    </row>
    <row r="1391" spans="5:6" x14ac:dyDescent="0.3">
      <c r="E1391" s="81">
        <v>0.96458333333333302</v>
      </c>
      <c r="F1391" s="83">
        <f t="shared" si="21"/>
        <v>0.96875</v>
      </c>
    </row>
    <row r="1392" spans="5:6" x14ac:dyDescent="0.3">
      <c r="E1392" s="81">
        <v>0.96527777777777801</v>
      </c>
      <c r="F1392" s="83">
        <f t="shared" si="21"/>
        <v>0.96875</v>
      </c>
    </row>
    <row r="1393" spans="5:6" x14ac:dyDescent="0.3">
      <c r="E1393" s="81">
        <v>0.96597222222222201</v>
      </c>
      <c r="F1393" s="83">
        <f t="shared" si="21"/>
        <v>0.96875</v>
      </c>
    </row>
    <row r="1394" spans="5:6" x14ac:dyDescent="0.3">
      <c r="E1394" s="81">
        <v>0.96666666666666701</v>
      </c>
      <c r="F1394" s="83">
        <f t="shared" si="21"/>
        <v>0.96875</v>
      </c>
    </row>
    <row r="1395" spans="5:6" x14ac:dyDescent="0.3">
      <c r="E1395" s="81">
        <v>0.96736111111111101</v>
      </c>
      <c r="F1395" s="83">
        <f t="shared" si="21"/>
        <v>0.96875</v>
      </c>
    </row>
    <row r="1396" spans="5:6" x14ac:dyDescent="0.3">
      <c r="E1396" s="81">
        <v>0.968055555555556</v>
      </c>
      <c r="F1396" s="83">
        <f t="shared" si="21"/>
        <v>0.96875</v>
      </c>
    </row>
    <row r="1397" spans="5:6" x14ac:dyDescent="0.3">
      <c r="E1397" s="81">
        <v>0.96875</v>
      </c>
      <c r="F1397" s="83">
        <f t="shared" si="21"/>
        <v>0.97916666666666663</v>
      </c>
    </row>
    <row r="1398" spans="5:6" x14ac:dyDescent="0.3">
      <c r="E1398" s="81">
        <v>0.969444444444444</v>
      </c>
      <c r="F1398" s="83">
        <f t="shared" si="21"/>
        <v>0.97916666666666663</v>
      </c>
    </row>
    <row r="1399" spans="5:6" x14ac:dyDescent="0.3">
      <c r="E1399" s="81">
        <v>0.97013888888888899</v>
      </c>
      <c r="F1399" s="83">
        <f t="shared" si="21"/>
        <v>0.97916666666666663</v>
      </c>
    </row>
    <row r="1400" spans="5:6" x14ac:dyDescent="0.3">
      <c r="E1400" s="81">
        <v>0.97083333333333299</v>
      </c>
      <c r="F1400" s="83">
        <f t="shared" si="21"/>
        <v>0.97916666666666663</v>
      </c>
    </row>
    <row r="1401" spans="5:6" x14ac:dyDescent="0.3">
      <c r="E1401" s="81">
        <v>0.97152777777777799</v>
      </c>
      <c r="F1401" s="83">
        <f t="shared" si="21"/>
        <v>0.97916666666666663</v>
      </c>
    </row>
    <row r="1402" spans="5:6" x14ac:dyDescent="0.3">
      <c r="E1402" s="81">
        <v>0.97222222222222199</v>
      </c>
      <c r="F1402" s="83">
        <f t="shared" si="21"/>
        <v>0.97916666666666663</v>
      </c>
    </row>
    <row r="1403" spans="5:6" x14ac:dyDescent="0.3">
      <c r="E1403" s="81">
        <v>0.97291666666666698</v>
      </c>
      <c r="F1403" s="83">
        <f t="shared" si="21"/>
        <v>0.97916666666666663</v>
      </c>
    </row>
    <row r="1404" spans="5:6" x14ac:dyDescent="0.3">
      <c r="E1404" s="81">
        <v>0.97361111111111098</v>
      </c>
      <c r="F1404" s="83">
        <f t="shared" si="21"/>
        <v>0.97916666666666663</v>
      </c>
    </row>
    <row r="1405" spans="5:6" x14ac:dyDescent="0.3">
      <c r="E1405" s="81">
        <v>0.97430555555555598</v>
      </c>
      <c r="F1405" s="83">
        <f t="shared" si="21"/>
        <v>0.97916666666666663</v>
      </c>
    </row>
    <row r="1406" spans="5:6" x14ac:dyDescent="0.3">
      <c r="E1406" s="81">
        <v>0.97499999999999998</v>
      </c>
      <c r="F1406" s="83">
        <f t="shared" si="21"/>
        <v>0.97916666666666663</v>
      </c>
    </row>
    <row r="1407" spans="5:6" x14ac:dyDescent="0.3">
      <c r="E1407" s="81">
        <v>0.97569444444444497</v>
      </c>
      <c r="F1407" s="83">
        <f t="shared" si="21"/>
        <v>0.97916666666666663</v>
      </c>
    </row>
    <row r="1408" spans="5:6" x14ac:dyDescent="0.3">
      <c r="E1408" s="81">
        <v>0.97638888888888897</v>
      </c>
      <c r="F1408" s="83">
        <f t="shared" si="21"/>
        <v>0.97916666666666663</v>
      </c>
    </row>
    <row r="1409" spans="5:6" x14ac:dyDescent="0.3">
      <c r="E1409" s="81">
        <v>0.97708333333333297</v>
      </c>
      <c r="F1409" s="83">
        <f t="shared" si="21"/>
        <v>0.97916666666666663</v>
      </c>
    </row>
    <row r="1410" spans="5:6" x14ac:dyDescent="0.3">
      <c r="E1410" s="81">
        <v>0.97777777777777797</v>
      </c>
      <c r="F1410" s="83">
        <f t="shared" si="21"/>
        <v>0.97916666666666663</v>
      </c>
    </row>
    <row r="1411" spans="5:6" x14ac:dyDescent="0.3">
      <c r="E1411" s="81">
        <v>0.97847222222222197</v>
      </c>
      <c r="F1411" s="83">
        <f t="shared" ref="F1411:F1441" si="22">ROUNDUP(E1411*4*24+1/60/24,0)/4/24</f>
        <v>0.97916666666666663</v>
      </c>
    </row>
    <row r="1412" spans="5:6" x14ac:dyDescent="0.3">
      <c r="E1412" s="81">
        <v>0.97916666666666696</v>
      </c>
      <c r="F1412" s="83">
        <f t="shared" si="22"/>
        <v>0.98958333333333337</v>
      </c>
    </row>
    <row r="1413" spans="5:6" x14ac:dyDescent="0.3">
      <c r="E1413" s="81">
        <v>0.97986111111111096</v>
      </c>
      <c r="F1413" s="83">
        <f t="shared" si="22"/>
        <v>0.98958333333333337</v>
      </c>
    </row>
    <row r="1414" spans="5:6" x14ac:dyDescent="0.3">
      <c r="E1414" s="81">
        <v>0.98055555555555596</v>
      </c>
      <c r="F1414" s="83">
        <f t="shared" si="22"/>
        <v>0.98958333333333337</v>
      </c>
    </row>
    <row r="1415" spans="5:6" x14ac:dyDescent="0.3">
      <c r="E1415" s="81">
        <v>0.98124999999999996</v>
      </c>
      <c r="F1415" s="83">
        <f t="shared" si="22"/>
        <v>0.98958333333333337</v>
      </c>
    </row>
    <row r="1416" spans="5:6" x14ac:dyDescent="0.3">
      <c r="E1416" s="81">
        <v>0.98194444444444495</v>
      </c>
      <c r="F1416" s="83">
        <f t="shared" si="22"/>
        <v>0.98958333333333337</v>
      </c>
    </row>
    <row r="1417" spans="5:6" x14ac:dyDescent="0.3">
      <c r="E1417" s="81">
        <v>0.98263888888888895</v>
      </c>
      <c r="F1417" s="83">
        <f t="shared" si="22"/>
        <v>0.98958333333333337</v>
      </c>
    </row>
    <row r="1418" spans="5:6" x14ac:dyDescent="0.3">
      <c r="E1418" s="81">
        <v>0.98333333333333295</v>
      </c>
      <c r="F1418" s="83">
        <f t="shared" si="22"/>
        <v>0.98958333333333337</v>
      </c>
    </row>
    <row r="1419" spans="5:6" x14ac:dyDescent="0.3">
      <c r="E1419" s="81">
        <v>0.98402777777777795</v>
      </c>
      <c r="F1419" s="83">
        <f t="shared" si="22"/>
        <v>0.98958333333333337</v>
      </c>
    </row>
    <row r="1420" spans="5:6" x14ac:dyDescent="0.3">
      <c r="E1420" s="81">
        <v>0.98472222222222205</v>
      </c>
      <c r="F1420" s="83">
        <f t="shared" si="22"/>
        <v>0.98958333333333337</v>
      </c>
    </row>
    <row r="1421" spans="5:6" x14ac:dyDescent="0.3">
      <c r="E1421" s="81">
        <v>0.98541666666666705</v>
      </c>
      <c r="F1421" s="83">
        <f t="shared" si="22"/>
        <v>0.98958333333333337</v>
      </c>
    </row>
    <row r="1422" spans="5:6" x14ac:dyDescent="0.3">
      <c r="E1422" s="81">
        <v>0.98611111111111105</v>
      </c>
      <c r="F1422" s="83">
        <f t="shared" si="22"/>
        <v>0.98958333333333337</v>
      </c>
    </row>
    <row r="1423" spans="5:6" x14ac:dyDescent="0.3">
      <c r="E1423" s="81">
        <v>0.98680555555555605</v>
      </c>
      <c r="F1423" s="83">
        <f t="shared" si="22"/>
        <v>0.98958333333333337</v>
      </c>
    </row>
    <row r="1424" spans="5:6" x14ac:dyDescent="0.3">
      <c r="E1424" s="81">
        <v>0.98750000000000004</v>
      </c>
      <c r="F1424" s="83">
        <f t="shared" si="22"/>
        <v>0.98958333333333337</v>
      </c>
    </row>
    <row r="1425" spans="5:6" x14ac:dyDescent="0.3">
      <c r="E1425" s="81">
        <v>0.98819444444444404</v>
      </c>
      <c r="F1425" s="83">
        <f t="shared" si="22"/>
        <v>0.98958333333333337</v>
      </c>
    </row>
    <row r="1426" spans="5:6" x14ac:dyDescent="0.3">
      <c r="E1426" s="81">
        <v>0.98888888888888904</v>
      </c>
      <c r="F1426" s="83">
        <f t="shared" si="22"/>
        <v>0.98958333333333337</v>
      </c>
    </row>
    <row r="1427" spans="5:6" x14ac:dyDescent="0.3">
      <c r="E1427" s="81">
        <v>0.98958333333333304</v>
      </c>
      <c r="F1427" s="83">
        <f t="shared" si="22"/>
        <v>1</v>
      </c>
    </row>
    <row r="1428" spans="5:6" x14ac:dyDescent="0.3">
      <c r="E1428" s="81">
        <v>0.99027777777777803</v>
      </c>
      <c r="F1428" s="83">
        <f t="shared" si="22"/>
        <v>1</v>
      </c>
    </row>
    <row r="1429" spans="5:6" x14ac:dyDescent="0.3">
      <c r="E1429" s="81">
        <v>0.99097222222222203</v>
      </c>
      <c r="F1429" s="83">
        <f t="shared" si="22"/>
        <v>1</v>
      </c>
    </row>
    <row r="1430" spans="5:6" x14ac:dyDescent="0.3">
      <c r="E1430" s="81">
        <v>0.99166666666666703</v>
      </c>
      <c r="F1430" s="83">
        <f t="shared" si="22"/>
        <v>1</v>
      </c>
    </row>
    <row r="1431" spans="5:6" x14ac:dyDescent="0.3">
      <c r="E1431" s="81">
        <v>0.99236111111111103</v>
      </c>
      <c r="F1431" s="83">
        <f t="shared" si="22"/>
        <v>1</v>
      </c>
    </row>
    <row r="1432" spans="5:6" x14ac:dyDescent="0.3">
      <c r="E1432" s="81">
        <v>0.99305555555555602</v>
      </c>
      <c r="F1432" s="83">
        <f t="shared" si="22"/>
        <v>1</v>
      </c>
    </row>
    <row r="1433" spans="5:6" x14ac:dyDescent="0.3">
      <c r="E1433" s="81">
        <v>0.99375000000000002</v>
      </c>
      <c r="F1433" s="83">
        <f t="shared" si="22"/>
        <v>1</v>
      </c>
    </row>
    <row r="1434" spans="5:6" x14ac:dyDescent="0.3">
      <c r="E1434" s="81">
        <v>0.99444444444444402</v>
      </c>
      <c r="F1434" s="83">
        <f t="shared" si="22"/>
        <v>1</v>
      </c>
    </row>
    <row r="1435" spans="5:6" x14ac:dyDescent="0.3">
      <c r="E1435" s="81">
        <v>0.99513888888888902</v>
      </c>
      <c r="F1435" s="83">
        <f t="shared" si="22"/>
        <v>1</v>
      </c>
    </row>
    <row r="1436" spans="5:6" x14ac:dyDescent="0.3">
      <c r="E1436" s="81">
        <v>0.99583333333333302</v>
      </c>
      <c r="F1436" s="83">
        <f t="shared" si="22"/>
        <v>1</v>
      </c>
    </row>
    <row r="1437" spans="5:6" x14ac:dyDescent="0.3">
      <c r="E1437" s="81">
        <v>0.99652777777777801</v>
      </c>
      <c r="F1437" s="83">
        <f t="shared" si="22"/>
        <v>1</v>
      </c>
    </row>
    <row r="1438" spans="5:6" x14ac:dyDescent="0.3">
      <c r="E1438" s="81">
        <v>0.99722222222222201</v>
      </c>
      <c r="F1438" s="83">
        <f t="shared" si="22"/>
        <v>1</v>
      </c>
    </row>
    <row r="1439" spans="5:6" x14ac:dyDescent="0.3">
      <c r="E1439" s="81">
        <v>0.99791666666666701</v>
      </c>
      <c r="F1439" s="83">
        <f t="shared" si="22"/>
        <v>1</v>
      </c>
    </row>
    <row r="1440" spans="5:6" x14ac:dyDescent="0.3">
      <c r="E1440" s="81">
        <v>0.99861111111111101</v>
      </c>
      <c r="F1440" s="83">
        <f t="shared" si="22"/>
        <v>1</v>
      </c>
    </row>
    <row r="1441" spans="5:6" x14ac:dyDescent="0.3">
      <c r="E1441" s="82">
        <v>0.999305555555556</v>
      </c>
      <c r="F1441" s="83">
        <f t="shared" si="22"/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3"/>
  <sheetViews>
    <sheetView workbookViewId="0">
      <selection activeCell="E27" sqref="E27"/>
    </sheetView>
  </sheetViews>
  <sheetFormatPr baseColWidth="10" defaultRowHeight="14.4" x14ac:dyDescent="0.3"/>
  <cols>
    <col min="1" max="1" width="18.33203125" bestFit="1" customWidth="1"/>
  </cols>
  <sheetData>
    <row r="1" spans="1:17" s="14" customFormat="1" x14ac:dyDescent="0.3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 x14ac:dyDescent="0.3">
      <c r="A2" s="1" t="s">
        <v>35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">
      <c r="A3" s="1" t="s">
        <v>36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">
      <c r="A5" s="1" t="s">
        <v>37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">
      <c r="A6" s="1" t="s">
        <v>38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">
      <c r="A7" s="1" t="s">
        <v>39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">
      <c r="A8" s="1" t="s">
        <v>40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">
      <c r="A9" s="1" t="s">
        <v>41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">
      <c r="A11" s="1" t="s">
        <v>42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Données</vt:lpstr>
      <vt:lpstr>Test sur jour nuit</vt:lpstr>
      <vt:lpstr>Calcul indemnités mensuelles</vt:lpstr>
      <vt:lpstr>Paramètres</vt:lpstr>
      <vt:lpstr>Jours Fériés</vt:lpstr>
      <vt:lpstr>DebNuit</vt:lpstr>
      <vt:lpstr>FinNuit</vt:lpstr>
      <vt:lpstr>Heures</vt:lpstr>
      <vt:lpstr>JF</vt:lpstr>
      <vt:lpstr>Motifs</vt:lpstr>
      <vt:lpstr>réponses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2018-06-20T16:18:35Z</dcterms:modified>
</cp:coreProperties>
</file>