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filterPrivacy="1"/>
  <xr:revisionPtr revIDLastSave="0" documentId="12_ncr:500000_{153DF8F5-90A4-4D34-9135-810A2B01C5C5}" xr6:coauthVersionLast="33" xr6:coauthVersionMax="33" xr10:uidLastSave="{00000000-0000-0000-0000-000000000000}"/>
  <bookViews>
    <workbookView xWindow="0" yWindow="0" windowWidth="19200" windowHeight="8028" activeTab="1" xr2:uid="{00000000-000D-0000-FFFF-FFFF00000000}"/>
  </bookViews>
  <sheets>
    <sheet name="Données" sheetId="3" r:id="rId1"/>
    <sheet name="Synthèse" sheetId="6" r:id="rId2"/>
    <sheet name="JoursFériés" sheetId="5" r:id="rId3"/>
    <sheet name="Paramètres" sheetId="2" r:id="rId4"/>
  </sheets>
  <definedNames>
    <definedName name="DebNuit">Paramètres!$B$7</definedName>
    <definedName name="FinNuit">Paramètres!$B$6</definedName>
    <definedName name="garde">Paramètres!$B$1:$B$2</definedName>
    <definedName name="JF">JoursFériés!$B$2:$Q$13</definedName>
    <definedName name="PPoste">Paramètres!$B$4</definedName>
    <definedName name="TAUX1">Paramètres!$B$9</definedName>
    <definedName name="TAUX2">Paramètres!$B$10</definedName>
    <definedName name="TAUX3">Paramètres!$B$11</definedName>
    <definedName name="TAUX4">Paramètres!$B$12</definedName>
    <definedName name="véhicule">Paramètres!$B$14:$B$19</definedName>
  </definedNames>
  <calcPr calcId="179017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3" l="1"/>
  <c r="H12" i="3"/>
  <c r="I12" i="3"/>
  <c r="U12" i="3" s="1"/>
  <c r="J12" i="3"/>
  <c r="L12" i="3"/>
  <c r="G13" i="3"/>
  <c r="I13" i="3" s="1"/>
  <c r="S13" i="3" s="1"/>
  <c r="T13" i="3" s="1"/>
  <c r="H13" i="3"/>
  <c r="P13" i="3" s="1"/>
  <c r="J13" i="3"/>
  <c r="G14" i="3"/>
  <c r="I14" i="3" s="1"/>
  <c r="H14" i="3"/>
  <c r="Q14" i="3" s="1"/>
  <c r="J14" i="3"/>
  <c r="L14" i="3"/>
  <c r="P14" i="3"/>
  <c r="L8" i="3"/>
  <c r="J8" i="3"/>
  <c r="I8" i="3"/>
  <c r="W8" i="3" s="1"/>
  <c r="H8" i="3"/>
  <c r="P8" i="3" s="1"/>
  <c r="G8" i="3"/>
  <c r="G9" i="3"/>
  <c r="I9" i="3" s="1"/>
  <c r="S9" i="3" s="1"/>
  <c r="T9" i="3" s="1"/>
  <c r="G10" i="3"/>
  <c r="I10" i="3" s="1"/>
  <c r="G11" i="3"/>
  <c r="I11" i="3" s="1"/>
  <c r="H9" i="3"/>
  <c r="Q9" i="3" s="1"/>
  <c r="H10" i="3"/>
  <c r="P10" i="3" s="1"/>
  <c r="H11" i="3"/>
  <c r="Q11" i="3" s="1"/>
  <c r="J9" i="3"/>
  <c r="J10" i="3"/>
  <c r="J11" i="3"/>
  <c r="L11" i="3"/>
  <c r="L13" i="3" l="1"/>
  <c r="V12" i="3"/>
  <c r="R12" i="3"/>
  <c r="M12" i="3"/>
  <c r="K12" i="3" s="1"/>
  <c r="N13" i="3"/>
  <c r="P12" i="3"/>
  <c r="Q13" i="3"/>
  <c r="O13" i="3" s="1"/>
  <c r="S14" i="3"/>
  <c r="T14" i="3" s="1"/>
  <c r="N14" i="3"/>
  <c r="M14" i="3"/>
  <c r="W14" i="3" s="1"/>
  <c r="Q12" i="3"/>
  <c r="M13" i="3"/>
  <c r="W12" i="3"/>
  <c r="N12" i="3"/>
  <c r="O14" i="3"/>
  <c r="N10" i="3"/>
  <c r="L10" i="3"/>
  <c r="Q10" i="3"/>
  <c r="O10" i="3" s="1"/>
  <c r="L9" i="3"/>
  <c r="P9" i="3"/>
  <c r="O9" i="3" s="1"/>
  <c r="N11" i="3"/>
  <c r="P11" i="3"/>
  <c r="O11" i="3" s="1"/>
  <c r="S11" i="3"/>
  <c r="T11" i="3" s="1"/>
  <c r="M11" i="3"/>
  <c r="K11" i="3" s="1"/>
  <c r="N9" i="3"/>
  <c r="M10" i="3"/>
  <c r="M9" i="3"/>
  <c r="Q8" i="3"/>
  <c r="O8" i="3" s="1"/>
  <c r="R8" i="3"/>
  <c r="M8" i="3"/>
  <c r="K8" i="3" s="1"/>
  <c r="U8" i="3"/>
  <c r="N8" i="3"/>
  <c r="V8" i="3"/>
  <c r="S10" i="3"/>
  <c r="T10" i="3" s="1"/>
  <c r="W13" i="3" l="1"/>
  <c r="X12" i="3"/>
  <c r="K14" i="3"/>
  <c r="O12" i="3"/>
  <c r="U14" i="3"/>
  <c r="K13" i="3"/>
  <c r="U13" i="3" s="1"/>
  <c r="V14" i="3"/>
  <c r="X14" i="3" s="1"/>
  <c r="W10" i="3"/>
  <c r="K9" i="3"/>
  <c r="V9" i="3" s="1"/>
  <c r="K10" i="3"/>
  <c r="V10" i="3" s="1"/>
  <c r="V11" i="3"/>
  <c r="U11" i="3"/>
  <c r="W11" i="3"/>
  <c r="W9" i="3"/>
  <c r="X8" i="3"/>
  <c r="V13" i="3" l="1"/>
  <c r="X13" i="3" s="1"/>
  <c r="U10" i="3"/>
  <c r="X10" i="3" s="1"/>
  <c r="U9" i="3"/>
  <c r="X9" i="3" s="1"/>
  <c r="X11" i="3"/>
  <c r="D2" i="5" l="1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G3" i="5"/>
  <c r="H3" i="5"/>
  <c r="H4" i="5" s="1"/>
  <c r="I3" i="5"/>
  <c r="I8" i="5" s="1"/>
  <c r="J3" i="5"/>
  <c r="K3" i="5"/>
  <c r="L3" i="5"/>
  <c r="L4" i="5" s="1"/>
  <c r="M3" i="5"/>
  <c r="M8" i="5" s="1"/>
  <c r="N3" i="5"/>
  <c r="O3" i="5"/>
  <c r="P3" i="5"/>
  <c r="P4" i="5" s="1"/>
  <c r="Q3" i="5"/>
  <c r="Q4" i="5" s="1"/>
  <c r="F4" i="5"/>
  <c r="G4" i="5"/>
  <c r="J4" i="5"/>
  <c r="K4" i="5"/>
  <c r="N4" i="5"/>
  <c r="O4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F7" i="5"/>
  <c r="G7" i="5"/>
  <c r="J7" i="5"/>
  <c r="K7" i="5"/>
  <c r="N7" i="5"/>
  <c r="O7" i="5"/>
  <c r="D8" i="5"/>
  <c r="F8" i="5"/>
  <c r="G8" i="5"/>
  <c r="H8" i="5"/>
  <c r="J8" i="5"/>
  <c r="K8" i="5"/>
  <c r="L8" i="5"/>
  <c r="N8" i="5"/>
  <c r="O8" i="5"/>
  <c r="P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Q7" i="5" l="1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B8" i="5" l="1"/>
  <c r="B4" i="5"/>
  <c r="B7" i="5"/>
  <c r="J2" i="3" l="1"/>
  <c r="J3" i="3"/>
  <c r="J4" i="3"/>
  <c r="J5" i="3"/>
  <c r="J6" i="3"/>
  <c r="J7" i="3"/>
  <c r="H2" i="3"/>
  <c r="N2" i="3" s="1"/>
  <c r="H3" i="3"/>
  <c r="N3" i="3" s="1"/>
  <c r="H4" i="3"/>
  <c r="N4" i="3" s="1"/>
  <c r="H5" i="3"/>
  <c r="N5" i="3" s="1"/>
  <c r="H6" i="3"/>
  <c r="N6" i="3" s="1"/>
  <c r="H7" i="3"/>
  <c r="N7" i="3" s="1"/>
  <c r="G2" i="3"/>
  <c r="G3" i="3"/>
  <c r="G4" i="3"/>
  <c r="G5" i="3"/>
  <c r="G6" i="3"/>
  <c r="G7" i="3"/>
  <c r="L2" i="3" l="1"/>
  <c r="I5" i="3"/>
  <c r="I2" i="3"/>
  <c r="L5" i="3"/>
  <c r="I3" i="3"/>
  <c r="S3" i="3" s="1"/>
  <c r="T3" i="3" s="1"/>
  <c r="I4" i="3"/>
  <c r="S4" i="3" s="1"/>
  <c r="T4" i="3" s="1"/>
  <c r="I6" i="3"/>
  <c r="S6" i="3" s="1"/>
  <c r="T6" i="3" s="1"/>
  <c r="I7" i="3"/>
  <c r="S7" i="3" s="1"/>
  <c r="T7" i="3" s="1"/>
  <c r="M2" i="3"/>
  <c r="L3" i="3"/>
  <c r="P4" i="3"/>
  <c r="P5" i="3"/>
  <c r="M6" i="3"/>
  <c r="L7" i="3"/>
  <c r="R13" i="3" l="1"/>
  <c r="R14" i="3"/>
  <c r="R9" i="3"/>
  <c r="R11" i="3"/>
  <c r="R10" i="3"/>
  <c r="W5" i="3"/>
  <c r="R5" i="3"/>
  <c r="R2" i="3"/>
  <c r="R6" i="3"/>
  <c r="R3" i="3"/>
  <c r="R7" i="3"/>
  <c r="R4" i="3"/>
  <c r="U2" i="3"/>
  <c r="W2" i="3"/>
  <c r="V5" i="3"/>
  <c r="U5" i="3"/>
  <c r="Q4" i="3"/>
  <c r="O4" i="3" s="1"/>
  <c r="P3" i="3"/>
  <c r="M5" i="3"/>
  <c r="K5" i="3" s="1"/>
  <c r="M4" i="3"/>
  <c r="P7" i="3"/>
  <c r="L4" i="3"/>
  <c r="Q6" i="3"/>
  <c r="L6" i="3"/>
  <c r="K6" i="3" s="1"/>
  <c r="Q5" i="3"/>
  <c r="O5" i="3" s="1"/>
  <c r="M7" i="3"/>
  <c r="K7" i="3" s="1"/>
  <c r="P6" i="3"/>
  <c r="M3" i="3"/>
  <c r="Q7" i="3"/>
  <c r="Q3" i="3"/>
  <c r="K2" i="3"/>
  <c r="V2" i="3"/>
  <c r="X5" i="3" l="1"/>
  <c r="X2" i="3"/>
  <c r="W4" i="3"/>
  <c r="W3" i="3"/>
  <c r="W6" i="3"/>
  <c r="O3" i="3"/>
  <c r="W7" i="3"/>
  <c r="K3" i="3"/>
  <c r="O7" i="3"/>
  <c r="U7" i="3" s="1"/>
  <c r="O6" i="3"/>
  <c r="U6" i="3" s="1"/>
  <c r="K4" i="3"/>
  <c r="U4" i="3" s="1"/>
  <c r="Q2" i="3"/>
  <c r="P2" i="3"/>
  <c r="U3" i="3" l="1"/>
  <c r="V3" i="3"/>
  <c r="V4" i="3"/>
  <c r="X4" i="3" s="1"/>
  <c r="V7" i="3"/>
  <c r="X7" i="3" s="1"/>
  <c r="V6" i="3"/>
  <c r="X6" i="3" s="1"/>
  <c r="O2" i="3"/>
  <c r="S12" i="3" l="1"/>
  <c r="T12" i="3" s="1"/>
  <c r="S8" i="3"/>
  <c r="T8" i="3" s="1"/>
  <c r="X3" i="3"/>
  <c r="S2" i="3"/>
  <c r="T2" i="3" s="1"/>
  <c r="S5" i="3"/>
  <c r="T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<sst xmlns="http://schemas.openxmlformats.org/spreadsheetml/2006/main" count="71" uniqueCount="61">
  <si>
    <t>Date</t>
  </si>
  <si>
    <t>Motif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</si>
  <si>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</si>
  <si>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</si>
  <si>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</si>
  <si>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</si>
  <si>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</si>
  <si>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</si>
  <si>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</si>
  <si>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</si>
  <si>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</si>
  <si>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</si>
  <si>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Garde 12 ou 24</t>
  </si>
  <si>
    <t>Garde / Intervention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</si>
  <si>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</si>
  <si>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</si>
  <si>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</si>
  <si>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</si>
  <si>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</si>
  <si>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</si>
  <si>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</si>
  <si>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</si>
  <si>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</si>
  <si>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</si>
  <si>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</si>
  <si>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</si>
  <si>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</si>
  <si>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</si>
  <si>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</si>
  <si>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</si>
  <si>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Garde</t>
  </si>
  <si>
    <t>Véhicules</t>
  </si>
  <si>
    <t>Fin Nuit</t>
  </si>
  <si>
    <t>Début Nuit</t>
  </si>
  <si>
    <t>Prise de poste</t>
  </si>
  <si>
    <t>Taux sans interv.</t>
  </si>
  <si>
    <t>Taux interv. jour</t>
  </si>
  <si>
    <t>Taux interv. dim ou férié</t>
  </si>
  <si>
    <t>Taux interv. nuit</t>
  </si>
  <si>
    <t>Interv. hors poste</t>
  </si>
  <si>
    <t>Total général</t>
  </si>
  <si>
    <t>Montant Garde</t>
  </si>
  <si>
    <t>Montant Interv.</t>
  </si>
  <si>
    <t>Somme de Montant Interv.</t>
  </si>
  <si>
    <t>Valeurs</t>
  </si>
  <si>
    <t>Somme de Montant Garde</t>
  </si>
  <si>
    <t>Années</t>
  </si>
  <si>
    <t>Mois</t>
  </si>
  <si>
    <t>2018</t>
  </si>
  <si>
    <t>mai</t>
  </si>
  <si>
    <t>26-mai</t>
  </si>
  <si>
    <t>juin</t>
  </si>
  <si>
    <t>20-juin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</si>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</sst>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#,##0.0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i/>
      <sz val="11"/>
      <color theme="0" tint="-0.1499984740745262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0" tint="-0.499984740745262"/>
      <name val="Calibri"/>
      <scheme val="minor"/>
    </font>
    <font>
      <i/>
      <sz val="11"/>
      <color theme="0" tint="-0.34998626667073579"/>
      <name val="Calibri"/>
      <scheme val="minor"/>
    </font>
    <font>
      <i/>
      <sz val="11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51">
    <xf numFmtId="0" fontId="0" fillId="0" borderId="0" xfId="0"/>
    <xf numFmtId="164" fontId="5" fillId="0" borderId="0" xfId="4" applyNumberFormat="1"/>
    <xf numFmtId="166" fontId="0" fillId="0" borderId="0" xfId="0" applyNumberFormat="1"/>
    <xf numFmtId="167" fontId="0" fillId="0" borderId="0" xfId="0" applyNumberFormat="1"/>
    <xf numFmtId="166" fontId="10" fillId="0" borderId="0" xfId="0" applyNumberFormat="1" applyFont="1"/>
    <xf numFmtId="44" fontId="10" fillId="0" borderId="0" xfId="1" applyFont="1"/>
    <xf numFmtId="167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0" fontId="9" fillId="0" borderId="0" xfId="0" applyFont="1" applyAlignment="1">
      <alignment vertical="center" wrapText="1"/>
    </xf>
    <xf numFmtId="166" fontId="9" fillId="0" borderId="0" xfId="0" applyNumberFormat="1" applyFont="1" applyBorder="1" applyAlignment="1">
      <alignment vertical="center" wrapText="1"/>
    </xf>
    <xf numFmtId="168" fontId="9" fillId="0" borderId="0" xfId="0" applyNumberFormat="1" applyFont="1" applyAlignment="1">
      <alignment vertical="center" wrapText="1"/>
    </xf>
    <xf numFmtId="168" fontId="10" fillId="0" borderId="0" xfId="0" applyNumberFormat="1" applyFont="1"/>
    <xf numFmtId="166" fontId="15" fillId="0" borderId="0" xfId="0" applyNumberFormat="1" applyFont="1" applyAlignment="1">
      <alignment vertical="center" wrapText="1"/>
    </xf>
    <xf numFmtId="44" fontId="15" fillId="0" borderId="0" xfId="1" applyFont="1" applyAlignment="1">
      <alignment vertical="center" wrapText="1"/>
    </xf>
    <xf numFmtId="0" fontId="10" fillId="0" borderId="0" xfId="0" applyFont="1" applyAlignment="1"/>
    <xf numFmtId="166" fontId="11" fillId="0" borderId="0" xfId="0" applyNumberFormat="1" applyFont="1" applyBorder="1" applyAlignment="1"/>
    <xf numFmtId="166" fontId="14" fillId="0" borderId="0" xfId="0" applyNumberFormat="1" applyFont="1" applyAlignment="1"/>
    <xf numFmtId="44" fontId="14" fillId="0" borderId="0" xfId="1" applyFont="1" applyAlignment="1"/>
    <xf numFmtId="0" fontId="0" fillId="0" borderId="0" xfId="0" applyAlignment="1"/>
    <xf numFmtId="0" fontId="16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pivotButton="1"/>
    <xf numFmtId="44" fontId="16" fillId="0" borderId="0" xfId="1" applyFont="1" applyAlignment="1"/>
    <xf numFmtId="2" fontId="0" fillId="0" borderId="0" xfId="0" applyNumberFormat="1"/>
    <xf numFmtId="169" fontId="0" fillId="0" borderId="0" xfId="0" applyNumberFormat="1"/>
    <xf numFmtId="0" fontId="3" fillId="0" borderId="0" xfId="4" applyFont="1" applyFill="1"/>
    <xf numFmtId="0" fontId="17" fillId="0" borderId="0" xfId="0" applyFont="1" applyFill="1" applyBorder="1" applyAlignment="1">
      <alignment horizontal="center"/>
    </xf>
    <xf numFmtId="0" fontId="0" fillId="0" borderId="0" xfId="0" applyFill="1"/>
    <xf numFmtId="167" fontId="0" fillId="0" borderId="0" xfId="0" applyNumberFormat="1" applyAlignment="1">
      <alignment horizontal="center" vertical="center"/>
    </xf>
    <xf numFmtId="0" fontId="18" fillId="0" borderId="0" xfId="0" applyFont="1" applyAlignment="1"/>
    <xf numFmtId="0" fontId="18" fillId="0" borderId="0" xfId="0" applyNumberFormat="1" applyFont="1" applyAlignment="1"/>
    <xf numFmtId="166" fontId="19" fillId="0" borderId="0" xfId="0" applyNumberFormat="1" applyFont="1" applyAlignment="1"/>
    <xf numFmtId="166" fontId="20" fillId="0" borderId="0" xfId="0" applyNumberFormat="1" applyFont="1" applyAlignment="1"/>
    <xf numFmtId="44" fontId="20" fillId="0" borderId="0" xfId="1" applyNumberFormat="1" applyFont="1" applyAlignment="1"/>
    <xf numFmtId="166" fontId="20" fillId="0" borderId="0" xfId="1" applyNumberFormat="1" applyFont="1" applyAlignment="1"/>
    <xf numFmtId="166" fontId="20" fillId="0" borderId="0" xfId="0" quotePrefix="1" applyNumberFormat="1" applyFont="1" applyAlignment="1"/>
    <xf numFmtId="166" fontId="21" fillId="0" borderId="0" xfId="0" applyNumberFormat="1" applyFont="1"/>
    <xf numFmtId="168" fontId="21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</cellXfs>
  <cellStyles count="13">
    <cellStyle name="Excel Built-in Normal" xfId="6" xr:uid="{00000000-0005-0000-0000-000000000000}"/>
    <cellStyle name="Monétaire" xfId="1" builtinId="4"/>
    <cellStyle name="Normal" xfId="0" builtinId="0"/>
    <cellStyle name="Normal 2" xfId="7" xr:uid="{00000000-0005-0000-0000-000003000000}"/>
    <cellStyle name="Normal 2 2" xfId="8" xr:uid="{00000000-0005-0000-0000-000004000000}"/>
    <cellStyle name="Normal 2 3" xfId="4" xr:uid="{00000000-0005-0000-0000-000005000000}"/>
    <cellStyle name="Normal 3" xfId="9" xr:uid="{00000000-0005-0000-0000-000006000000}"/>
    <cellStyle name="Normal 4" xfId="10" xr:uid="{00000000-0005-0000-0000-000007000000}"/>
    <cellStyle name="Normal 5" xfId="11" xr:uid="{00000000-0005-0000-0000-000008000000}"/>
    <cellStyle name="Normal 6" xfId="5" xr:uid="{00000000-0005-0000-0000-000009000000}"/>
    <cellStyle name="Normal 7" xfId="12" xr:uid="{00000000-0005-0000-0000-00000A000000}"/>
    <cellStyle name="Normal 8" xfId="2" xr:uid="{00000000-0005-0000-0000-00000B000000}"/>
    <cellStyle name="Texte explicatif 2" xfId="3" xr:uid="{00000000-0005-0000-0000-00000C000000}"/>
  </cellStyles>
  <dxfs count="24"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8" formatCode="d\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6" formatCode="[hh]:mm"/>
    </dxf>
    <dxf>
      <numFmt numFmtId="166" formatCode="[hh]:mm"/>
    </dxf>
    <dxf>
      <numFmt numFmtId="166" formatCode="[hh]:mm"/>
    </dxf>
    <dxf>
      <numFmt numFmtId="167" formatCode="ddd\ dd\-mmm\-yyyy"/>
    </dxf>
    <dxf>
      <numFmt numFmtId="167" formatCode="ddd\ dd\-mmm\-yyyy"/>
      <alignment horizontal="center" vertical="center" textRotation="0" wrapText="0" indent="0" justifyLastLine="0" shrinkToFit="0" readingOrder="0"/>
    </dxf>
    <dxf>
      <numFmt numFmtId="167" formatCode="ddd\ dd\-mmm\-yyyy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10</xdr:row>
      <xdr:rowOff>15240</xdr:rowOff>
    </xdr:from>
    <xdr:to>
      <xdr:col>6</xdr:col>
      <xdr:colOff>350520</xdr:colOff>
      <xdr:row>15</xdr:row>
      <xdr:rowOff>45720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D02F072-43B0-4F89-A003-0EDDC1DAE5DE}"/>
            </a:ext>
          </a:extLst>
        </xdr:cNvPr>
        <xdr:cNvCxnSpPr/>
      </xdr:nvCxnSpPr>
      <xdr:spPr>
        <a:xfrm flipH="1">
          <a:off x="3893820" y="2392680"/>
          <a:ext cx="792480" cy="112776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</xdr:row>
      <xdr:rowOff>7620</xdr:rowOff>
    </xdr:from>
    <xdr:to>
      <xdr:col>7</xdr:col>
      <xdr:colOff>342900</xdr:colOff>
      <xdr:row>14</xdr:row>
      <xdr:rowOff>0</xdr:rowOff>
    </xdr:to>
    <xdr:sp macro="" textlink="">
      <xdr:nvSpPr>
        <xdr:cNvPr id="26" name="Organigramme : Procédé 25">
          <a:extLst>
            <a:ext uri="{FF2B5EF4-FFF2-40B4-BE49-F238E27FC236}">
              <a16:creationId xmlns:a16="http://schemas.microsoft.com/office/drawing/2014/main" id="{D098F194-21BB-41DF-BC98-736200373E7C}"/>
            </a:ext>
          </a:extLst>
        </xdr:cNvPr>
        <xdr:cNvSpPr/>
      </xdr:nvSpPr>
      <xdr:spPr>
        <a:xfrm>
          <a:off x="5341620" y="739140"/>
          <a:ext cx="76200" cy="254508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RE" sz="1100"/>
        </a:p>
      </xdr:txBody>
    </xdr:sp>
    <xdr:clientData/>
  </xdr:twoCellAnchor>
  <xdr:twoCellAnchor>
    <xdr:from>
      <xdr:col>3</xdr:col>
      <xdr:colOff>342900</xdr:colOff>
      <xdr:row>15</xdr:row>
      <xdr:rowOff>83820</xdr:rowOff>
    </xdr:from>
    <xdr:to>
      <xdr:col>6</xdr:col>
      <xdr:colOff>609600</xdr:colOff>
      <xdr:row>30</xdr:row>
      <xdr:rowOff>76200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358628F-6170-47D9-AB72-05CA440BB8A9}"/>
            </a:ext>
          </a:extLst>
        </xdr:cNvPr>
        <xdr:cNvSpPr txBox="1"/>
      </xdr:nvSpPr>
      <xdr:spPr>
        <a:xfrm>
          <a:off x="2849880" y="3558540"/>
          <a:ext cx="2095500" cy="2735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situation :</a:t>
          </a:r>
          <a:br>
            <a:rPr lang="fr-RE" sz="1100"/>
          </a:br>
          <a:r>
            <a:rPr lang="fr-RE" sz="1100"/>
            <a:t>Au</a:t>
          </a:r>
          <a:r>
            <a:rPr lang="fr-RE" sz="1100" baseline="0"/>
            <a:t> </a:t>
          </a:r>
          <a:r>
            <a:rPr lang="fr-RE" sz="1100"/>
            <a:t>retour </a:t>
          </a:r>
          <a:r>
            <a:rPr lang="fr-RE" sz="1100" baseline="0"/>
            <a:t>en caserne suite à une intervention, 5 minute après notre arrivé une nouvelle intervention est déclanchée </a:t>
          </a:r>
          <a:br>
            <a:rPr lang="fr-RE" sz="1100" baseline="0"/>
          </a:br>
          <a:r>
            <a:rPr lang="fr-RE" sz="1100" baseline="0"/>
            <a:t>- Peut on arrondir l'heure de départ cette fois ci en fonction de l'intervention précedente ?</a:t>
          </a:r>
          <a:br>
            <a:rPr lang="fr-RE" sz="1100" baseline="0"/>
          </a:br>
          <a:r>
            <a:rPr lang="fr-RE" sz="1100" baseline="0"/>
            <a:t>- Ou bien autant arrondir sans formules lors de l'inscription dans la cellules "Hdébut interv." </a:t>
          </a:r>
          <a:br>
            <a:rPr lang="fr-RE" sz="1100" baseline="0"/>
          </a:br>
          <a:br>
            <a:rPr lang="fr-RE" sz="1100" baseline="0"/>
          </a:br>
          <a:r>
            <a:rPr lang="fr-RE" sz="1100" baseline="0"/>
            <a:t>(Je dois tout de même vérifier à la compta comment cette situation est régularisé)</a:t>
          </a:r>
          <a:br>
            <a:rPr lang="fr-RE" sz="1100" baseline="0"/>
          </a:br>
          <a:r>
            <a:rPr lang="fr-RE" sz="1100" baseline="0"/>
            <a:t>  </a:t>
          </a:r>
          <a:br>
            <a:rPr lang="fr-RE" sz="1100" baseline="0"/>
          </a:br>
          <a:endParaRPr lang="fr-RE" sz="1100"/>
        </a:p>
      </xdr:txBody>
    </xdr:sp>
    <xdr:clientData/>
  </xdr:twoCellAnchor>
  <xdr:twoCellAnchor>
    <xdr:from>
      <xdr:col>3</xdr:col>
      <xdr:colOff>289560</xdr:colOff>
      <xdr:row>9</xdr:row>
      <xdr:rowOff>76200</xdr:rowOff>
    </xdr:from>
    <xdr:to>
      <xdr:col>4</xdr:col>
      <xdr:colOff>152400</xdr:colOff>
      <xdr:row>23</xdr:row>
      <xdr:rowOff>106680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A9AEE9F2-9F30-40FB-9404-3E5A9A14D71F}"/>
            </a:ext>
          </a:extLst>
        </xdr:cNvPr>
        <xdr:cNvCxnSpPr/>
      </xdr:nvCxnSpPr>
      <xdr:spPr>
        <a:xfrm rot="5400000" flipH="1" flipV="1">
          <a:off x="1630680" y="3436620"/>
          <a:ext cx="2773680" cy="441960"/>
        </a:xfrm>
        <a:prstGeom prst="bentConnector3">
          <a:avLst>
            <a:gd name="adj1" fmla="val 56868"/>
          </a:avLst>
        </a:prstGeom>
        <a:ln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8</xdr:row>
      <xdr:rowOff>152400</xdr:rowOff>
    </xdr:from>
    <xdr:to>
      <xdr:col>7</xdr:col>
      <xdr:colOff>373380</xdr:colOff>
      <xdr:row>9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284C500-F1F5-4E6B-B121-553942297891}"/>
            </a:ext>
          </a:extLst>
        </xdr:cNvPr>
        <xdr:cNvCxnSpPr/>
      </xdr:nvCxnSpPr>
      <xdr:spPr>
        <a:xfrm flipH="1">
          <a:off x="5059680" y="2164080"/>
          <a:ext cx="388620" cy="121920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</xdr:colOff>
      <xdr:row>16</xdr:row>
      <xdr:rowOff>15240</xdr:rowOff>
    </xdr:from>
    <xdr:to>
      <xdr:col>24</xdr:col>
      <xdr:colOff>15240</xdr:colOff>
      <xdr:row>28</xdr:row>
      <xdr:rowOff>144780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51E60B0-CC65-4215-A583-25DE6A5752E6}"/>
            </a:ext>
          </a:extLst>
        </xdr:cNvPr>
        <xdr:cNvSpPr txBox="1"/>
      </xdr:nvSpPr>
      <xdr:spPr>
        <a:xfrm>
          <a:off x="5836920" y="3489960"/>
          <a:ext cx="6515100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Ayant voulu allez</a:t>
          </a:r>
          <a:r>
            <a:rPr lang="fr-RE" sz="1100" baseline="0"/>
            <a:t> au</a:t>
          </a:r>
          <a:r>
            <a:rPr lang="fr-RE" sz="1100"/>
            <a:t> coeur du sujet, </a:t>
          </a:r>
          <a:r>
            <a:rPr lang="fr-RE" sz="1100" baseline="0"/>
            <a:t>j'aurai du préciser depuis le départ, d'autres éléments qui changerai surement toutes la base du tableau. </a:t>
          </a:r>
          <a:br>
            <a:rPr lang="fr-RE" sz="1100" baseline="0"/>
          </a:br>
          <a:br>
            <a:rPr lang="fr-RE" sz="1100" baseline="0"/>
          </a:br>
          <a:r>
            <a:rPr lang="fr-RE" sz="1100" baseline="0"/>
            <a:t>En effet les gardes sont en général soit de 12h ou 24h et commence à 8h du matin ou </a:t>
          </a:r>
          <a:r>
            <a:rPr lang="fr-RE" sz="1100" b="1" baseline="0"/>
            <a:t>20h au soir.</a:t>
          </a:r>
          <a:br>
            <a:rPr lang="fr-RE" sz="1100" baseline="0"/>
          </a:br>
          <a:r>
            <a:rPr lang="fr-RE" sz="1100" baseline="0"/>
            <a:t>De plus il arrive que l'on soit appellé en journée pour effectuer un remplacement si manque d'effectif ou inversement si l'on souhaite quitter la garde plus tôt que prévu. </a:t>
          </a:r>
          <a:br>
            <a:rPr lang="fr-RE" sz="1100" baseline="0"/>
          </a:br>
          <a:br>
            <a:rPr lang="fr-RE" sz="1100" baseline="0"/>
          </a:br>
          <a:r>
            <a:rPr lang="fr-RE" sz="1100" baseline="0"/>
            <a:t>Ce qui signifie une </a:t>
          </a:r>
          <a:r>
            <a:rPr lang="fr-RE" sz="1100" b="1" baseline="0"/>
            <a:t>entrée et</a:t>
          </a:r>
          <a:r>
            <a:rPr lang="fr-RE" sz="1100" baseline="0"/>
            <a:t> </a:t>
          </a:r>
          <a:r>
            <a:rPr lang="fr-RE" sz="1100" b="1" baseline="0"/>
            <a:t>sortie</a:t>
          </a:r>
          <a:r>
            <a:rPr lang="fr-RE" sz="1100" baseline="0"/>
            <a:t> non plus à 8h ou à 20h mais </a:t>
          </a:r>
          <a:r>
            <a:rPr lang="fr-RE" sz="1100" b="1" baseline="0"/>
            <a:t>à tout moment </a:t>
          </a:r>
          <a:r>
            <a:rPr lang="fr-RE" sz="1100" baseline="0"/>
            <a:t>de la journée ou soirée</a:t>
          </a:r>
          <a:br>
            <a:rPr lang="fr-RE" sz="1100" baseline="0"/>
          </a:br>
          <a:r>
            <a:rPr lang="fr-RE" sz="1100" baseline="0"/>
            <a:t>On se baserai donc davantage sur une heure d'entrée et de sortie en caserne à fixer manuellement en plus...</a:t>
          </a:r>
          <a:br>
            <a:rPr lang="fr-RE" sz="1100" baseline="0"/>
          </a:br>
          <a:endParaRPr lang="fr-RE" sz="1100" baseline="0"/>
        </a:p>
        <a:p>
          <a:r>
            <a:rPr lang="fr-RE" sz="1100" baseline="0"/>
            <a:t>Je sens que je vais me faire taper sur les doigts =s </a:t>
          </a:r>
          <a:endParaRPr lang="fr-R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10</xdr:row>
      <xdr:rowOff>30480</xdr:rowOff>
    </xdr:from>
    <xdr:to>
      <xdr:col>3</xdr:col>
      <xdr:colOff>716280</xdr:colOff>
      <xdr:row>14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DB55DE4-43F5-474B-9E3E-3AE97EACAA0C}"/>
            </a:ext>
          </a:extLst>
        </xdr:cNvPr>
        <xdr:cNvSpPr txBox="1"/>
      </xdr:nvSpPr>
      <xdr:spPr>
        <a:xfrm>
          <a:off x="60960" y="1859280"/>
          <a:ext cx="244602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Je n'ais pas réussi à faire apparraitre d'autre</a:t>
          </a:r>
          <a:r>
            <a:rPr lang="fr-RE" sz="1100" baseline="0"/>
            <a:t> mois que celui de mai et de juin </a:t>
          </a:r>
          <a:br>
            <a:rPr lang="fr-RE" sz="1100" baseline="0"/>
          </a:br>
          <a:r>
            <a:rPr lang="fr-RE" sz="1100" baseline="0"/>
            <a:t>J'ai pourtant selectionné l'ensemble des mois dans le filtre </a:t>
          </a:r>
          <a:endParaRPr lang="fr-RE" sz="1100"/>
        </a:p>
      </xdr:txBody>
    </xdr:sp>
    <xdr:clientData/>
  </xdr:twoCellAnchor>
  <xdr:twoCellAnchor>
    <xdr:from>
      <xdr:col>1</xdr:col>
      <xdr:colOff>312420</xdr:colOff>
      <xdr:row>5</xdr:row>
      <xdr:rowOff>175260</xdr:rowOff>
    </xdr:from>
    <xdr:to>
      <xdr:col>1</xdr:col>
      <xdr:colOff>312420</xdr:colOff>
      <xdr:row>10</xdr:row>
      <xdr:rowOff>22860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4774B4D-70CE-448D-A2DF-DFB30B84CBBD}"/>
            </a:ext>
          </a:extLst>
        </xdr:cNvPr>
        <xdr:cNvCxnSpPr/>
      </xdr:nvCxnSpPr>
      <xdr:spPr>
        <a:xfrm flipV="1">
          <a:off x="1120140" y="1089660"/>
          <a:ext cx="0" cy="762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1</xdr:row>
      <xdr:rowOff>99060</xdr:rowOff>
    </xdr:from>
    <xdr:to>
      <xdr:col>7</xdr:col>
      <xdr:colOff>571500</xdr:colOff>
      <xdr:row>8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9A187EA-696E-4ACA-A1F3-54558A2D4CE1}"/>
            </a:ext>
          </a:extLst>
        </xdr:cNvPr>
        <xdr:cNvSpPr txBox="1"/>
      </xdr:nvSpPr>
      <xdr:spPr>
        <a:xfrm>
          <a:off x="6728460" y="281940"/>
          <a:ext cx="16306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comment inserer un</a:t>
          </a:r>
          <a:r>
            <a:rPr lang="fr-RE" sz="1100" baseline="0"/>
            <a:t> total : </a:t>
          </a:r>
          <a:br>
            <a:rPr lang="fr-RE" sz="1100" baseline="0"/>
          </a:br>
          <a:r>
            <a:rPr lang="fr-RE" sz="1100" baseline="0"/>
            <a:t>Somme de montant garde + somme de montant interv pour le mois en cours</a:t>
          </a:r>
          <a:endParaRPr lang="fr-RE" sz="1100"/>
        </a:p>
      </xdr:txBody>
    </xdr:sp>
    <xdr:clientData/>
  </xdr:twoCellAnchor>
  <xdr:twoCellAnchor>
    <xdr:from>
      <xdr:col>5</xdr:col>
      <xdr:colOff>251460</xdr:colOff>
      <xdr:row>4</xdr:row>
      <xdr:rowOff>76200</xdr:rowOff>
    </xdr:from>
    <xdr:to>
      <xdr:col>6</xdr:col>
      <xdr:colOff>76200</xdr:colOff>
      <xdr:row>4</xdr:row>
      <xdr:rowOff>140970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749A2D1-B1CF-4B78-A8AD-5C5AE6039B74}"/>
            </a:ext>
          </a:extLst>
        </xdr:cNvPr>
        <xdr:cNvCxnSpPr>
          <a:stCxn id="6" idx="1"/>
        </xdr:cNvCxnSpPr>
      </xdr:nvCxnSpPr>
      <xdr:spPr>
        <a:xfrm flipH="1" flipV="1">
          <a:off x="5311140" y="807720"/>
          <a:ext cx="1417320" cy="6477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3</xdr:row>
      <xdr:rowOff>69850</xdr:rowOff>
    </xdr:from>
    <xdr:to>
      <xdr:col>11</xdr:col>
      <xdr:colOff>254000</xdr:colOff>
      <xdr:row>10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098800" y="622300"/>
          <a:ext cx="626745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garde s'effectue à partir de 8h sur une plage horaire de 12 heures ou 24 heures 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 retour d'une intervention, l'heure d'arrivé est arrondie au quart d'heure supérieur (ex : fin de l'inter. à 10h08=10h15 / fin 14h25=14h30 ainsi de suite )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sans aucune intervention lors d'une garde de 12 ou 24h est de 3€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de jour (7h à 22h) est de 4€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lors d'un jour ferié ou le dimanche est de 5€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taux applicable en intervention de nuit (22h à 7h) est de 6€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de%20garde%20suivi%20v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249.554409606484" createdVersion="5" refreshedVersion="5" minRefreshableVersion="3" recordCount="6" xr:uid="{00000000-000A-0000-FFFF-FFFF09000000}">
  <cacheSource type="worksheet">
    <worksheetSource name="data" r:id="rId2"/>
  </cacheSource>
  <cacheFields count="26">
    <cacheField name="Date" numFmtId="167">
      <sharedItems containsSemiMixedTypes="0" containsNonDate="0" containsDate="1" containsString="0" minDate="2018-05-26T00:00:00" maxDate="2018-06-21T00:00:00" count="2">
        <d v="2018-05-26T00:00:00"/>
        <d v="2018-06-20T00:00:00"/>
      </sharedItems>
      <fieldGroup par="25" base="0">
        <rangePr groupBy="days" startDate="2018-05-26T00:00:00" endDate="2018-06-21T00:00:00"/>
        <groupItems count="368">
          <s v="&lt;26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6/2018"/>
        </groupItems>
      </fieldGroup>
    </cacheField>
    <cacheField name="Garde 12 ou 24" numFmtId="0">
      <sharedItems containsString="0" containsBlank="1" containsNumber="1" containsInteger="1" minValue="24" maxValue="24"/>
    </cacheField>
    <cacheField name="Hdébut interv." numFmtId="166">
      <sharedItems containsNonDate="0" containsDate="1" containsString="0" containsBlank="1" minDate="1899-12-30T03:30:00" maxDate="1899-12-30T21:00:00"/>
    </cacheField>
    <cacheField name="Hfin Interv." numFmtId="166">
      <sharedItems containsNonDate="0" containsDate="1" containsString="0" containsBlank="1" minDate="1899-12-30T01:04:00" maxDate="1899-12-30T23:48:00"/>
    </cacheField>
    <cacheField name="Hdébut corrigé" numFmtId="166">
      <sharedItems containsSemiMixedTypes="0" containsNonDate="0" containsDate="1" containsString="0" minDate="1899-12-30T03:30:00" maxDate="1899-12-30T21:00:00"/>
    </cacheField>
    <cacheField name="Hfin corrigée" numFmtId="168">
      <sharedItems containsSemiMixedTypes="0" containsNonDate="0" containsDate="1" containsString="0" minDate="1899-12-30T07:30:00" maxDate="1899-12-31T08:00:00"/>
    </cacheField>
    <cacheField name="Véhicule" numFmtId="0">
      <sharedItems containsBlank="1"/>
    </cacheField>
    <cacheField name="Motif" numFmtId="0">
      <sharedItems containsNonDate="0" containsString="0" containsBlank="1"/>
    </cacheField>
    <cacheField name="Garde / Intervention" numFmtId="0">
      <sharedItems count="2">
        <s v="Garde"/>
        <s v="Intervention"/>
      </sharedItems>
    </cacheField>
    <cacheField name="Début Dim ou Férié" numFmtId="0">
      <sharedItems/>
    </cacheField>
    <cacheField name="JOUR1" numFmtId="166">
      <sharedItems containsSemiMixedTypes="0" containsNonDate="0" containsDate="1" containsString="0" minDate="1899-12-30T00:30:00" maxDate="1899-12-30T14:00:00"/>
    </cacheField>
    <cacheField name="NUIT1.1" numFmtId="166">
      <sharedItems containsSemiMixedTypes="0" containsNonDate="0" containsDate="1" containsString="0" minDate="1899-12-30T00:00:00" maxDate="1899-12-31T00:00:00"/>
    </cacheField>
    <cacheField name="NUIT1.2" numFmtId="166">
      <sharedItems containsSemiMixedTypes="0" containsNonDate="0" containsDate="1" containsString="0" minDate="1899-12-30T00:00:00" maxDate="1899-12-30T02:00:00"/>
    </cacheField>
    <cacheField name="Fin Dim ou Férié" numFmtId="0">
      <sharedItems/>
    </cacheField>
    <cacheField name="JOUR2" numFmtId="166">
      <sharedItems containsSemiMixedTypes="0" containsNonDate="0" containsDate="1" containsString="0" minDate="1899-12-30T00:00:00" maxDate="1899-12-30T01:00:00"/>
    </cacheField>
    <cacheField name="NUIT2.1" numFmtId="166">
      <sharedItems containsSemiMixedTypes="0" containsNonDate="0" containsDate="1" containsString="0" minDate="1899-12-30T00:00:00" maxDate="1899-12-30T07:00:00"/>
    </cacheField>
    <cacheField name="NUIT2.2" numFmtId="166">
      <sharedItems containsSemiMixedTypes="0" containsNonDate="0" containsDate="1" containsString="0" minDate="1899-12-30T00:00:00" maxDate="1899-12-31T00:00:00"/>
    </cacheField>
    <cacheField name="Interv. hors poste" numFmtId="166">
      <sharedItems containsSemiMixedTypes="0" containsNonDate="0" containsDate="1" containsString="0" minDate="1899-12-30T00:00:00" maxDate="1899-12-31T00:00:00"/>
    </cacheField>
    <cacheField name="Durée sans interv." numFmtId="166">
      <sharedItems containsSemiMixedTypes="0" containsNonDate="0" containsDate="1" containsString="0" minDate="1899-12-30T00:00:00" maxDate="1899-12-30T16:35:00"/>
    </cacheField>
    <cacheField name="Montant Garde" numFmtId="44">
      <sharedItems containsSemiMixedTypes="0" containsString="0" containsNumber="1" minValue="0" maxValue="49.750000000000007" count="3">
        <n v="49.750000000000007"/>
        <n v="0"/>
        <n v="19.000000000000014"/>
      </sharedItems>
    </cacheField>
    <cacheField name="Durée interv. jour" numFmtId="166">
      <sharedItems containsSemiMixedTypes="0" containsNonDate="0" containsDate="1" containsString="0" minDate="1899-12-30T00:00:00" maxDate="1899-12-31T00:00:00"/>
    </cacheField>
    <cacheField name="Durée interv. dim ou férié" numFmtId="166">
      <sharedItems containsSemiMixedTypes="0" containsNonDate="0" containsDate="1" containsString="0" minDate="1899-12-30T00:00:00" maxDate="1899-12-31T00:00:00"/>
    </cacheField>
    <cacheField name="Durée interv. nuit" numFmtId="166">
      <sharedItems containsSemiMixedTypes="0" containsNonDate="0" containsDate="1" containsString="0" minDate="1899-12-30T00:00:00" maxDate="1899-12-31T00:00:00"/>
    </cacheField>
    <cacheField name="Montant Interv." numFmtId="44">
      <sharedItems containsSemiMixedTypes="0" containsString="0" containsNumber="1" minValue="0" maxValue="58.666666666666622" count="5">
        <n v="0"/>
        <n v="23.499999999999989"/>
        <n v="12.666666666666664"/>
        <n v="58.666666666666622"/>
        <n v="23.00000000000005"/>
      </sharedItems>
    </cacheField>
    <cacheField name="Mois" numFmtId="0" databaseField="0">
      <fieldGroup base="0">
        <rangePr groupBy="months" startDate="2018-05-26T00:00:00" endDate="2018-06-21T00:00:00"/>
        <groupItems count="14">
          <s v="&lt;26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6/2018"/>
        </groupItems>
      </fieldGroup>
    </cacheField>
    <cacheField name="Années" numFmtId="0" databaseField="0">
      <fieldGroup base="0">
        <rangePr groupBy="years" startDate="2018-05-26T00:00:00" endDate="2018-06-21T00:00:00"/>
        <groupItems count="3">
          <s v="&lt;26/05/2018"/>
          <s v="2018"/>
          <s v="&gt;21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4"/>
    <m/>
    <m/>
    <d v="1899-12-30T08:00:00"/>
    <d v="1899-12-31T08:00:00"/>
    <m/>
    <m/>
    <x v="0"/>
    <s v="non"/>
    <d v="1899-12-30T14:00:00"/>
    <d v="1899-12-30T00:00:00"/>
    <d v="1899-12-30T02:00:00"/>
    <s v="oui"/>
    <d v="1899-12-30T01:00:00"/>
    <d v="1899-12-30T07:00:00"/>
    <d v="1899-12-30T00:00:00"/>
    <d v="1899-12-30T00:00:00"/>
    <d v="1899-12-30T16:35:00"/>
    <x v="0"/>
    <d v="1899-12-30T00:00:00"/>
    <d v="1899-12-30T00:00:00"/>
    <d v="1899-12-30T00:00:00"/>
    <x v="0"/>
  </r>
  <r>
    <x v="0"/>
    <m/>
    <d v="1899-12-30T21:00:00"/>
    <d v="1899-12-30T01:04:00"/>
    <d v="1899-12-30T21:00:00"/>
    <d v="1899-12-31T01:15:00"/>
    <s v="VSAV"/>
    <m/>
    <x v="1"/>
    <s v="non"/>
    <d v="1899-12-30T01:00:00"/>
    <d v="1899-12-30T00:00:00"/>
    <d v="1899-12-30T02:00:00"/>
    <s v="oui"/>
    <d v="1899-12-30T00:00:00"/>
    <d v="1899-12-30T01:15:00"/>
    <d v="1899-12-30T00:00:00"/>
    <d v="1899-12-30T00:00:00"/>
    <d v="1899-12-30T00:00:00"/>
    <x v="1"/>
    <d v="1899-12-30T01:00:00"/>
    <d v="1899-12-30T00:00:00"/>
    <d v="1899-12-30T03:15:00"/>
    <x v="1"/>
  </r>
  <r>
    <x v="0"/>
    <m/>
    <d v="1899-12-30T12:20:00"/>
    <d v="1899-12-30T15:26:00"/>
    <d v="1899-12-30T12:20:00"/>
    <d v="1899-12-30T15:30:00"/>
    <s v="CCF"/>
    <m/>
    <x v="1"/>
    <s v="non"/>
    <d v="1899-12-30T03:10:00"/>
    <d v="1899-12-30T00:00:00"/>
    <d v="1899-12-30T00:00:00"/>
    <s v="non"/>
    <d v="1899-12-30T00:00:00"/>
    <d v="1899-12-30T00:00:00"/>
    <d v="1899-12-30T00:00:00"/>
    <d v="1899-12-30T00:00:00"/>
    <d v="1899-12-30T00:00:00"/>
    <x v="1"/>
    <d v="1899-12-30T03:10:00"/>
    <d v="1899-12-30T00:00:00"/>
    <d v="1899-12-30T00:00:00"/>
    <x v="2"/>
  </r>
  <r>
    <x v="1"/>
    <n v="24"/>
    <m/>
    <m/>
    <d v="1899-12-30T08:00:00"/>
    <d v="1899-12-31T08:00:00"/>
    <m/>
    <m/>
    <x v="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06:20:00"/>
    <x v="2"/>
    <d v="1899-12-30T00:00:00"/>
    <d v="1899-12-30T00:00:00"/>
    <d v="1899-12-30T00:00:00"/>
    <x v="0"/>
  </r>
  <r>
    <x v="1"/>
    <m/>
    <d v="1899-12-30T10:20:00"/>
    <d v="1899-12-30T23:48:00"/>
    <d v="1899-12-30T10:20:00"/>
    <d v="1899-12-31T00:00:00"/>
    <s v="FPTL"/>
    <m/>
    <x v="1"/>
    <s v="non"/>
    <d v="1899-12-30T11:40:00"/>
    <d v="1899-12-30T00:00:00"/>
    <d v="1899-12-30T02:00:00"/>
    <s v="non"/>
    <d v="1899-12-30T00:00:00"/>
    <d v="1899-12-30T00:00:00"/>
    <d v="1899-12-30T00:00:00"/>
    <d v="1899-12-30T00:00:00"/>
    <d v="1899-12-30T00:00:00"/>
    <x v="1"/>
    <d v="1899-12-30T11:40:00"/>
    <d v="1899-12-30T00:00:00"/>
    <d v="1899-12-30T02:00:00"/>
    <x v="3"/>
  </r>
  <r>
    <x v="1"/>
    <m/>
    <d v="1899-12-30T03:30:00"/>
    <d v="1899-12-30T07:30:00"/>
    <d v="1899-12-30T03:30:00"/>
    <d v="1899-12-30T07:30:00"/>
    <s v="VLOD"/>
    <m/>
    <x v="1"/>
    <s v="non"/>
    <d v="1899-12-30T00:30:00"/>
    <d v="1899-12-30T03:30:00"/>
    <d v="1899-12-30T00:00:00"/>
    <s v="non"/>
    <d v="1899-12-30T00:00:00"/>
    <d v="1899-12-30T00:00:00"/>
    <d v="1899-12-30T00:00:00"/>
    <d v="1899-12-30T00:00:00"/>
    <d v="1899-12-30T00:00:00"/>
    <x v="1"/>
    <d v="1899-12-30T00:30:00"/>
    <d v="1899-12-30T00:00:00"/>
    <d v="1899-12-30T03:30:0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E7" firstHeaderRow="1" firstDataRow="2" firstDataCol="3"/>
  <pivotFields count="26">
    <pivotField axis="axisRow" compact="0" numFmtId="167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numFmtId="166" outline="0" showAll="0" defaultSubtotal="0"/>
    <pivotField compact="0" outline="0" showAll="0"/>
    <pivotField compact="0" outline="0" showAll="0"/>
    <pivotField compact="0" outline="0" showAll="0"/>
    <pivotField compact="0" outline="0" showAll="0">
      <items count="3">
        <item x="0"/>
        <item x="1"/>
        <item t="default"/>
      </items>
    </pivotField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dataField="1" compact="0" numFmtId="44" outline="0" showAll="0" defaultSubtotal="0">
      <items count="3">
        <item x="1"/>
        <item x="2"/>
        <item x="0"/>
      </items>
    </pivotField>
    <pivotField compact="0" outline="0" showAll="0"/>
    <pivotField compact="0" outline="0" showAll="0"/>
    <pivotField compact="0" outline="0" showAll="0"/>
    <pivotField dataField="1" compact="0" numFmtId="44" outline="0" showAll="0" defaultSubtotal="0">
      <items count="5">
        <item x="0"/>
        <item x="2"/>
        <item x="4"/>
        <item x="1"/>
        <item x="3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3">
        <item x="0"/>
        <item x="1"/>
        <item x="2"/>
      </items>
    </pivotField>
  </pivotFields>
  <rowFields count="3">
    <field x="25"/>
    <field x="24"/>
    <field x="0"/>
  </rowFields>
  <rowItems count="3">
    <i>
      <x v="1"/>
      <x v="5"/>
      <x v="147"/>
    </i>
    <i r="1">
      <x v="6"/>
      <x v="17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Garde" fld="19" baseField="0" baseItem="1" numFmtId="169"/>
    <dataField name="Somme de Montant Interv." fld="23" baseField="0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X14" totalsRowShown="0" headerRowDxfId="23">
  <autoFilter ref="A1:X14" xr:uid="{00000000-0009-0000-0100-000001000000}"/>
  <tableColumns count="24">
    <tableColumn id="1" xr3:uid="{00000000-0010-0000-0000-000001000000}" name="Date" dataDxfId="22"/>
    <tableColumn id="5" xr3:uid="{00000000-0010-0000-0000-000005000000}" name="Véhicule" dataDxfId="21"/>
    <tableColumn id="6" xr3:uid="{00000000-0010-0000-0000-000006000000}" name="Motif" dataDxfId="20"/>
    <tableColumn id="2" xr3:uid="{00000000-0010-0000-0000-000002000000}" name="Garde 12 ou 24"/>
    <tableColumn id="3" xr3:uid="{00000000-0010-0000-0000-000003000000}" name="Hdébut interv." dataDxfId="19"/>
    <tableColumn id="4" xr3:uid="{00000000-0010-0000-0000-000004000000}" name="Hfin Interv." dataDxfId="18"/>
    <tableColumn id="23" xr3:uid="{00000000-0010-0000-0000-000017000000}" name="Hdébut corrigé" dataDxfId="17">
      <calculatedColumnFormula>IF(data[[#This Row],[Garde 12 ou 24]]&lt;&gt;"",PPoste,data[[#This Row],[Hdébut interv.]])</calculatedColumnFormula>
    </tableColumn>
    <tableColumn id="12" xr3:uid="{00000000-0010-0000-0000-00000C000000}" name="Hfin corrigée" dataDxfId="16">
      <calculatedColumnFormula>IF(data[[#This Row],[Garde 12 ou 24]]&lt;&gt;"",PPoste+data[[#This Row],[Garde 12 ou 24]]/24,IF(data[[#This Row],[Hfin Interv.]]="",0,ROUNDUP(data[[#This Row],[Hfin Interv.]]*24*4,0)/4/24+IF(data[[#This Row],[Hfin Interv.]]&gt;data[[#This Row],[Hdébut interv.]],0,1)))</calculatedColumnFormula>
    </tableColumn>
    <tableColumn id="7" xr3:uid="{00000000-0010-0000-0000-000007000000}" name="Garde / Intervention" dataDxfId="15">
      <calculatedColumnFormula>IF(data[Garde 12 ou 24]&lt;&gt;"","Garde",IF(data[Hdébut corrigé]&lt;&gt;"","Intervention",""))</calculatedColumnFormula>
    </tableColumn>
    <tableColumn id="8" xr3:uid="{00000000-0010-0000-0000-000008000000}" name="Début Dim ou Férié" dataDxfId="14">
      <calculatedColumnFormula>IF(OR(WEEKDAY(data[[#This Row],[Date]],2)=7,COUNTIF(JF,data[[#This Row],[Date]])=1),"oui","non")</calculatedColumnFormula>
    </tableColumn>
    <tableColumn id="10" xr3:uid="{00000000-0010-0000-0000-00000A000000}" name="JOUR1" dataDxfId="13">
      <calculatedColumnFormula>(MIN(1,data[[#This Row],[Hfin corrigée]])-data[[#This Row],[Hdébut corrigé]])-data[[#This Row],[NUIT1.1]]-data[[#This Row],[NUIT1.2]]</calculatedColumnFormula>
    </tableColumn>
    <tableColumn id="11" xr3:uid="{00000000-0010-0000-0000-00000B000000}" name="NUIT1.1" dataDxfId="12">
      <calculatedColumnFormula>IF(data[[#This Row],[Hfin Interv.]]="",0,(
MIN(FinNuit,MIN(1,data[[#This Row],[Hfin corrigée]]))-MIN(FinNuit,data[[#This Row],[Hdébut corrigé]])
))</calculatedColumnFormula>
    </tableColumn>
    <tableColumn id="18" xr3:uid="{00000000-0010-0000-0000-000012000000}" name="NUIT1.2" dataDxfId="11">
      <calculatedColumnFormula>(MAX(0,(MIN(1,data[[#This Row],[Hfin corrigée]])-DebNuit))-MAX(0,(data[[#This Row],[Hdébut corrigé]]-DebNuit)))</calculatedColumnFormula>
    </tableColumn>
    <tableColumn id="9" xr3:uid="{00000000-0010-0000-0000-000009000000}" name="Fin Dim ou Férié" dataDxfId="10">
      <calculatedColumnFormula>IF(OR(WEEKDAY(data[[#This Row],[Date]]+data[[#This Row],[Hfin corrigée]],2)=7,COUNTIF(JF,INT(data[[#This Row],[Date]]+data[[#This Row],[Hfin corrigée]]))=1),"oui","non")</calculatedColumnFormula>
    </tableColumn>
    <tableColumn id="19" xr3:uid="{00000000-0010-0000-0000-000013000000}" name="JOUR2" dataDxfId="9">
      <calculatedColumnFormula>MAX(0,data[[#This Row],[Hfin corrigée]]-1)-data[[#This Row],[NUIT2.1]]-data[[#This Row],[NUIT2.2]]</calculatedColumnFormula>
    </tableColumn>
    <tableColumn id="20" xr3:uid="{00000000-0010-0000-0000-000014000000}" name="NUIT2.1" dataDxfId="8">
      <calculatedColumnFormula>(MAX(0,MIN(data[[#This Row],[Hfin corrigée]],1+FinNuit)-1))</calculatedColumnFormula>
    </tableColumn>
    <tableColumn id="21" xr3:uid="{00000000-0010-0000-0000-000015000000}" name="NUIT2.2" dataDxfId="7">
      <calculatedColumnFormula>(MAX(0,(data[[#This Row],[Hfin corrigée]]-DebNuit-1)))</calculatedColumnFormula>
    </tableColumn>
    <tableColumn id="22" xr3:uid="{00000000-0010-0000-0000-000016000000}" name="Interv. hors poste" dataDxfId="6">
      <calculatedColumnFormula>IF(data[[#This Row],[Garde / Intervention]]="Intervention",MAX(0,data[[#This Row],[Hfin corrigée]]-SUMPRODUCT((data[Date]=data[[#This Row],[Date]])*(data[Garde / Intervention]="Garde")*data[Hfin corrigée])),0)</calculatedColumnFormula>
    </tableColumn>
    <tableColumn id="16" xr3:uid="{00000000-0010-0000-0000-000010000000}" name="Durée sans interv." dataDxfId="5">
      <calculatedColumnFormula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24" xr3:uid="{00000000-0010-0000-0000-000018000000}" name="Montant Garde" dataDxfId="4" dataCellStyle="Monétaire">
      <calculatedColumnFormula>TAUX1*data[[#This Row],[Durée sans interv.]]*24</calculatedColumnFormula>
    </tableColumn>
    <tableColumn id="13" xr3:uid="{00000000-0010-0000-0000-00000D000000}" name="Durée interv. jour" dataDxfId="3">
      <calculatedColumnFormula>MAX(0,IF(data[[#This Row],[Garde / Intervention]]="Intervention",(data[[#This Row],[Fin Dim ou Férié]]="non")*data[[#This Row],[JOUR2]]+(data[[#This Row],[Début Dim ou Férié]]="non")*data[[#This Row],[JOUR1]],0))</calculatedColumnFormula>
    </tableColumn>
    <tableColumn id="14" xr3:uid="{00000000-0010-0000-0000-00000E000000}" name="Durée interv. dim ou férié" dataDxfId="2">
      <calculatedColumnFormula>IF(data[[#This Row],[Garde / Intervention]]="Intervention",(data[[#This Row],[Fin Dim ou Férié]]="oui")*data[[#This Row],[JOUR2]]+(data[[#This Row],[Début Dim ou Férié]]="oui")*data[[#This Row],[JOUR1]],0)</calculatedColumnFormula>
    </tableColumn>
    <tableColumn id="15" xr3:uid="{00000000-0010-0000-0000-00000F000000}" name="Durée interv. nuit" dataDxfId="1">
      <calculatedColumnFormula>MAX(0,IF(data[[#This Row],[Garde / Intervention]]="Intervention",data[[#This Row],[NUIT1.1]]+data[[#This Row],[NUIT1.2]]+data[[#This Row],[NUIT2.1]]+data[[#This Row],[NUIT2.2]],0))</calculatedColumnFormula>
    </tableColumn>
    <tableColumn id="17" xr3:uid="{00000000-0010-0000-0000-000011000000}" name="Montant Interv." dataDxfId="0" dataCellStyle="Monétaire">
      <calculatedColumnFormula>TAUX2*data[[#This Row],[Durée interv. jour]]*24+TAUX3*data[[#This Row],[Durée interv. dim ou férié]]*24+TAUX4*data[[#This Row],[Durée interv. nuit]]*24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showZeros="0" topLeftCell="A7" zoomScaleNormal="100" workbookViewId="0">
      <selection activeCell="R31" sqref="R31"/>
    </sheetView>
  </sheetViews>
  <sheetFormatPr baseColWidth="10" defaultRowHeight="14.4" x14ac:dyDescent="0.3"/>
  <cols>
    <col min="1" max="1" width="16.77734375" style="3" customWidth="1"/>
    <col min="2" max="3" width="9.88671875" customWidth="1"/>
    <col min="4" max="4" width="8.44140625" customWidth="1"/>
    <col min="5" max="6" width="9.109375" style="2" customWidth="1"/>
    <col min="7" max="8" width="10.77734375" style="12" customWidth="1"/>
    <col min="11" max="11" width="13.6640625" style="19" hidden="1" customWidth="1"/>
    <col min="12" max="12" width="7.21875" style="15" hidden="1" customWidth="1"/>
    <col min="13" max="13" width="9.77734375" style="15" hidden="1" customWidth="1"/>
    <col min="14" max="14" width="8.5546875" style="19" customWidth="1"/>
    <col min="15" max="15" width="8.5546875" style="19" hidden="1" customWidth="1"/>
    <col min="16" max="16" width="7.21875" style="19" hidden="1" customWidth="1"/>
    <col min="17" max="17" width="9.77734375" style="15" hidden="1" customWidth="1"/>
    <col min="18" max="20" width="8.5546875" style="19" customWidth="1"/>
    <col min="21" max="21" width="8.5546875" style="20" customWidth="1"/>
    <col min="22" max="22" width="8.5546875" style="31" customWidth="1"/>
    <col min="23" max="23" width="10.88671875" style="20"/>
    <col min="24" max="24" width="9.77734375" style="17" customWidth="1"/>
    <col min="25" max="25" width="10" style="17" customWidth="1"/>
    <col min="26" max="26" width="10.88671875" style="17"/>
    <col min="27" max="27" width="10" style="4" customWidth="1"/>
    <col min="28" max="28" width="10.88671875" style="5"/>
  </cols>
  <sheetData>
    <row r="1" spans="1:28" s="7" customFormat="1" ht="57.6" x14ac:dyDescent="0.3">
      <c r="A1" s="6" t="s">
        <v>0</v>
      </c>
      <c r="B1" s="7" t="s">
        <v>2</v>
      </c>
      <c r="C1" s="7" t="s">
        <v>1</v>
      </c>
      <c r="D1" s="7" t="s">
        <v>12</v>
      </c>
      <c r="E1" s="8" t="s">
        <v>21</v>
      </c>
      <c r="F1" s="8" t="s">
        <v>22</v>
      </c>
      <c r="G1" s="11" t="s">
        <v>29</v>
      </c>
      <c r="H1" s="11" t="s">
        <v>16</v>
      </c>
      <c r="I1" s="9" t="s">
        <v>13</v>
      </c>
      <c r="J1" s="9" t="s">
        <v>14</v>
      </c>
      <c r="K1" s="10" t="s">
        <v>23</v>
      </c>
      <c r="L1" s="10" t="s">
        <v>24</v>
      </c>
      <c r="M1" s="10" t="s">
        <v>25</v>
      </c>
      <c r="N1" s="9" t="s">
        <v>15</v>
      </c>
      <c r="O1" s="10" t="s">
        <v>26</v>
      </c>
      <c r="P1" s="10" t="s">
        <v>27</v>
      </c>
      <c r="Q1" s="10" t="s">
        <v>28</v>
      </c>
      <c r="R1" s="10" t="s">
        <v>39</v>
      </c>
      <c r="S1" s="13" t="s">
        <v>17</v>
      </c>
      <c r="T1" s="14" t="s">
        <v>41</v>
      </c>
      <c r="U1" s="13" t="s">
        <v>20</v>
      </c>
      <c r="V1" s="13" t="s">
        <v>18</v>
      </c>
      <c r="W1" s="13" t="s">
        <v>19</v>
      </c>
      <c r="X1" s="14" t="s">
        <v>42</v>
      </c>
    </row>
    <row r="2" spans="1:28" x14ac:dyDescent="0.3">
      <c r="A2" s="3">
        <v>43246</v>
      </c>
      <c r="B2" s="28"/>
      <c r="D2" s="47">
        <v>24</v>
      </c>
      <c r="E2" s="48"/>
      <c r="F2" s="48"/>
      <c r="G2" s="45">
        <f>IF(data[[#This Row],[Garde 12 ou 24]]&lt;&gt;"",PPoste,data[[#This Row],[Hdébut interv.]])</f>
        <v>0.33333333333333331</v>
      </c>
      <c r="H2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1.3333333333333333</v>
      </c>
      <c r="I2" s="15" t="str">
        <f>IF(data[Garde 12 ou 24]&lt;&gt;"","Garde",IF(data[Hdébut corrigé]&lt;&gt;"","Intervention",""))</f>
        <v>Garde</v>
      </c>
      <c r="J2" s="15" t="str">
        <f>IF(OR(WEEKDAY(data[[#This Row],[Date]],2)=7,COUNTIF(JF,data[[#This Row],[Date]])=1),"oui","non")</f>
        <v>non</v>
      </c>
      <c r="K2" s="16">
        <f>(MIN(1,data[[#This Row],[Hfin corrigée]])-data[[#This Row],[Hdébut corrigé]])-data[[#This Row],[NUIT1.1]]-data[[#This Row],[NUIT1.2]]</f>
        <v>0.58333333333333337</v>
      </c>
      <c r="L2" s="16">
        <f>IF(data[[#This Row],[Hfin Interv.]]="",0,(
MIN(FinNuit,MIN(1,data[[#This Row],[Hfin corrigée]]))-MIN(FinNuit,data[[#This Row],[Hdébut corrigé]])
))</f>
        <v>0</v>
      </c>
      <c r="M2" s="16">
        <f>(MAX(0,(MIN(1,data[[#This Row],[Hfin corrigée]])-DebNuit))-MAX(0,(data[[#This Row],[Hdébut corrigé]]-DebNuit)))</f>
        <v>8.333333333333337E-2</v>
      </c>
      <c r="N2" s="15" t="str">
        <f>IF(OR(WEEKDAY(data[[#This Row],[Date]]+data[[#This Row],[Hfin corrigée]],2)=7,COUNTIF(JF,INT(data[[#This Row],[Date]]+data[[#This Row],[Hfin corrigée]]))=1),"oui","non")</f>
        <v>oui</v>
      </c>
      <c r="O2" s="16">
        <f>MAX(0,data[[#This Row],[Hfin corrigée]]-1)-data[[#This Row],[NUIT2.1]]-data[[#This Row],[NUIT2.2]]</f>
        <v>4.1666666666666519E-2</v>
      </c>
      <c r="P2" s="16">
        <f>(MAX(0,MIN(data[[#This Row],[Hfin corrigée]],1+FinNuit)-1))</f>
        <v>0.29166666666666674</v>
      </c>
      <c r="Q2" s="16">
        <f>(MAX(0,(data[[#This Row],[Hfin corrigée]]-DebNuit-1)))</f>
        <v>0</v>
      </c>
      <c r="R2" s="16">
        <f>IF(data[[#This Row],[Garde / Intervention]]="Intervention",MAX(0,data[[#This Row],[Hfin corrigée]]-SUMPRODUCT((data[Date]=data[[#This Row],[Date]])*(data[Garde / Intervention]="Garde")*data[Hfin corrigée])),0)</f>
        <v>0</v>
      </c>
      <c r="S2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0.69097222222222232</v>
      </c>
      <c r="T2" s="18">
        <f>TAUX1*data[[#This Row],[Durée sans interv.]]*24</f>
        <v>49.750000000000007</v>
      </c>
      <c r="U2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2" s="17">
        <f>IF(data[[#This Row],[Garde / Intervention]]="Intervention",(data[[#This Row],[Fin Dim ou Férié]]="oui")*data[[#This Row],[JOUR2]]+(data[[#This Row],[Début Dim ou Férié]]="oui")*data[[#This Row],[JOUR1]],0)</f>
        <v>0</v>
      </c>
      <c r="W2" s="17">
        <f>MAX(0,IF(data[[#This Row],[Garde / Intervention]]="Intervention",data[[#This Row],[NUIT1.1]]+data[[#This Row],[NUIT1.2]]+data[[#This Row],[NUIT2.1]]+data[[#This Row],[NUIT2.2]],0))</f>
        <v>0</v>
      </c>
      <c r="X2" s="18">
        <f>TAUX2*data[[#This Row],[Durée interv. jour]]*24+TAUX3*data[[#This Row],[Durée interv. dim ou férié]]*24+TAUX4*data[[#This Row],[Durée interv. nuit]]*24</f>
        <v>0</v>
      </c>
      <c r="Y2"/>
      <c r="Z2"/>
      <c r="AA2"/>
      <c r="AB2"/>
    </row>
    <row r="3" spans="1:28" x14ac:dyDescent="0.3">
      <c r="A3" s="3">
        <v>43246</v>
      </c>
      <c r="B3" s="28" t="s">
        <v>3</v>
      </c>
      <c r="C3" s="28"/>
      <c r="D3" s="47"/>
      <c r="E3" s="48">
        <v>0.875</v>
      </c>
      <c r="F3" s="48">
        <v>4.4444444444444446E-2</v>
      </c>
      <c r="G3" s="45">
        <f>IF(data[[#This Row],[Garde 12 ou 24]]&lt;&gt;"",PPoste,data[[#This Row],[Hdébut interv.]])</f>
        <v>0.875</v>
      </c>
      <c r="H3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1.0520833333333333</v>
      </c>
      <c r="I3" s="15" t="str">
        <f>IF(data[Garde 12 ou 24]&lt;&gt;"","Garde",IF(data[Hdébut corrigé]&lt;&gt;"","Intervention",""))</f>
        <v>Intervention</v>
      </c>
      <c r="J3" s="15" t="str">
        <f>IF(OR(WEEKDAY(data[[#This Row],[Date]],2)=7,COUNTIF(JF,data[[#This Row],[Date]])=1),"oui","non")</f>
        <v>non</v>
      </c>
      <c r="K3" s="16">
        <f>(MIN(1,data[[#This Row],[Hfin corrigée]])-data[[#This Row],[Hdébut corrigé]])-data[[#This Row],[NUIT1.1]]-data[[#This Row],[NUIT1.2]]</f>
        <v>4.166666666666663E-2</v>
      </c>
      <c r="L3" s="16">
        <f>IF(data[[#This Row],[Hfin Interv.]]="",0,(
MIN(FinNuit,MIN(1,data[[#This Row],[Hfin corrigée]]))-MIN(FinNuit,data[[#This Row],[Hdébut corrigé]])
))</f>
        <v>0</v>
      </c>
      <c r="M3" s="16">
        <f>(MAX(0,(MIN(1,data[[#This Row],[Hfin corrigée]])-DebNuit))-MAX(0,(data[[#This Row],[Hdébut corrigé]]-DebNuit)))</f>
        <v>8.333333333333337E-2</v>
      </c>
      <c r="N3" s="15" t="str">
        <f>IF(OR(WEEKDAY(data[[#This Row],[Date]]+data[[#This Row],[Hfin corrigée]],2)=7,COUNTIF(JF,INT(data[[#This Row],[Date]]+data[[#This Row],[Hfin corrigée]]))=1),"oui","non")</f>
        <v>oui</v>
      </c>
      <c r="O3" s="16">
        <f>MAX(0,data[[#This Row],[Hfin corrigée]]-1)-data[[#This Row],[NUIT2.1]]-data[[#This Row],[NUIT2.2]]</f>
        <v>0</v>
      </c>
      <c r="P3" s="16">
        <f>(MAX(0,MIN(data[[#This Row],[Hfin corrigée]],1+FinNuit)-1))</f>
        <v>5.2083333333333259E-2</v>
      </c>
      <c r="Q3" s="16">
        <f>(MAX(0,(data[[#This Row],[Hfin corrigée]]-DebNuit-1)))</f>
        <v>0</v>
      </c>
      <c r="R3" s="16">
        <f>IF(data[[#This Row],[Garde / Intervention]]="Intervention",MAX(0,data[[#This Row],[Hfin corrigée]]-SUMPRODUCT((data[Date]=data[[#This Row],[Date]])*(data[Garde / Intervention]="Garde")*data[Hfin corrigée])),0)</f>
        <v>0</v>
      </c>
      <c r="S3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3" s="18">
        <f>TAUX1*data[[#This Row],[Durée sans interv.]]*24</f>
        <v>0</v>
      </c>
      <c r="U3" s="17">
        <f>MAX(0,IF(data[[#This Row],[Garde / Intervention]]="Intervention",(data[[#This Row],[Fin Dim ou Férié]]="non")*data[[#This Row],[JOUR2]]+(data[[#This Row],[Début Dim ou Férié]]="non")*data[[#This Row],[JOUR1]],0))</f>
        <v>4.166666666666663E-2</v>
      </c>
      <c r="V3" s="17">
        <f>IF(data[[#This Row],[Garde / Intervention]]="Intervention",(data[[#This Row],[Fin Dim ou Férié]]="oui")*data[[#This Row],[JOUR2]]+(data[[#This Row],[Début Dim ou Férié]]="oui")*data[[#This Row],[JOUR1]],0)</f>
        <v>0</v>
      </c>
      <c r="W3" s="17">
        <f>MAX(0,IF(data[[#This Row],[Garde / Intervention]]="Intervention",data[[#This Row],[NUIT1.1]]+data[[#This Row],[NUIT1.2]]+data[[#This Row],[NUIT2.1]]+data[[#This Row],[NUIT2.2]],0))</f>
        <v>0.13541666666666663</v>
      </c>
      <c r="X3" s="18">
        <f>TAUX2*data[[#This Row],[Durée interv. jour]]*24+TAUX3*data[[#This Row],[Durée interv. dim ou férié]]*24+TAUX4*data[[#This Row],[Durée interv. nuit]]*24</f>
        <v>23.499999999999989</v>
      </c>
      <c r="Y3"/>
      <c r="Z3"/>
      <c r="AA3"/>
      <c r="AB3"/>
    </row>
    <row r="4" spans="1:28" x14ac:dyDescent="0.3">
      <c r="A4" s="3">
        <v>43246</v>
      </c>
      <c r="B4" s="28" t="s">
        <v>5</v>
      </c>
      <c r="C4" s="28"/>
      <c r="D4" s="47"/>
      <c r="E4" s="48">
        <v>0.51388888888888895</v>
      </c>
      <c r="F4" s="48">
        <v>0.6430555555555556</v>
      </c>
      <c r="G4" s="45">
        <f>IF(data[[#This Row],[Garde 12 ou 24]]&lt;&gt;"",PPoste,data[[#This Row],[Hdébut interv.]])</f>
        <v>0.51388888888888895</v>
      </c>
      <c r="H4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0.64583333333333337</v>
      </c>
      <c r="I4" s="15" t="str">
        <f>IF(data[Garde 12 ou 24]&lt;&gt;"","Garde",IF(data[Hdébut corrigé]&lt;&gt;"","Intervention",""))</f>
        <v>Intervention</v>
      </c>
      <c r="J4" s="15" t="str">
        <f>IF(OR(WEEKDAY(data[[#This Row],[Date]],2)=7,COUNTIF(JF,data[[#This Row],[Date]])=1),"oui","non")</f>
        <v>non</v>
      </c>
      <c r="K4" s="16">
        <f>(MIN(1,data[[#This Row],[Hfin corrigée]])-data[[#This Row],[Hdébut corrigé]])-data[[#This Row],[NUIT1.1]]-data[[#This Row],[NUIT1.2]]</f>
        <v>0.13194444444444442</v>
      </c>
      <c r="L4" s="16">
        <f>IF(data[[#This Row],[Hfin Interv.]]="",0,(
MIN(FinNuit,MIN(1,data[[#This Row],[Hfin corrigée]]))-MIN(FinNuit,data[[#This Row],[Hdébut corrigé]])
))</f>
        <v>0</v>
      </c>
      <c r="M4" s="16">
        <f>(MAX(0,(MIN(1,data[[#This Row],[Hfin corrigée]])-DebNuit))-MAX(0,(data[[#This Row],[Hdébut corrigé]]-DebNuit)))</f>
        <v>0</v>
      </c>
      <c r="N4" s="15" t="str">
        <f>IF(OR(WEEKDAY(data[[#This Row],[Date]]+data[[#This Row],[Hfin corrigée]],2)=7,COUNTIF(JF,INT(data[[#This Row],[Date]]+data[[#This Row],[Hfin corrigée]]))=1),"oui","non")</f>
        <v>non</v>
      </c>
      <c r="O4" s="16">
        <f>MAX(0,data[[#This Row],[Hfin corrigée]]-1)-data[[#This Row],[NUIT2.1]]-data[[#This Row],[NUIT2.2]]</f>
        <v>0</v>
      </c>
      <c r="P4" s="16">
        <f>(MAX(0,MIN(data[[#This Row],[Hfin corrigée]],1+FinNuit)-1))</f>
        <v>0</v>
      </c>
      <c r="Q4" s="16">
        <f>(MAX(0,(data[[#This Row],[Hfin corrigée]]-DebNuit-1)))</f>
        <v>0</v>
      </c>
      <c r="R4" s="16">
        <f>IF(data[[#This Row],[Garde / Intervention]]="Intervention",MAX(0,data[[#This Row],[Hfin corrigée]]-SUMPRODUCT((data[Date]=data[[#This Row],[Date]])*(data[Garde / Intervention]="Garde")*data[Hfin corrigée])),0)</f>
        <v>0</v>
      </c>
      <c r="S4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4" s="18">
        <f>TAUX1*data[[#This Row],[Durée sans interv.]]*24</f>
        <v>0</v>
      </c>
      <c r="U4" s="17">
        <f>MAX(0,IF(data[[#This Row],[Garde / Intervention]]="Intervention",(data[[#This Row],[Fin Dim ou Férié]]="non")*data[[#This Row],[JOUR2]]+(data[[#This Row],[Début Dim ou Férié]]="non")*data[[#This Row],[JOUR1]],0))</f>
        <v>0.13194444444444442</v>
      </c>
      <c r="V4" s="17">
        <f>IF(data[[#This Row],[Garde / Intervention]]="Intervention",(data[[#This Row],[Fin Dim ou Férié]]="oui")*data[[#This Row],[JOUR2]]+(data[[#This Row],[Début Dim ou Férié]]="oui")*data[[#This Row],[JOUR1]],0)</f>
        <v>0</v>
      </c>
      <c r="W4" s="17">
        <f>MAX(0,IF(data[[#This Row],[Garde / Intervention]]="Intervention",data[[#This Row],[NUIT1.1]]+data[[#This Row],[NUIT1.2]]+data[[#This Row],[NUIT2.1]]+data[[#This Row],[NUIT2.2]],0))</f>
        <v>0</v>
      </c>
      <c r="X4" s="18">
        <f>TAUX2*data[[#This Row],[Durée interv. jour]]*24+TAUX3*data[[#This Row],[Durée interv. dim ou férié]]*24+TAUX4*data[[#This Row],[Durée interv. nuit]]*24</f>
        <v>12.666666666666664</v>
      </c>
      <c r="Y4"/>
      <c r="Z4"/>
      <c r="AA4"/>
      <c r="AB4"/>
    </row>
    <row r="5" spans="1:28" x14ac:dyDescent="0.3">
      <c r="A5" s="3">
        <v>43271</v>
      </c>
      <c r="B5" s="28"/>
      <c r="C5" s="28"/>
      <c r="D5" s="47">
        <v>24</v>
      </c>
      <c r="E5" s="48"/>
      <c r="F5" s="48"/>
      <c r="G5" s="45">
        <f>IF(data[[#This Row],[Garde 12 ou 24]]&lt;&gt;"",PPoste,data[[#This Row],[Hdébut interv.]])</f>
        <v>0.33333333333333331</v>
      </c>
      <c r="H5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1.3333333333333333</v>
      </c>
      <c r="I5" s="15" t="str">
        <f>IF(data[Garde 12 ou 24]&lt;&gt;"","Garde",IF(data[Hdébut corrigé]&lt;&gt;"","Intervention",""))</f>
        <v>Garde</v>
      </c>
      <c r="J5" s="15" t="str">
        <f>IF(OR(WEEKDAY(data[[#This Row],[Date]],2)=7,COUNTIF(JF,data[[#This Row],[Date]])=1),"oui","non")</f>
        <v>non</v>
      </c>
      <c r="K5" s="16">
        <f>(MIN(1,data[[#This Row],[Hfin corrigée]])-data[[#This Row],[Hdébut corrigé]])-data[[#This Row],[NUIT1.1]]-data[[#This Row],[NUIT1.2]]</f>
        <v>0.58333333333333337</v>
      </c>
      <c r="L5" s="16">
        <f>IF(data[[#This Row],[Hfin Interv.]]="",0,(
MIN(FinNuit,MIN(1,data[[#This Row],[Hfin corrigée]]))-MIN(FinNuit,data[[#This Row],[Hdébut corrigé]])
))</f>
        <v>0</v>
      </c>
      <c r="M5" s="16">
        <f>(MAX(0,(MIN(1,data[[#This Row],[Hfin corrigée]])-DebNuit))-MAX(0,(data[[#This Row],[Hdébut corrigé]]-DebNuit)))</f>
        <v>8.333333333333337E-2</v>
      </c>
      <c r="N5" s="15" t="str">
        <f>IF(OR(WEEKDAY(data[[#This Row],[Date]]+data[[#This Row],[Hfin corrigée]],2)=7,COUNTIF(JF,INT(data[[#This Row],[Date]]+data[[#This Row],[Hfin corrigée]]))=1),"oui","non")</f>
        <v>non</v>
      </c>
      <c r="O5" s="16">
        <f>MAX(0,data[[#This Row],[Hfin corrigée]]-1)-data[[#This Row],[NUIT2.1]]-data[[#This Row],[NUIT2.2]]</f>
        <v>4.1666666666666519E-2</v>
      </c>
      <c r="P5" s="16">
        <f>(MAX(0,MIN(data[[#This Row],[Hfin corrigée]],1+FinNuit)-1))</f>
        <v>0.29166666666666674</v>
      </c>
      <c r="Q5" s="16">
        <f>(MAX(0,(data[[#This Row],[Hfin corrigée]]-DebNuit-1)))</f>
        <v>0</v>
      </c>
      <c r="R5" s="16">
        <f>IF(data[[#This Row],[Garde / Intervention]]="Intervention",MAX(0,data[[#This Row],[Hfin corrigée]]-SUMPRODUCT((data[Date]=data[[#This Row],[Date]])*(data[Garde / Intervention]="Garde")*data[Hfin corrigée])),0)</f>
        <v>0</v>
      </c>
      <c r="S5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0.26388888888888906</v>
      </c>
      <c r="T5" s="18">
        <f>TAUX1*data[[#This Row],[Durée sans interv.]]*24</f>
        <v>19.000000000000014</v>
      </c>
      <c r="U5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5" s="17">
        <f>IF(data[[#This Row],[Garde / Intervention]]="Intervention",(data[[#This Row],[Fin Dim ou Férié]]="oui")*data[[#This Row],[JOUR2]]+(data[[#This Row],[Début Dim ou Férié]]="oui")*data[[#This Row],[JOUR1]],0)</f>
        <v>0</v>
      </c>
      <c r="W5" s="17">
        <f>MAX(0,IF(data[[#This Row],[Garde / Intervention]]="Intervention",data[[#This Row],[NUIT1.1]]+data[[#This Row],[NUIT1.2]]+data[[#This Row],[NUIT2.1]]+data[[#This Row],[NUIT2.2]],0))</f>
        <v>0</v>
      </c>
      <c r="X5" s="18">
        <f>TAUX2*data[[#This Row],[Durée interv. jour]]*24+TAUX3*data[[#This Row],[Durée interv. dim ou férié]]*24+TAUX4*data[[#This Row],[Durée interv. nuit]]*24</f>
        <v>0</v>
      </c>
      <c r="Y5"/>
      <c r="Z5"/>
      <c r="AA5"/>
      <c r="AB5"/>
    </row>
    <row r="6" spans="1:28" x14ac:dyDescent="0.3">
      <c r="A6" s="3">
        <v>43271</v>
      </c>
      <c r="B6" s="28" t="s">
        <v>4</v>
      </c>
      <c r="C6" s="28"/>
      <c r="D6" s="47"/>
      <c r="E6" s="48">
        <v>0.43055555555555602</v>
      </c>
      <c r="F6" s="48">
        <v>0.9916666666666667</v>
      </c>
      <c r="G6" s="45">
        <f>IF(data[[#This Row],[Garde 12 ou 24]]&lt;&gt;"",PPoste,data[[#This Row],[Hdébut interv.]])</f>
        <v>0.43055555555555602</v>
      </c>
      <c r="H6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</v>
      </c>
      <c r="I6" s="15" t="str">
        <f>IF(data[Garde 12 ou 24]&lt;&gt;"","Garde",IF(data[Hdébut corrigé]&lt;&gt;"","Intervention",""))</f>
        <v>Intervention</v>
      </c>
      <c r="J6" s="15" t="str">
        <f>IF(OR(WEEKDAY(data[[#This Row],[Date]],2)=7,COUNTIF(JF,data[[#This Row],[Date]])=1),"oui","non")</f>
        <v>non</v>
      </c>
      <c r="K6" s="16">
        <f>(MIN(1,data[[#This Row],[Hfin corrigée]])-data[[#This Row],[Hdébut corrigé]])-data[[#This Row],[NUIT1.1]]-data[[#This Row],[NUIT1.2]]</f>
        <v>0.48611111111111061</v>
      </c>
      <c r="L6" s="16">
        <f>IF(data[[#This Row],[Hfin Interv.]]="",0,(
MIN(FinNuit,MIN(1,data[[#This Row],[Hfin corrigée]]))-MIN(FinNuit,data[[#This Row],[Hdébut corrigé]])
))</f>
        <v>0</v>
      </c>
      <c r="M6" s="16">
        <f>(MAX(0,(MIN(1,data[[#This Row],[Hfin corrigée]])-DebNuit))-MAX(0,(data[[#This Row],[Hdébut corrigé]]-DebNuit)))</f>
        <v>8.333333333333337E-2</v>
      </c>
      <c r="N6" s="15" t="str">
        <f>IF(OR(WEEKDAY(data[[#This Row],[Date]]+data[[#This Row],[Hfin corrigée]],2)=7,COUNTIF(JF,INT(data[[#This Row],[Date]]+data[[#This Row],[Hfin corrigée]]))=1),"oui","non")</f>
        <v>non</v>
      </c>
      <c r="O6" s="16">
        <f>MAX(0,data[[#This Row],[Hfin corrigée]]-1)-data[[#This Row],[NUIT2.1]]-data[[#This Row],[NUIT2.2]]</f>
        <v>0</v>
      </c>
      <c r="P6" s="16">
        <f>(MAX(0,MIN(data[[#This Row],[Hfin corrigée]],1+FinNuit)-1))</f>
        <v>0</v>
      </c>
      <c r="Q6" s="16">
        <f>(MAX(0,(data[[#This Row],[Hfin corrigée]]-DebNuit-1)))</f>
        <v>0</v>
      </c>
      <c r="R6" s="16">
        <f>IF(data[[#This Row],[Garde / Intervention]]="Intervention",MAX(0,data[[#This Row],[Hfin corrigée]]-SUMPRODUCT((data[Date]=data[[#This Row],[Date]])*(data[Garde / Intervention]="Garde")*data[Hfin corrigée])),0)</f>
        <v>0</v>
      </c>
      <c r="S6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6" s="18">
        <f>TAUX1*data[[#This Row],[Durée sans interv.]]*24</f>
        <v>0</v>
      </c>
      <c r="U6" s="17">
        <f>MAX(0,IF(data[[#This Row],[Garde / Intervention]]="Intervention",(data[[#This Row],[Fin Dim ou Férié]]="non")*data[[#This Row],[JOUR2]]+(data[[#This Row],[Début Dim ou Férié]]="non")*data[[#This Row],[JOUR1]],0))</f>
        <v>0.48611111111111061</v>
      </c>
      <c r="V6" s="17">
        <f>IF(data[[#This Row],[Garde / Intervention]]="Intervention",(data[[#This Row],[Fin Dim ou Férié]]="oui")*data[[#This Row],[JOUR2]]+(data[[#This Row],[Début Dim ou Férié]]="oui")*data[[#This Row],[JOUR1]],0)</f>
        <v>0</v>
      </c>
      <c r="W6" s="17">
        <f>MAX(0,IF(data[[#This Row],[Garde / Intervention]]="Intervention",data[[#This Row],[NUIT1.1]]+data[[#This Row],[NUIT1.2]]+data[[#This Row],[NUIT2.1]]+data[[#This Row],[NUIT2.2]],0))</f>
        <v>8.333333333333337E-2</v>
      </c>
      <c r="X6" s="18">
        <f>TAUX2*data[[#This Row],[Durée interv. jour]]*24+TAUX3*data[[#This Row],[Durée interv. dim ou férié]]*24+TAUX4*data[[#This Row],[Durée interv. nuit]]*24</f>
        <v>58.666666666666622</v>
      </c>
      <c r="Y6"/>
      <c r="Z6"/>
      <c r="AA6"/>
      <c r="AB6"/>
    </row>
    <row r="7" spans="1:28" x14ac:dyDescent="0.3">
      <c r="A7" s="3">
        <v>43271</v>
      </c>
      <c r="B7" s="28" t="s">
        <v>6</v>
      </c>
      <c r="C7" s="28"/>
      <c r="D7" s="47"/>
      <c r="E7" s="48">
        <v>0.14583333333333301</v>
      </c>
      <c r="F7" s="48">
        <v>0.3125</v>
      </c>
      <c r="G7" s="45">
        <f>IF(data[[#This Row],[Garde 12 ou 24]]&lt;&gt;"",PPoste,data[[#This Row],[Hdébut interv.]])</f>
        <v>0.14583333333333301</v>
      </c>
      <c r="H7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0.3125</v>
      </c>
      <c r="I7" s="15" t="str">
        <f>IF(data[Garde 12 ou 24]&lt;&gt;"","Garde",IF(data[Hdébut corrigé]&lt;&gt;"","Intervention",""))</f>
        <v>Intervention</v>
      </c>
      <c r="J7" s="15" t="str">
        <f>IF(OR(WEEKDAY(data[[#This Row],[Date]],2)=7,COUNTIF(JF,data[[#This Row],[Date]])=1),"oui","non")</f>
        <v>non</v>
      </c>
      <c r="K7" s="16">
        <f>(MIN(1,data[[#This Row],[Hfin corrigée]])-data[[#This Row],[Hdébut corrigé]])-data[[#This Row],[NUIT1.1]]-data[[#This Row],[NUIT1.2]]</f>
        <v>2.0833333333333315E-2</v>
      </c>
      <c r="L7" s="16">
        <f>IF(data[[#This Row],[Hfin Interv.]]="",0,(
MIN(FinNuit,MIN(1,data[[#This Row],[Hfin corrigée]]))-MIN(FinNuit,data[[#This Row],[Hdébut corrigé]])
))</f>
        <v>0.14583333333333368</v>
      </c>
      <c r="M7" s="16">
        <f>(MAX(0,(MIN(1,data[[#This Row],[Hfin corrigée]])-DebNuit))-MAX(0,(data[[#This Row],[Hdébut corrigé]]-DebNuit)))</f>
        <v>0</v>
      </c>
      <c r="N7" s="15" t="str">
        <f>IF(OR(WEEKDAY(data[[#This Row],[Date]]+data[[#This Row],[Hfin corrigée]],2)=7,COUNTIF(JF,INT(data[[#This Row],[Date]]+data[[#This Row],[Hfin corrigée]]))=1),"oui","non")</f>
        <v>non</v>
      </c>
      <c r="O7" s="16">
        <f>MAX(0,data[[#This Row],[Hfin corrigée]]-1)-data[[#This Row],[NUIT2.1]]-data[[#This Row],[NUIT2.2]]</f>
        <v>0</v>
      </c>
      <c r="P7" s="16">
        <f>(MAX(0,MIN(data[[#This Row],[Hfin corrigée]],1+FinNuit)-1))</f>
        <v>0</v>
      </c>
      <c r="Q7" s="16">
        <f>(MAX(0,(data[[#This Row],[Hfin corrigée]]-DebNuit-1)))</f>
        <v>0</v>
      </c>
      <c r="R7" s="16">
        <f>IF(data[[#This Row],[Garde / Intervention]]="Intervention",MAX(0,data[[#This Row],[Hfin corrigée]]-SUMPRODUCT((data[Date]=data[[#This Row],[Date]])*(data[Garde / Intervention]="Garde")*data[Hfin corrigée])),0)</f>
        <v>0</v>
      </c>
      <c r="S7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7" s="18">
        <f>TAUX1*data[[#This Row],[Durée sans interv.]]*24</f>
        <v>0</v>
      </c>
      <c r="U7" s="17">
        <f>MAX(0,IF(data[[#This Row],[Garde / Intervention]]="Intervention",(data[[#This Row],[Fin Dim ou Férié]]="non")*data[[#This Row],[JOUR2]]+(data[[#This Row],[Début Dim ou Férié]]="non")*data[[#This Row],[JOUR1]],0))</f>
        <v>2.0833333333333315E-2</v>
      </c>
      <c r="V7" s="17">
        <f>IF(data[[#This Row],[Garde / Intervention]]="Intervention",(data[[#This Row],[Fin Dim ou Férié]]="oui")*data[[#This Row],[JOUR2]]+(data[[#This Row],[Début Dim ou Férié]]="oui")*data[[#This Row],[JOUR1]],0)</f>
        <v>0</v>
      </c>
      <c r="W7" s="17">
        <f>MAX(0,IF(data[[#This Row],[Garde / Intervention]]="Intervention",data[[#This Row],[NUIT1.1]]+data[[#This Row],[NUIT1.2]]+data[[#This Row],[NUIT2.1]]+data[[#This Row],[NUIT2.2]],0))</f>
        <v>0.14583333333333368</v>
      </c>
      <c r="X7" s="18">
        <f>TAUX2*data[[#This Row],[Durée interv. jour]]*24+TAUX3*data[[#This Row],[Durée interv. dim ou férié]]*24+TAUX4*data[[#This Row],[Durée interv. nuit]]*24</f>
        <v>23.00000000000005</v>
      </c>
      <c r="Y7"/>
      <c r="Z7"/>
      <c r="AA7"/>
      <c r="AB7"/>
    </row>
    <row r="8" spans="1:28" x14ac:dyDescent="0.3">
      <c r="A8" s="3">
        <v>43101</v>
      </c>
      <c r="B8" s="28"/>
      <c r="C8" s="28"/>
      <c r="D8" s="47">
        <v>12</v>
      </c>
      <c r="E8" s="48"/>
      <c r="F8" s="48"/>
      <c r="G8" s="45">
        <f>IF(data[[#This Row],[Garde 12 ou 24]]&lt;&gt;"",PPoste,data[[#This Row],[Hdébut interv.]])</f>
        <v>0.33333333333333331</v>
      </c>
      <c r="H8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0.83333333333333326</v>
      </c>
      <c r="I8" s="15" t="str">
        <f>IF(data[Garde 12 ou 24]&lt;&gt;"","Garde",IF(data[Hdébut corrigé]&lt;&gt;"","Intervention",""))</f>
        <v>Garde</v>
      </c>
      <c r="J8" s="15" t="str">
        <f>IF(OR(WEEKDAY(data[[#This Row],[Date]],2)=7,COUNTIF(JF,data[[#This Row],[Date]])=1),"oui","non")</f>
        <v>oui</v>
      </c>
      <c r="K8" s="16">
        <f>(MIN(1,data[[#This Row],[Hfin corrigée]])-data[[#This Row],[Hdébut corrigé]])-data[[#This Row],[NUIT1.1]]-data[[#This Row],[NUIT1.2]]</f>
        <v>0.49999999999999994</v>
      </c>
      <c r="L8" s="16">
        <f>IF(data[[#This Row],[Hfin Interv.]]="",0,(
MIN(FinNuit,MIN(1,data[[#This Row],[Hfin corrigée]]))-MIN(FinNuit,data[[#This Row],[Hdébut corrigé]])
))</f>
        <v>0</v>
      </c>
      <c r="M8" s="16">
        <f>(MAX(0,(MIN(1,data[[#This Row],[Hfin corrigée]])-DebNuit))-MAX(0,(data[[#This Row],[Hdébut corrigé]]-DebNuit)))</f>
        <v>0</v>
      </c>
      <c r="N8" s="15" t="str">
        <f>IF(OR(WEEKDAY(data[[#This Row],[Date]]+data[[#This Row],[Hfin corrigée]],2)=7,COUNTIF(JF,INT(data[[#This Row],[Date]]+data[[#This Row],[Hfin corrigée]]))=1),"oui","non")</f>
        <v>oui</v>
      </c>
      <c r="O8" s="16">
        <f>MAX(0,data[[#This Row],[Hfin corrigée]]-1)-data[[#This Row],[NUIT2.1]]-data[[#This Row],[NUIT2.2]]</f>
        <v>0</v>
      </c>
      <c r="P8" s="16">
        <f>(MAX(0,MIN(data[[#This Row],[Hfin corrigée]],1+FinNuit)-1))</f>
        <v>0</v>
      </c>
      <c r="Q8" s="16">
        <f>(MAX(0,(data[[#This Row],[Hfin corrigée]]-DebNuit-1)))</f>
        <v>0</v>
      </c>
      <c r="R8" s="16">
        <f>IF(data[[#This Row],[Garde / Intervention]]="Intervention",MAX(0,data[[#This Row],[Hfin corrigée]]-SUMPRODUCT((data[Date]=data[[#This Row],[Date]])*(data[Garde / Intervention]="Garde")*data[Hfin corrigée])),0)</f>
        <v>0</v>
      </c>
      <c r="S8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5.9027777777777735E-2</v>
      </c>
      <c r="T8" s="18">
        <f>TAUX1*data[[#This Row],[Durée sans interv.]]*24</f>
        <v>4.2499999999999964</v>
      </c>
      <c r="U8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8" s="17">
        <f>IF(data[[#This Row],[Garde / Intervention]]="Intervention",(data[[#This Row],[Fin Dim ou Férié]]="oui")*data[[#This Row],[JOUR2]]+(data[[#This Row],[Début Dim ou Férié]]="oui")*data[[#This Row],[JOUR1]],0)</f>
        <v>0</v>
      </c>
      <c r="W8" s="17">
        <f>MAX(0,IF(data[[#This Row],[Garde / Intervention]]="Intervention",data[[#This Row],[NUIT1.1]]+data[[#This Row],[NUIT1.2]]+data[[#This Row],[NUIT2.1]]+data[[#This Row],[NUIT2.2]],0))</f>
        <v>0</v>
      </c>
      <c r="X8" s="18">
        <f>TAUX2*data[[#This Row],[Durée interv. jour]]*24+TAUX3*data[[#This Row],[Durée interv. dim ou férié]]*24+TAUX4*data[[#This Row],[Durée interv. nuit]]*24</f>
        <v>0</v>
      </c>
      <c r="Y8"/>
      <c r="Z8"/>
      <c r="AA8"/>
      <c r="AB8"/>
    </row>
    <row r="9" spans="1:28" x14ac:dyDescent="0.3">
      <c r="A9" s="3">
        <v>43101</v>
      </c>
      <c r="B9" s="37" t="s">
        <v>3</v>
      </c>
      <c r="C9" s="3"/>
      <c r="D9" s="47"/>
      <c r="E9" s="48">
        <v>0.33333333333333331</v>
      </c>
      <c r="F9" s="48">
        <v>0.56597222222222221</v>
      </c>
      <c r="G9" s="45">
        <f>IF(data[[#This Row],[Garde 12 ou 24]]&lt;&gt;"",PPoste,data[[#This Row],[Hdébut interv.]])</f>
        <v>0.33333333333333331</v>
      </c>
      <c r="H9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0.57291666666666663</v>
      </c>
      <c r="I9" s="38" t="str">
        <f>IF(data[Garde 12 ou 24]&lt;&gt;"","Garde",IF(data[Hdébut corrigé]&lt;&gt;"","Intervention",""))</f>
        <v>Intervention</v>
      </c>
      <c r="J9" s="39" t="str">
        <f>IF(OR(WEEKDAY(data[[#This Row],[Date]],2)=7,COUNTIF(JF,data[[#This Row],[Date]])=1),"oui","non")</f>
        <v>oui</v>
      </c>
      <c r="K9" s="40">
        <f>(MIN(1,data[[#This Row],[Hfin corrigée]])-data[[#This Row],[Hdébut corrigé]])-data[[#This Row],[NUIT1.1]]-data[[#This Row],[NUIT1.2]]</f>
        <v>0.23958333333333331</v>
      </c>
      <c r="L9" s="40">
        <f>IF(data[[#This Row],[Hfin Interv.]]="",0,(
MIN(FinNuit,MIN(1,data[[#This Row],[Hfin corrigée]]))-MIN(FinNuit,data[[#This Row],[Hdébut corrigé]])
))</f>
        <v>0</v>
      </c>
      <c r="M9" s="40">
        <f>(MAX(0,(MIN(1,data[[#This Row],[Hfin corrigée]])-DebNuit))-MAX(0,(data[[#This Row],[Hdébut corrigé]]-DebNuit)))</f>
        <v>0</v>
      </c>
      <c r="N9" s="39" t="str">
        <f>IF(OR(WEEKDAY(data[[#This Row],[Date]]+data[[#This Row],[Hfin corrigée]],2)=7,COUNTIF(JF,INT(data[[#This Row],[Date]]+data[[#This Row],[Hfin corrigée]]))=1),"oui","non")</f>
        <v>oui</v>
      </c>
      <c r="O9" s="40">
        <f>MAX(0,data[[#This Row],[Hfin corrigée]]-1)-data[[#This Row],[NUIT2.1]]-data[[#This Row],[NUIT2.2]]</f>
        <v>0</v>
      </c>
      <c r="P9" s="40">
        <f>(MAX(0,MIN(data[[#This Row],[Hfin corrigée]],1+FinNuit)-1))</f>
        <v>0</v>
      </c>
      <c r="Q9" s="40">
        <f>(MAX(0,(data[[#This Row],[Hfin corrigée]]-DebNuit-1)))</f>
        <v>0</v>
      </c>
      <c r="R9" s="40">
        <f>IF(data[[#This Row],[Garde / Intervention]]="Intervention",MAX(0,data[[#This Row],[Hfin corrigée]]-SUMPRODUCT((data[Date]=data[[#This Row],[Date]])*(data[Garde / Intervention]="Garde")*data[Hfin corrigée])),0)</f>
        <v>0</v>
      </c>
      <c r="S9" s="41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9" s="42">
        <f>TAUX1*data[[#This Row],[Durée sans interv.]]*24</f>
        <v>0</v>
      </c>
      <c r="U9" s="41">
        <f>MAX(0,IF(data[[#This Row],[Garde / Intervention]]="Intervention",(data[[#This Row],[Fin Dim ou Férié]]="non")*data[[#This Row],[JOUR2]]+(data[[#This Row],[Début Dim ou Férié]]="non")*data[[#This Row],[JOUR1]],0))</f>
        <v>0</v>
      </c>
      <c r="V9" s="43">
        <f>IF(data[[#This Row],[Garde / Intervention]]="Intervention",(data[[#This Row],[Fin Dim ou Férié]]="oui")*data[[#This Row],[JOUR2]]+(data[[#This Row],[Début Dim ou Férié]]="oui")*data[[#This Row],[JOUR1]],0)</f>
        <v>0.23958333333333331</v>
      </c>
      <c r="W9" s="44">
        <f>MAX(0,IF(data[[#This Row],[Garde / Intervention]]="Intervention",data[[#This Row],[NUIT1.1]]+data[[#This Row],[NUIT1.2]]+data[[#This Row],[NUIT2.1]]+data[[#This Row],[NUIT2.2]],0))</f>
        <v>0</v>
      </c>
      <c r="X9" s="42">
        <f>TAUX2*data[[#This Row],[Durée interv. jour]]*24+TAUX3*data[[#This Row],[Durée interv. dim ou férié]]*24+TAUX4*data[[#This Row],[Durée interv. nuit]]*24</f>
        <v>28.749999999999996</v>
      </c>
    </row>
    <row r="10" spans="1:28" x14ac:dyDescent="0.3">
      <c r="A10" s="3">
        <v>43101</v>
      </c>
      <c r="B10" s="37" t="s">
        <v>3</v>
      </c>
      <c r="C10" s="3"/>
      <c r="D10" s="47"/>
      <c r="E10" s="48">
        <v>0.56944444444444442</v>
      </c>
      <c r="F10" s="48">
        <v>0.70972222222222225</v>
      </c>
      <c r="G10" s="45">
        <f>IF(data[[#This Row],[Garde 12 ou 24]]&lt;&gt;"",PPoste,data[[#This Row],[Hdébut interv.]])</f>
        <v>0.56944444444444442</v>
      </c>
      <c r="H10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0.71875</v>
      </c>
      <c r="I10" s="38" t="str">
        <f>IF(data[Garde 12 ou 24]&lt;&gt;"","Garde",IF(data[Hdébut corrigé]&lt;&gt;"","Intervention",""))</f>
        <v>Intervention</v>
      </c>
      <c r="J10" s="39" t="str">
        <f>IF(OR(WEEKDAY(data[[#This Row],[Date]],2)=7,COUNTIF(JF,data[[#This Row],[Date]])=1),"oui","non")</f>
        <v>oui</v>
      </c>
      <c r="K10" s="40">
        <f>(MIN(1,data[[#This Row],[Hfin corrigée]])-data[[#This Row],[Hdébut corrigé]])-data[[#This Row],[NUIT1.1]]-data[[#This Row],[NUIT1.2]]</f>
        <v>0.14930555555555558</v>
      </c>
      <c r="L10" s="40">
        <f>IF(data[[#This Row],[Hfin Interv.]]="",0,(
MIN(FinNuit,MIN(1,data[[#This Row],[Hfin corrigée]]))-MIN(FinNuit,data[[#This Row],[Hdébut corrigé]])
))</f>
        <v>0</v>
      </c>
      <c r="M10" s="40">
        <f>(MAX(0,(MIN(1,data[[#This Row],[Hfin corrigée]])-DebNuit))-MAX(0,(data[[#This Row],[Hdébut corrigé]]-DebNuit)))</f>
        <v>0</v>
      </c>
      <c r="N10" s="39" t="str">
        <f>IF(OR(WEEKDAY(data[[#This Row],[Date]]+data[[#This Row],[Hfin corrigée]],2)=7,COUNTIF(JF,INT(data[[#This Row],[Date]]+data[[#This Row],[Hfin corrigée]]))=1),"oui","non")</f>
        <v>oui</v>
      </c>
      <c r="O10" s="40">
        <f>MAX(0,data[[#This Row],[Hfin corrigée]]-1)-data[[#This Row],[NUIT2.1]]-data[[#This Row],[NUIT2.2]]</f>
        <v>0</v>
      </c>
      <c r="P10" s="40">
        <f>(MAX(0,MIN(data[[#This Row],[Hfin corrigée]],1+FinNuit)-1))</f>
        <v>0</v>
      </c>
      <c r="Q10" s="40">
        <f>(MAX(0,(data[[#This Row],[Hfin corrigée]]-DebNuit-1)))</f>
        <v>0</v>
      </c>
      <c r="R10" s="40">
        <f>IF(data[[#This Row],[Garde / Intervention]]="Intervention",MAX(0,data[[#This Row],[Hfin corrigée]]-SUMPRODUCT((data[Date]=data[[#This Row],[Date]])*(data[Garde / Intervention]="Garde")*data[Hfin corrigée])),0)</f>
        <v>0</v>
      </c>
      <c r="S10" s="41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10" s="42">
        <f>TAUX1*data[[#This Row],[Durée sans interv.]]*24</f>
        <v>0</v>
      </c>
      <c r="U10" s="41">
        <f>MAX(0,IF(data[[#This Row],[Garde / Intervention]]="Intervention",(data[[#This Row],[Fin Dim ou Férié]]="non")*data[[#This Row],[JOUR2]]+(data[[#This Row],[Début Dim ou Férié]]="non")*data[[#This Row],[JOUR1]],0))</f>
        <v>0</v>
      </c>
      <c r="V10" s="43">
        <f>IF(data[[#This Row],[Garde / Intervention]]="Intervention",(data[[#This Row],[Fin Dim ou Férié]]="oui")*data[[#This Row],[JOUR2]]+(data[[#This Row],[Début Dim ou Férié]]="oui")*data[[#This Row],[JOUR1]],0)</f>
        <v>0.14930555555555558</v>
      </c>
      <c r="W10" s="41">
        <f>MAX(0,IF(data[[#This Row],[Garde / Intervention]]="Intervention",data[[#This Row],[NUIT1.1]]+data[[#This Row],[NUIT1.2]]+data[[#This Row],[NUIT2.1]]+data[[#This Row],[NUIT2.2]],0))</f>
        <v>0</v>
      </c>
      <c r="X10" s="42">
        <f>TAUX2*data[[#This Row],[Durée interv. jour]]*24+TAUX3*data[[#This Row],[Durée interv. dim ou férié]]*24+TAUX4*data[[#This Row],[Durée interv. nuit]]*24</f>
        <v>17.916666666666671</v>
      </c>
    </row>
    <row r="11" spans="1:28" x14ac:dyDescent="0.3">
      <c r="A11" s="3">
        <v>43101</v>
      </c>
      <c r="B11" s="37" t="s">
        <v>3</v>
      </c>
      <c r="C11" s="3"/>
      <c r="D11" s="47"/>
      <c r="E11" s="48">
        <v>0.78125</v>
      </c>
      <c r="F11" s="48">
        <v>0.84513888888888899</v>
      </c>
      <c r="G11" s="45">
        <f>IF(data[[#This Row],[Garde 12 ou 24]]&lt;&gt;"",PPoste,data[[#This Row],[Hdébut interv.]])</f>
        <v>0.78125</v>
      </c>
      <c r="H11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0.85416666666666663</v>
      </c>
      <c r="I11" s="38" t="str">
        <f>IF(data[Garde 12 ou 24]&lt;&gt;"","Garde",IF(data[Hdébut corrigé]&lt;&gt;"","Intervention",""))</f>
        <v>Intervention</v>
      </c>
      <c r="J11" s="39" t="str">
        <f>IF(OR(WEEKDAY(data[[#This Row],[Date]],2)=7,COUNTIF(JF,data[[#This Row],[Date]])=1),"oui","non")</f>
        <v>oui</v>
      </c>
      <c r="K11" s="40">
        <f>(MIN(1,data[[#This Row],[Hfin corrigée]])-data[[#This Row],[Hdébut corrigé]])-data[[#This Row],[NUIT1.1]]-data[[#This Row],[NUIT1.2]]</f>
        <v>7.291666666666663E-2</v>
      </c>
      <c r="L11" s="40">
        <f>IF(data[[#This Row],[Hfin Interv.]]="",0,(
MIN(FinNuit,MIN(1,data[[#This Row],[Hfin corrigée]]))-MIN(FinNuit,data[[#This Row],[Hdébut corrigé]])
))</f>
        <v>0</v>
      </c>
      <c r="M11" s="40">
        <f>(MAX(0,(MIN(1,data[[#This Row],[Hfin corrigée]])-DebNuit))-MAX(0,(data[[#This Row],[Hdébut corrigé]]-DebNuit)))</f>
        <v>0</v>
      </c>
      <c r="N11" s="39" t="str">
        <f>IF(OR(WEEKDAY(data[[#This Row],[Date]]+data[[#This Row],[Hfin corrigée]],2)=7,COUNTIF(JF,INT(data[[#This Row],[Date]]+data[[#This Row],[Hfin corrigée]]))=1),"oui","non")</f>
        <v>oui</v>
      </c>
      <c r="O11" s="40">
        <f>MAX(0,data[[#This Row],[Hfin corrigée]]-1)-data[[#This Row],[NUIT2.1]]-data[[#This Row],[NUIT2.2]]</f>
        <v>0</v>
      </c>
      <c r="P11" s="40">
        <f>(MAX(0,MIN(data[[#This Row],[Hfin corrigée]],1+FinNuit)-1))</f>
        <v>0</v>
      </c>
      <c r="Q11" s="40">
        <f>(MAX(0,(data[[#This Row],[Hfin corrigée]]-DebNuit-1)))</f>
        <v>0</v>
      </c>
      <c r="R11" s="40">
        <f>IF(data[[#This Row],[Garde / Intervention]]="Intervention",MAX(0,data[[#This Row],[Hfin corrigée]]-SUMPRODUCT((data[Date]=data[[#This Row],[Date]])*(data[Garde / Intervention]="Garde")*data[Hfin corrigée])),0)</f>
        <v>2.083333333333337E-2</v>
      </c>
      <c r="S11" s="41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11" s="42">
        <f>TAUX1*data[[#This Row],[Durée sans interv.]]*24</f>
        <v>0</v>
      </c>
      <c r="U11" s="41">
        <f>MAX(0,IF(data[[#This Row],[Garde / Intervention]]="Intervention",(data[[#This Row],[Fin Dim ou Férié]]="non")*data[[#This Row],[JOUR2]]+(data[[#This Row],[Début Dim ou Férié]]="non")*data[[#This Row],[JOUR1]],0))</f>
        <v>0</v>
      </c>
      <c r="V11" s="43">
        <f>IF(data[[#This Row],[Garde / Intervention]]="Intervention",(data[[#This Row],[Fin Dim ou Férié]]="oui")*data[[#This Row],[JOUR2]]+(data[[#This Row],[Début Dim ou Férié]]="oui")*data[[#This Row],[JOUR1]],0)</f>
        <v>7.291666666666663E-2</v>
      </c>
      <c r="W11" s="41">
        <f>MAX(0,IF(data[[#This Row],[Garde / Intervention]]="Intervention",data[[#This Row],[NUIT1.1]]+data[[#This Row],[NUIT1.2]]+data[[#This Row],[NUIT2.1]]+data[[#This Row],[NUIT2.2]],0))</f>
        <v>0</v>
      </c>
      <c r="X11" s="42">
        <f>TAUX2*data[[#This Row],[Durée interv. jour]]*24+TAUX3*data[[#This Row],[Durée interv. dim ou férié]]*24+TAUX4*data[[#This Row],[Durée interv. nuit]]*24</f>
        <v>8.7499999999999964</v>
      </c>
    </row>
    <row r="12" spans="1:28" x14ac:dyDescent="0.3">
      <c r="A12" s="3">
        <v>43295</v>
      </c>
      <c r="B12" s="28"/>
      <c r="C12" s="28"/>
      <c r="D12" s="47">
        <v>24</v>
      </c>
      <c r="E12" s="48"/>
      <c r="F12" s="48"/>
      <c r="G12" s="45">
        <f>IF(data[[#This Row],[Garde 12 ou 24]]&lt;&gt;"",PPoste,data[[#This Row],[Hdébut interv.]])</f>
        <v>0.33333333333333331</v>
      </c>
      <c r="H12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1.3333333333333333</v>
      </c>
      <c r="I12" s="15" t="str">
        <f>IF(data[Garde 12 ou 24]&lt;&gt;"","Garde",IF(data[Hdébut corrigé]&lt;&gt;"","Intervention",""))</f>
        <v>Garde</v>
      </c>
      <c r="J12" s="15" t="str">
        <f>IF(OR(WEEKDAY(data[[#This Row],[Date]],2)=7,COUNTIF(JF,data[[#This Row],[Date]])=1),"oui","non")</f>
        <v>oui</v>
      </c>
      <c r="K12" s="16">
        <f>(MIN(1,data[[#This Row],[Hfin corrigée]])-data[[#This Row],[Hdébut corrigé]])-data[[#This Row],[NUIT1.1]]-data[[#This Row],[NUIT1.2]]</f>
        <v>0.58333333333333337</v>
      </c>
      <c r="L12" s="16">
        <f>IF(data[[#This Row],[Hfin Interv.]]="",0,(
MIN(FinNuit,MIN(1,data[[#This Row],[Hfin corrigée]]))-MIN(FinNuit,data[[#This Row],[Hdébut corrigé]])
))</f>
        <v>0</v>
      </c>
      <c r="M12" s="16">
        <f>(MAX(0,(MIN(1,data[[#This Row],[Hfin corrigée]])-DebNuit))-MAX(0,(data[[#This Row],[Hdébut corrigé]]-DebNuit)))</f>
        <v>8.333333333333337E-2</v>
      </c>
      <c r="N12" s="15" t="str">
        <f>IF(OR(WEEKDAY(data[[#This Row],[Date]]+data[[#This Row],[Hfin corrigée]],2)=7,COUNTIF(JF,INT(data[[#This Row],[Date]]+data[[#This Row],[Hfin corrigée]]))=1),"oui","non")</f>
        <v>oui</v>
      </c>
      <c r="O12" s="16">
        <f>MAX(0,data[[#This Row],[Hfin corrigée]]-1)-data[[#This Row],[NUIT2.1]]-data[[#This Row],[NUIT2.2]]</f>
        <v>4.1666666666666519E-2</v>
      </c>
      <c r="P12" s="16">
        <f>(MAX(0,MIN(data[[#This Row],[Hfin corrigée]],1+FinNuit)-1))</f>
        <v>0.29166666666666674</v>
      </c>
      <c r="Q12" s="16">
        <f>(MAX(0,(data[[#This Row],[Hfin corrigée]]-DebNuit-1)))</f>
        <v>0</v>
      </c>
      <c r="R12" s="16">
        <f>IF(data[[#This Row],[Garde / Intervention]]="Intervention",MAX(0,data[[#This Row],[Hfin corrigée]]-SUMPRODUCT((data[Date]=data[[#This Row],[Date]])*(data[Garde / Intervention]="Garde")*data[Hfin corrigée])),0)</f>
        <v>0</v>
      </c>
      <c r="S12" s="17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0.61805555555555558</v>
      </c>
      <c r="T12" s="18">
        <f>TAUX1*data[[#This Row],[Durée sans interv.]]*24</f>
        <v>44.5</v>
      </c>
      <c r="U12" s="17">
        <f>MAX(0,IF(data[[#This Row],[Garde / Intervention]]="Intervention",(data[[#This Row],[Fin Dim ou Férié]]="non")*data[[#This Row],[JOUR2]]+(data[[#This Row],[Début Dim ou Férié]]="non")*data[[#This Row],[JOUR1]],0))</f>
        <v>0</v>
      </c>
      <c r="V12" s="17">
        <f>IF(data[[#This Row],[Garde / Intervention]]="Intervention",(data[[#This Row],[Fin Dim ou Férié]]="oui")*data[[#This Row],[JOUR2]]+(data[[#This Row],[Début Dim ou Férié]]="oui")*data[[#This Row],[JOUR1]],0)</f>
        <v>0</v>
      </c>
      <c r="W12" s="17">
        <f>MAX(0,IF(data[[#This Row],[Garde / Intervention]]="Intervention",data[[#This Row],[NUIT1.1]]+data[[#This Row],[NUIT1.2]]+data[[#This Row],[NUIT2.1]]+data[[#This Row],[NUIT2.2]],0))</f>
        <v>0</v>
      </c>
      <c r="X12" s="18">
        <f>TAUX2*data[[#This Row],[Durée interv. jour]]*24+TAUX3*data[[#This Row],[Durée interv. dim ou férié]]*24+TAUX4*data[[#This Row],[Durée interv. nuit]]*24</f>
        <v>0</v>
      </c>
      <c r="Y12"/>
      <c r="Z12"/>
      <c r="AA12"/>
      <c r="AB12"/>
    </row>
    <row r="13" spans="1:28" x14ac:dyDescent="0.3">
      <c r="A13" s="3">
        <v>43295</v>
      </c>
      <c r="B13" s="37" t="s">
        <v>5</v>
      </c>
      <c r="C13" s="3"/>
      <c r="D13" s="47"/>
      <c r="E13" s="48">
        <v>0.4201388888888889</v>
      </c>
      <c r="F13" s="48">
        <v>0.59166666666666667</v>
      </c>
      <c r="G13" s="45">
        <f>IF(data[[#This Row],[Garde 12 ou 24]]&lt;&gt;"",PPoste,data[[#This Row],[Hdébut interv.]])</f>
        <v>0.4201388888888889</v>
      </c>
      <c r="H13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0.59375</v>
      </c>
      <c r="I13" s="38" t="str">
        <f>IF(data[Garde 12 ou 24]&lt;&gt;"","Garde",IF(data[Hdébut corrigé]&lt;&gt;"","Intervention",""))</f>
        <v>Intervention</v>
      </c>
      <c r="J13" s="39" t="str">
        <f>IF(OR(WEEKDAY(data[[#This Row],[Date]],2)=7,COUNTIF(JF,data[[#This Row],[Date]])=1),"oui","non")</f>
        <v>oui</v>
      </c>
      <c r="K13" s="40">
        <f>(MIN(1,data[[#This Row],[Hfin corrigée]])-data[[#This Row],[Hdébut corrigé]])-data[[#This Row],[NUIT1.1]]-data[[#This Row],[NUIT1.2]]</f>
        <v>0.1736111111111111</v>
      </c>
      <c r="L13" s="40">
        <f>IF(data[[#This Row],[Hfin Interv.]]="",0,(
MIN(FinNuit,MIN(1,data[[#This Row],[Hfin corrigée]]))-MIN(FinNuit,data[[#This Row],[Hdébut corrigé]])
))</f>
        <v>0</v>
      </c>
      <c r="M13" s="40">
        <f>(MAX(0,(MIN(1,data[[#This Row],[Hfin corrigée]])-DebNuit))-MAX(0,(data[[#This Row],[Hdébut corrigé]]-DebNuit)))</f>
        <v>0</v>
      </c>
      <c r="N13" s="39" t="str">
        <f>IF(OR(WEEKDAY(data[[#This Row],[Date]]+data[[#This Row],[Hfin corrigée]],2)=7,COUNTIF(JF,INT(data[[#This Row],[Date]]+data[[#This Row],[Hfin corrigée]]))=1),"oui","non")</f>
        <v>oui</v>
      </c>
      <c r="O13" s="40">
        <f>MAX(0,data[[#This Row],[Hfin corrigée]]-1)-data[[#This Row],[NUIT2.1]]-data[[#This Row],[NUIT2.2]]</f>
        <v>0</v>
      </c>
      <c r="P13" s="40">
        <f>(MAX(0,MIN(data[[#This Row],[Hfin corrigée]],1+FinNuit)-1))</f>
        <v>0</v>
      </c>
      <c r="Q13" s="40">
        <f>(MAX(0,(data[[#This Row],[Hfin corrigée]]-DebNuit-1)))</f>
        <v>0</v>
      </c>
      <c r="R13" s="40">
        <f>IF(data[[#This Row],[Garde / Intervention]]="Intervention",MAX(0,data[[#This Row],[Hfin corrigée]]-SUMPRODUCT((data[Date]=data[[#This Row],[Date]])*(data[Garde / Intervention]="Garde")*data[Hfin corrigée])),0)</f>
        <v>0</v>
      </c>
      <c r="S13" s="41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13" s="42">
        <f>TAUX1*data[[#This Row],[Durée sans interv.]]*24</f>
        <v>0</v>
      </c>
      <c r="U13" s="41">
        <f>MAX(0,IF(data[[#This Row],[Garde / Intervention]]="Intervention",(data[[#This Row],[Fin Dim ou Férié]]="non")*data[[#This Row],[JOUR2]]+(data[[#This Row],[Début Dim ou Férié]]="non")*data[[#This Row],[JOUR1]],0))</f>
        <v>0</v>
      </c>
      <c r="V13" s="43">
        <f>IF(data[[#This Row],[Garde / Intervention]]="Intervention",(data[[#This Row],[Fin Dim ou Férié]]="oui")*data[[#This Row],[JOUR2]]+(data[[#This Row],[Début Dim ou Férié]]="oui")*data[[#This Row],[JOUR1]],0)</f>
        <v>0.1736111111111111</v>
      </c>
      <c r="W13" s="41">
        <f>MAX(0,IF(data[[#This Row],[Garde / Intervention]]="Intervention",data[[#This Row],[NUIT1.1]]+data[[#This Row],[NUIT1.2]]+data[[#This Row],[NUIT2.1]]+data[[#This Row],[NUIT2.2]],0))</f>
        <v>0</v>
      </c>
      <c r="X13" s="42">
        <f>TAUX2*data[[#This Row],[Durée interv. jour]]*24+TAUX3*data[[#This Row],[Durée interv. dim ou férié]]*24+TAUX4*data[[#This Row],[Durée interv. nuit]]*24</f>
        <v>20.833333333333336</v>
      </c>
    </row>
    <row r="14" spans="1:28" x14ac:dyDescent="0.3">
      <c r="A14" s="3">
        <v>43295</v>
      </c>
      <c r="B14" s="37" t="s">
        <v>5</v>
      </c>
      <c r="C14" s="3"/>
      <c r="D14" s="47"/>
      <c r="E14" s="48">
        <v>0.79166666666666663</v>
      </c>
      <c r="F14" s="48">
        <v>0.99861111111111101</v>
      </c>
      <c r="G14" s="45">
        <f>IF(data[[#This Row],[Garde 12 ou 24]]&lt;&gt;"",PPoste,data[[#This Row],[Hdébut interv.]])</f>
        <v>0.79166666666666663</v>
      </c>
      <c r="H14" s="46">
        <f>IF(data[[#This Row],[Garde 12 ou 24]]&lt;&gt;"",PPoste+data[[#This Row],[Garde 12 ou 24]]/24,IF(data[[#This Row],[Hfin Interv.]]="",0,ROUNDUP(data[[#This Row],[Hfin Interv.]]*24*4,0)/4/24+IF(data[[#This Row],[Hfin Interv.]]&gt;data[[#This Row],[Hdébut interv.]],0,1)))</f>
        <v>1</v>
      </c>
      <c r="I14" s="38" t="str">
        <f>IF(data[Garde 12 ou 24]&lt;&gt;"","Garde",IF(data[Hdébut corrigé]&lt;&gt;"","Intervention",""))</f>
        <v>Intervention</v>
      </c>
      <c r="J14" s="39" t="str">
        <f>IF(OR(WEEKDAY(data[[#This Row],[Date]],2)=7,COUNTIF(JF,data[[#This Row],[Date]])=1),"oui","non")</f>
        <v>oui</v>
      </c>
      <c r="K14" s="40">
        <f>(MIN(1,data[[#This Row],[Hfin corrigée]])-data[[#This Row],[Hdébut corrigé]])-data[[#This Row],[NUIT1.1]]-data[[#This Row],[NUIT1.2]]</f>
        <v>0.125</v>
      </c>
      <c r="L14" s="40">
        <f>IF(data[[#This Row],[Hfin Interv.]]="",0,(
MIN(FinNuit,MIN(1,data[[#This Row],[Hfin corrigée]]))-MIN(FinNuit,data[[#This Row],[Hdébut corrigé]])
))</f>
        <v>0</v>
      </c>
      <c r="M14" s="40">
        <f>(MAX(0,(MIN(1,data[[#This Row],[Hfin corrigée]])-DebNuit))-MAX(0,(data[[#This Row],[Hdébut corrigé]]-DebNuit)))</f>
        <v>8.333333333333337E-2</v>
      </c>
      <c r="N14" s="39" t="str">
        <f>IF(OR(WEEKDAY(data[[#This Row],[Date]]+data[[#This Row],[Hfin corrigée]],2)=7,COUNTIF(JF,INT(data[[#This Row],[Date]]+data[[#This Row],[Hfin corrigée]]))=1),"oui","non")</f>
        <v>oui</v>
      </c>
      <c r="O14" s="40">
        <f>MAX(0,data[[#This Row],[Hfin corrigée]]-1)-data[[#This Row],[NUIT2.1]]-data[[#This Row],[NUIT2.2]]</f>
        <v>0</v>
      </c>
      <c r="P14" s="40">
        <f>(MAX(0,MIN(data[[#This Row],[Hfin corrigée]],1+FinNuit)-1))</f>
        <v>0</v>
      </c>
      <c r="Q14" s="40">
        <f>(MAX(0,(data[[#This Row],[Hfin corrigée]]-DebNuit-1)))</f>
        <v>0</v>
      </c>
      <c r="R14" s="40">
        <f>IF(data[[#This Row],[Garde / Intervention]]="Intervention",MAX(0,data[[#This Row],[Hfin corrigée]]-SUMPRODUCT((data[Date]=data[[#This Row],[Date]])*(data[Garde / Intervention]="Garde")*data[Hfin corrigée])),0)</f>
        <v>0</v>
      </c>
      <c r="S14" s="41">
        <f>MAX(0,IF(data[[#This Row],[Garde / Intervention]]="Garde",data[[#This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T14" s="42">
        <f>TAUX1*data[[#This Row],[Durée sans interv.]]*24</f>
        <v>0</v>
      </c>
      <c r="U14" s="41">
        <f>MAX(0,IF(data[[#This Row],[Garde / Intervention]]="Intervention",(data[[#This Row],[Fin Dim ou Férié]]="non")*data[[#This Row],[JOUR2]]+(data[[#This Row],[Début Dim ou Férié]]="non")*data[[#This Row],[JOUR1]],0))</f>
        <v>0</v>
      </c>
      <c r="V14" s="43">
        <f>IF(data[[#This Row],[Garde / Intervention]]="Intervention",(data[[#This Row],[Fin Dim ou Férié]]="oui")*data[[#This Row],[JOUR2]]+(data[[#This Row],[Début Dim ou Férié]]="oui")*data[[#This Row],[JOUR1]],0)</f>
        <v>0.125</v>
      </c>
      <c r="W14" s="41">
        <f>MAX(0,IF(data[[#This Row],[Garde / Intervention]]="Intervention",data[[#This Row],[NUIT1.1]]+data[[#This Row],[NUIT1.2]]+data[[#This Row],[NUIT2.1]]+data[[#This Row],[NUIT2.2]],0))</f>
        <v>8.333333333333337E-2</v>
      </c>
      <c r="X14" s="42">
        <f>TAUX2*data[[#This Row],[Durée interv. jour]]*24+TAUX3*data[[#This Row],[Durée interv. dim ou férié]]*24+TAUX4*data[[#This Row],[Durée interv. nuit]]*24</f>
        <v>27.000000000000007</v>
      </c>
    </row>
  </sheetData>
  <dataValidations count="2">
    <dataValidation type="list" allowBlank="1" showInputMessage="1" showErrorMessage="1" sqref="D2:D14" xr:uid="{00000000-0002-0000-0000-000000000000}">
      <formula1>garde</formula1>
    </dataValidation>
    <dataValidation type="list" allowBlank="1" showInputMessage="1" showErrorMessage="1" sqref="B2:B14" xr:uid="{00000000-0002-0000-0000-000001000000}">
      <formula1>véhicule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7"/>
  <sheetViews>
    <sheetView tabSelected="1" workbookViewId="0">
      <selection activeCell="I5" sqref="I5"/>
    </sheetView>
  </sheetViews>
  <sheetFormatPr baseColWidth="10" defaultRowHeight="14.4" x14ac:dyDescent="0.3"/>
  <cols>
    <col min="1" max="1" width="11.77734375" bestFit="1" customWidth="1"/>
    <col min="2" max="2" width="7.21875" bestFit="1" customWidth="1"/>
    <col min="3" max="3" width="7.109375" customWidth="1"/>
    <col min="4" max="4" width="23.5546875" bestFit="1" customWidth="1"/>
    <col min="5" max="5" width="24.109375" bestFit="1" customWidth="1"/>
    <col min="6" max="6" width="23.21875" bestFit="1" customWidth="1"/>
    <col min="7" max="7" width="16.5546875" bestFit="1" customWidth="1"/>
    <col min="8" max="8" width="13" bestFit="1" customWidth="1"/>
  </cols>
  <sheetData>
    <row r="3" spans="1:5" x14ac:dyDescent="0.3">
      <c r="D3" s="30" t="s">
        <v>44</v>
      </c>
    </row>
    <row r="4" spans="1:5" x14ac:dyDescent="0.3">
      <c r="A4" s="30" t="s">
        <v>46</v>
      </c>
      <c r="B4" s="30" t="s">
        <v>47</v>
      </c>
      <c r="C4" s="30" t="s">
        <v>0</v>
      </c>
      <c r="D4" t="s">
        <v>45</v>
      </c>
      <c r="E4" t="s">
        <v>43</v>
      </c>
    </row>
    <row r="5" spans="1:5" x14ac:dyDescent="0.3">
      <c r="A5" t="s">
        <v>48</v>
      </c>
      <c r="B5" t="s">
        <v>49</v>
      </c>
      <c r="C5" s="3" t="s">
        <v>50</v>
      </c>
      <c r="D5" s="33">
        <v>49.750000000000007</v>
      </c>
      <c r="E5" s="32">
        <v>36.166666666666657</v>
      </c>
    </row>
    <row r="6" spans="1:5" x14ac:dyDescent="0.3">
      <c r="B6" t="s">
        <v>51</v>
      </c>
      <c r="C6" s="3" t="s">
        <v>52</v>
      </c>
      <c r="D6" s="33">
        <v>19.000000000000014</v>
      </c>
      <c r="E6" s="32">
        <v>81.666666666666671</v>
      </c>
    </row>
    <row r="7" spans="1:5" x14ac:dyDescent="0.3">
      <c r="A7" t="s">
        <v>40</v>
      </c>
      <c r="D7" s="33">
        <v>68.750000000000028</v>
      </c>
      <c r="E7" s="32">
        <v>117.83333333333333</v>
      </c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3"/>
  <sheetViews>
    <sheetView workbookViewId="0">
      <selection activeCell="B9" sqref="B9"/>
    </sheetView>
  </sheetViews>
  <sheetFormatPr baseColWidth="10" defaultRowHeight="14.4" x14ac:dyDescent="0.3"/>
  <cols>
    <col min="1" max="1" width="18.33203125" bestFit="1" customWidth="1"/>
  </cols>
  <sheetData>
    <row r="1" spans="1:17" s="36" customFormat="1" x14ac:dyDescent="0.3">
      <c r="A1" s="34" t="s">
        <v>11</v>
      </c>
      <c r="B1" s="35">
        <v>2018</v>
      </c>
      <c r="C1" s="35">
        <v>2019</v>
      </c>
      <c r="D1" s="35">
        <v>2020</v>
      </c>
      <c r="E1" s="35">
        <v>2021</v>
      </c>
      <c r="F1" s="35">
        <v>2022</v>
      </c>
      <c r="G1" s="35">
        <v>2023</v>
      </c>
      <c r="H1" s="35">
        <v>2024</v>
      </c>
      <c r="I1" s="35">
        <v>2025</v>
      </c>
      <c r="J1" s="35">
        <v>2026</v>
      </c>
      <c r="K1" s="35">
        <v>2027</v>
      </c>
      <c r="L1" s="35">
        <v>2028</v>
      </c>
      <c r="M1" s="35">
        <v>2029</v>
      </c>
      <c r="N1" s="35">
        <v>2030</v>
      </c>
      <c r="O1" s="35">
        <v>2031</v>
      </c>
      <c r="P1" s="35">
        <v>2032</v>
      </c>
      <c r="Q1" s="35">
        <v>2033</v>
      </c>
    </row>
    <row r="2" spans="1:17" x14ac:dyDescent="0.3">
      <c r="A2" s="1" t="s">
        <v>53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">
      <c r="A3" s="1" t="s">
        <v>54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">
      <c r="A4" s="1" t="s">
        <v>7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">
      <c r="A5" s="1" t="s">
        <v>55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">
      <c r="A6" s="1" t="s">
        <v>56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">
      <c r="A7" s="1" t="s">
        <v>57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">
      <c r="A8" s="1" t="s">
        <v>58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">
      <c r="A9" s="1" t="s">
        <v>59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">
      <c r="A10" s="1" t="s">
        <v>8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">
      <c r="A11" s="1" t="s">
        <v>60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">
      <c r="A12" s="1" t="s">
        <v>9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">
      <c r="A13" s="1" t="s">
        <v>10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9"/>
  <sheetViews>
    <sheetView workbookViewId="0">
      <selection activeCell="G13" sqref="G13"/>
    </sheetView>
  </sheetViews>
  <sheetFormatPr baseColWidth="10" defaultColWidth="10.88671875" defaultRowHeight="14.4" x14ac:dyDescent="0.3"/>
  <cols>
    <col min="1" max="1" width="21.33203125" style="21" bestFit="1" customWidth="1"/>
    <col min="2" max="2" width="10.88671875" style="28"/>
    <col min="3" max="16384" width="10.88671875" style="21"/>
  </cols>
  <sheetData>
    <row r="1" spans="1:2" x14ac:dyDescent="0.3">
      <c r="A1" s="49" t="s">
        <v>30</v>
      </c>
      <c r="B1" s="26">
        <v>24</v>
      </c>
    </row>
    <row r="2" spans="1:2" x14ac:dyDescent="0.3">
      <c r="A2" s="50"/>
      <c r="B2" s="26">
        <v>12</v>
      </c>
    </row>
    <row r="4" spans="1:2" x14ac:dyDescent="0.3">
      <c r="A4" s="22" t="s">
        <v>34</v>
      </c>
      <c r="B4" s="27">
        <v>0.33333333333333331</v>
      </c>
    </row>
    <row r="6" spans="1:2" x14ac:dyDescent="0.3">
      <c r="A6" s="22" t="s">
        <v>32</v>
      </c>
      <c r="B6" s="27">
        <v>0.29166666666666669</v>
      </c>
    </row>
    <row r="7" spans="1:2" x14ac:dyDescent="0.3">
      <c r="A7" s="22" t="s">
        <v>33</v>
      </c>
      <c r="B7" s="27">
        <v>0.91666666666666663</v>
      </c>
    </row>
    <row r="9" spans="1:2" x14ac:dyDescent="0.3">
      <c r="A9" s="22" t="s">
        <v>35</v>
      </c>
      <c r="B9" s="29">
        <v>3</v>
      </c>
    </row>
    <row r="10" spans="1:2" x14ac:dyDescent="0.3">
      <c r="A10" s="22" t="s">
        <v>36</v>
      </c>
      <c r="B10" s="29">
        <v>4</v>
      </c>
    </row>
    <row r="11" spans="1:2" x14ac:dyDescent="0.3">
      <c r="A11" s="22" t="s">
        <v>37</v>
      </c>
      <c r="B11" s="29">
        <v>5</v>
      </c>
    </row>
    <row r="12" spans="1:2" x14ac:dyDescent="0.3">
      <c r="A12" s="22" t="s">
        <v>38</v>
      </c>
      <c r="B12" s="29">
        <v>6</v>
      </c>
    </row>
    <row r="14" spans="1:2" x14ac:dyDescent="0.3">
      <c r="A14" s="23" t="s">
        <v>31</v>
      </c>
      <c r="B14" s="26" t="s">
        <v>3</v>
      </c>
    </row>
    <row r="15" spans="1:2" x14ac:dyDescent="0.3">
      <c r="A15" s="24"/>
      <c r="B15" s="26" t="s">
        <v>5</v>
      </c>
    </row>
    <row r="16" spans="1:2" x14ac:dyDescent="0.3">
      <c r="A16" s="24"/>
      <c r="B16" s="26" t="s">
        <v>4</v>
      </c>
    </row>
    <row r="17" spans="1:2" x14ac:dyDescent="0.3">
      <c r="A17" s="24"/>
      <c r="B17" s="26" t="s">
        <v>6</v>
      </c>
    </row>
    <row r="18" spans="1:2" x14ac:dyDescent="0.3">
      <c r="A18" s="24"/>
      <c r="B18" s="26"/>
    </row>
    <row r="19" spans="1:2" x14ac:dyDescent="0.3">
      <c r="A19" s="25"/>
      <c r="B19" s="26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Données</vt:lpstr>
      <vt:lpstr>Synthèse</vt:lpstr>
      <vt:lpstr>JoursFériés</vt:lpstr>
      <vt:lpstr>Paramètres</vt:lpstr>
      <vt:lpstr>DebNuit</vt:lpstr>
      <vt:lpstr>FinNuit</vt:lpstr>
      <vt:lpstr>garde</vt:lpstr>
      <vt:lpstr>JF</vt:lpstr>
      <vt:lpstr>PPoste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2018-05-29T19:41:34Z</dcterms:modified>
</cp:coreProperties>
</file>