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drawings/drawing4.xml" ContentType="application/vnd.openxmlformats-officedocument.drawing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drawings/drawing5.xml" ContentType="application/vnd.openxmlformats-officedocument.drawing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omments2.xml" ContentType="application/vnd.openxmlformats-officedocument.spreadsheetml.comments+xml"/>
  <Override PartName="/xl/drawings/drawing8.xml" ContentType="application/vnd.openxmlformats-officedocument.drawing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drawings/drawing9.xml" ContentType="application/vnd.openxmlformats-officedocument.drawing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drawings/drawing10.xml" ContentType="application/vnd.openxmlformats-officedocument.drawing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/>
  <bookViews>
    <workbookView xWindow="-15" yWindow="4485" windowWidth="19170" windowHeight="4545" tabRatio="861" firstSheet="4" activeTab="5"/>
  </bookViews>
  <sheets>
    <sheet name="Linéaire Projet 1" sheetId="9" r:id="rId1"/>
    <sheet name="Dégressif projet 1" sheetId="10" r:id="rId2"/>
    <sheet name="Données Projet 1" sheetId="8" r:id="rId3"/>
    <sheet name="Avancé prêt taux fixe projet 1" sheetId="2" r:id="rId4"/>
    <sheet name="Avancé prêt in fine projet 1" sheetId="6" r:id="rId5"/>
    <sheet name="TAM Projet 1" sheetId="1" r:id="rId6"/>
    <sheet name="Remboursement credit en cascade" sheetId="12" r:id="rId7"/>
    <sheet name="Linéaire Projet 1 (2)" sheetId="14" r:id="rId8"/>
    <sheet name="Dégressif projet 1 (2)" sheetId="15" r:id="rId9"/>
    <sheet name="Impots projet 1 (2)" sheetId="16" r:id="rId10"/>
    <sheet name="Données Projet 1 (2)" sheetId="17" r:id="rId11"/>
    <sheet name="Tableaux amortissement proj (2" sheetId="18" r:id="rId12"/>
    <sheet name="Avancé prêt taux fixe proje (2" sheetId="19" r:id="rId13"/>
    <sheet name="Avancé prêt in fine projet  (2" sheetId="20" r:id="rId14"/>
    <sheet name="TAM Projet 1 (2)" sheetId="21" r:id="rId15"/>
    <sheet name="ensemble des projets" sheetId="22" r:id="rId16"/>
  </sheets>
  <definedNames>
    <definedName name="__Jou1">'Données Projet 1'!$J$8</definedName>
    <definedName name="__jou123">'Données Projet 1 (2)'!$J$8</definedName>
    <definedName name="__Jou2">'Données Projet 1'!$J$9</definedName>
    <definedName name="__jou21">'Données Projet 1 (2)'!$J$9</definedName>
    <definedName name="_A">'Linéaire Projet 1'!$D$7</definedName>
    <definedName name="_a1t">'Linéaire Projet 1 (2)'!$D$7</definedName>
    <definedName name="_an">'Linéaire Projet 1'!$D$11</definedName>
    <definedName name="_an1t">'Linéaire Projet 1 (2)'!$D$11</definedName>
    <definedName name="_ann">'Linéaire Projet 1'!$D$12</definedName>
    <definedName name="_ann1t">'Linéaire Projet 1 (2)'!$D$12</definedName>
    <definedName name="_ANNEEdebut">'Dégressif projet 1'!$D$7</definedName>
    <definedName name="_anneedebut1">'Dégressif projet 1 (2)'!$D$7</definedName>
    <definedName name="_Anniversaire">'TAM Projet 1'!$T$19:$X$19,'TAM Projet 1'!$T$31:$X$31,'TAM Projet 1'!$T$43:$X$43,'TAM Projet 1'!$T$55:$X$55</definedName>
    <definedName name="_Anniversaire1">'TAM Projet 1'!$AJ$19:$AN$19,'TAM Projet 1'!$AJ$31:$AN$31,'TAM Projet 1'!$AJ$43:$AN$43,'TAM Projet 1'!$AJ$55:$AN$55</definedName>
    <definedName name="_anniversaire12">'Tableaux amortissement proj (2'!$A$19:$E$19,'Tableaux amortissement proj (2'!$A$31:$E$31,'Tableaux amortissement proj (2'!$A$43:$E$43,'Tableaux amortissement proj (2'!$A$55:$E$55</definedName>
    <definedName name="_anniversaire123">'Tableaux amortissement proj (2'!$Q$19:$U$19,'Tableaux amortissement proj (2'!$Q$31:$U$31,'Tableaux amortissement proj (2'!$Q$43:$U$43,'Tableaux amortissement proj (2'!$Q$55:$U$55</definedName>
    <definedName name="_CAP1E">'Données Projet 1'!$B$7</definedName>
    <definedName name="_CAP1E1">'Données Projet 1'!$I$7</definedName>
    <definedName name="_cap1e12">'Données Projet 1 (2)'!$B$7</definedName>
    <definedName name="_cap1e123">'Données Projet 1 (2)'!$I$7</definedName>
    <definedName name="_capifixe123t">'TAM Projet 1 (2)'!#REF!</definedName>
    <definedName name="_CapitFIXE">'TAM Projet 1'!#REF!</definedName>
    <definedName name="_Chamgement_de_taux">'TAM Projet 1'!$AJ$7:$AJ$307</definedName>
    <definedName name="_chamgement_de_taux12">'Tableaux amortissement proj (2'!$Q$7:$Q$307</definedName>
    <definedName name="_Changement_de_taux">'TAM Projet 1'!$T$7:$T$307</definedName>
    <definedName name="_changement_de_taux123">'Tableaux amortissement proj (2'!$A$7:$A$307</definedName>
    <definedName name="_Cout_Total">'TAM Projet 1'!$Q$8</definedName>
    <definedName name="_Cout_Total1">'TAM Projet 1'!$Q$16</definedName>
    <definedName name="_cout_total12">'TAM Projet 1 (2)'!$Z$8</definedName>
    <definedName name="_cout_total123">'TAM Projet 1 (2)'!$Z$16</definedName>
    <definedName name="_cumul">'Linéaire Projet 1'!$D$40:$D$51</definedName>
    <definedName name="_cumul1">'Linéaire Projet 1 (2)'!$D$40:$D$51</definedName>
    <definedName name="_d">'Linéaire Projet 1'!$G$3</definedName>
    <definedName name="_d1t">'Linéaire Projet 1 (2)'!$G$3</definedName>
    <definedName name="_DATDB">'Données Projet 1'!$B$8</definedName>
    <definedName name="_DATDB1">'Données Projet 1'!$I$8</definedName>
    <definedName name="_datdb12">'Données Projet 1 (2)'!$B$8</definedName>
    <definedName name="_datdb123">'Données Projet 1 (2)'!$I$8</definedName>
    <definedName name="_DebAmort">'TAM Projet 1'!$K$3</definedName>
    <definedName name="_DebAmort1">'TAM Projet 1'!$K$11</definedName>
    <definedName name="_debamort12">'TAM Projet 1 (2)'!$P$6</definedName>
    <definedName name="_debamort122">'TAM Projet 1 (2)'!$P$14</definedName>
    <definedName name="_Différé">'Données Projet 1'!$E$9</definedName>
    <definedName name="_Différé1">'Données Projet 1'!$L$9</definedName>
    <definedName name="_differe1t">'Données Projet 1 (2)'!$E$9</definedName>
    <definedName name="_differe1t1t">'Données Projet 1 (2)'!$L$9</definedName>
    <definedName name="_DiffSimple">'Données Projet 1'!$E$7</definedName>
    <definedName name="_DiffSimple1">'Données Projet 1'!$L$7</definedName>
    <definedName name="_diffsimple12">'Données Projet 1 (2)'!$E$7</definedName>
    <definedName name="_diffsimple123">'Données Projet 1 (2)'!$L$7</definedName>
    <definedName name="_DiffTotal">'Données Projet 1'!$E$8</definedName>
    <definedName name="_DiffTotal1">'Données Projet 1'!$L$8</definedName>
    <definedName name="_difftotal1t">'Données Projet 1 (2)'!$E$8</definedName>
    <definedName name="_difftotal1t1t">'Données Projet 1 (2)'!$L$8</definedName>
    <definedName name="_DUREE" function="1" xlm="1" functionGroupId="14">'Dégressif projet 1'!$G$3</definedName>
    <definedName name="_duree1t" function="1" xlm="1" functionGroupId="14">'Dégressif projet 1 (2)'!$G$3</definedName>
    <definedName name="_EchFIXE">'Données Projet 1'!$B$3</definedName>
    <definedName name="_EchFIXE1">'Données Projet 1'!$I$3</definedName>
    <definedName name="_echfixe12">'Données Projet 1 (2)'!$I$3</definedName>
    <definedName name="_echfixe1t">'Données Projet 1 (2)'!$B$3</definedName>
    <definedName name="_xlnm._FilterDatabase" localSheetId="5" hidden="1">'TAM Projet 1'!$AB$5:$AB$439</definedName>
    <definedName name="_xlnm._FilterDatabase" localSheetId="14" hidden="1">'Tableaux amortissement proj (2'!$I$5:$I$439</definedName>
    <definedName name="_FraisF">'TAM Projet 1'!$N$3</definedName>
    <definedName name="_FraisF1">'TAM Projet 1'!$N$11</definedName>
    <definedName name="_fraisf12">'TAM Projet 1 (2)'!$W$3</definedName>
    <definedName name="_fraisf123">'TAM Projet 1 (2)'!$W$11</definedName>
    <definedName name="_FraisV">'TAM Projet 1'!$N$4</definedName>
    <definedName name="_FraisV1">'TAM Projet 1'!$N$12</definedName>
    <definedName name="_fraisv12">'TAM Projet 1 (2)'!$W$4</definedName>
    <definedName name="_fraisv123">'TAM Projet 1 (2)'!$W$12</definedName>
    <definedName name="_Ijour">'Données Projet 1'!$C$7</definedName>
    <definedName name="_Ijour1">'Données Projet 1'!$J$7</definedName>
    <definedName name="_ijour12">'Données Projet 1 (2)'!$C$7</definedName>
    <definedName name="_ijour122">'Données Projet 1 (2)'!$J$7</definedName>
    <definedName name="_Imois">'Données Projet 1'!$C$6</definedName>
    <definedName name="_Imois1">'Données Projet 1'!$J$6</definedName>
    <definedName name="_imois12">'Données Projet 1 (2)'!$C$6</definedName>
    <definedName name="_imois122">'Données Projet 1 (2)'!$J$6</definedName>
    <definedName name="_INT1E">'Données Projet 1'!$B$6</definedName>
    <definedName name="_INT1E1">'Données Projet 1'!$I$6</definedName>
    <definedName name="_int1e12">'Données Projet 1 (2)'!$I$6</definedName>
    <definedName name="_int1e1t">'Données Projet 1 (2)'!$B$6</definedName>
    <definedName name="_J">'Linéaire Projet 1'!$D$5</definedName>
    <definedName name="_j1t">'Linéaire Projet 1 (2)'!$D$5</definedName>
    <definedName name="_Jour1">'Données Projet 1'!$C$8</definedName>
    <definedName name="_jour12">'Données Projet 1 (2)'!$C$8</definedName>
    <definedName name="_Jour2">'Données Projet 1'!$C$9</definedName>
    <definedName name="_jour212">'Données Projet 1 (2)'!$C$9</definedName>
    <definedName name="_lignes">'Dégressif projet 1'!$H$11:$H$29</definedName>
    <definedName name="_lignes1">'Dégressif projet 1 (2)'!$H$11:$H$29</definedName>
    <definedName name="_M">'Linéaire Projet 1'!$D$6</definedName>
    <definedName name="_m1t">'Linéaire Projet 1 (2)'!$D$6</definedName>
    <definedName name="_mois">'Linéaire Projet 1'!$C$40:$C$51</definedName>
    <definedName name="_mois1">'Linéaire Projet 1 (2)'!$C$40:$C$51</definedName>
    <definedName name="_MoisD">'Données Projet 1'!$C$10</definedName>
    <definedName name="_MoisD1">'Données Projet 1'!$J$10</definedName>
    <definedName name="_moisd12">'Données Projet 1 (2)'!$J$10</definedName>
    <definedName name="_MOISdebut">'Dégressif projet 1'!$D$6</definedName>
    <definedName name="_moisdebut12">'Dégressif projet 1 (2)'!$D$6</definedName>
    <definedName name="_MtEch">'TAM Projet 1'!$J$7</definedName>
    <definedName name="_MtEch1">'TAM Projet 1'!$J$15</definedName>
    <definedName name="_mtech12">'TAM Projet 1 (2)'!$N$8</definedName>
    <definedName name="_mtech123">'TAM Projet 1 (2)'!$N$16</definedName>
    <definedName name="_MtEmprunt">'Données Projet 1'!$E$13</definedName>
    <definedName name="_MtEmprunt1">'Données Projet 1'!$L$13</definedName>
    <definedName name="_mtemprunt12">'Données Projet 1 (2)'!$E$13</definedName>
    <definedName name="_mtemprunt123">'Données Projet 1 (2)'!$L$13</definedName>
    <definedName name="_NbDeci">'Données Projet 1'!$B$2</definedName>
    <definedName name="_NbDeci1">'Données Projet 1'!$I$2</definedName>
    <definedName name="_nbdeci1t">'Données Projet 1 (2)'!$B$2</definedName>
    <definedName name="_nbdeci1t1">'Données Projet 1 (2)'!$I$2</definedName>
    <definedName name="_NbEch">'Données Projet 1'!$C$3</definedName>
    <definedName name="_NbEch1">'Données Projet 1'!$J$3</definedName>
    <definedName name="_nbech123">'Données Projet 1 (2)'!$C$3</definedName>
    <definedName name="_nbech1234">'Données Projet 1 (2)'!$J$3</definedName>
    <definedName name="_NbEchAn">'Données Projet 1'!$C$2</definedName>
    <definedName name="_NbechAn1">'Données Projet 1'!$J$2</definedName>
    <definedName name="_nbechan1t">'Données Projet 1 (2)'!$C$2</definedName>
    <definedName name="_nbr">'Linéaire Projet 1'!$H$11:$H$29</definedName>
    <definedName name="_nbr1t">'Linéaire Projet 1 (2)'!$H$11:$H$29</definedName>
    <definedName name="_nebchan1t">'Données Projet 1 (2)'!$J$2</definedName>
    <definedName name="_NoEchMaxi">'Données Projet 1'!$B$4</definedName>
    <definedName name="_NoEchMaxi1">'Données Projet 1'!$I$4</definedName>
    <definedName name="_noechmaxi1t">'Données Projet 1 (2)'!$I$4</definedName>
    <definedName name="_NoEchRemb">'Données Projet 1'!$B$5</definedName>
    <definedName name="_NoEchRemb1">'Données Projet 1'!$I$5</definedName>
    <definedName name="_noechremb12">'Données Projet 1 (2)'!$I$5</definedName>
    <definedName name="_noechremb1t">'Données Projet 1 (2)'!$B$5</definedName>
    <definedName name="_noeechmaxi1">'Données Projet 1 (2)'!$B$4</definedName>
    <definedName name="_Nombre_échéances">'TAM Projet 1'!$Q$4</definedName>
    <definedName name="_Nombre_échéances1">'TAM Projet 1'!$Q$12</definedName>
    <definedName name="_nombre_echeances12">'TAM Projet 1 (2)'!$Z$4</definedName>
    <definedName name="_nombre_echeances123">'TAM Projet 1 (2)'!$Z$12</definedName>
    <definedName name="_Periodicite">'Données Projet 1'!$F$11</definedName>
    <definedName name="_Periodicite1">'Données Projet 1'!$M$11</definedName>
    <definedName name="_periodicite1t">'Données Projet 1 (2)'!$F$11</definedName>
    <definedName name="_periodicite1tt">'Données Projet 1 (2)'!$M$11</definedName>
    <definedName name="_rdvebit12">'TAM Projet 1 (2)'!#REF!</definedName>
    <definedName name="_RVDebit">'TAM Projet 1'!#REF!</definedName>
    <definedName name="_T">'Linéaire Projet 1'!$G$4</definedName>
    <definedName name="_t1t">'Linéaire Projet 1 (2)'!$G$4</definedName>
    <definedName name="_TauxActuariel">'Données Projet 1'!$E$4</definedName>
    <definedName name="_TauxActuariel1">'Données Projet 1'!$L$4</definedName>
    <definedName name="_tauxactuariel1t">'Données Projet 1 (2)'!$E$4</definedName>
    <definedName name="_tauxactuariel1t1">'Données Projet 1 (2)'!$L$4</definedName>
    <definedName name="_TAUXdeg">'Dégressif projet 1'!$G$4</definedName>
    <definedName name="_tauxdeg1">'Dégressif projet 1 (2)'!$G$4</definedName>
    <definedName name="_TAUXlin">'Dégressif projet 1'!$I$11:$I$29</definedName>
    <definedName name="_tauxlin1">'Dégressif projet 1 (2)'!$I$11:$I$29</definedName>
    <definedName name="_Total_Capital">'TAM Projet 1'!$Q$6</definedName>
    <definedName name="_Total_Capital1">'TAM Projet 1'!$Q$14</definedName>
    <definedName name="_total_capital12">'TAM Projet 1 (2)'!$Z$6</definedName>
    <definedName name="_total_capital123">'TAM Projet 1 (2)'!$Z$14</definedName>
    <definedName name="_Total_Frais">'TAM Projet 1'!$Q$7</definedName>
    <definedName name="_Total_Frais1">'TAM Projet 1'!$Q$15</definedName>
    <definedName name="_total_frais12">'TAM Projet 1 (2)'!$Z$7</definedName>
    <definedName name="_total_frais123">'TAM Projet 1 (2)'!$Z$15</definedName>
    <definedName name="_Total_Intérêts">'TAM Projet 1'!$Q$5</definedName>
    <definedName name="_Total_Intérêts1">'TAM Projet 1'!$Q$13</definedName>
    <definedName name="_total_interets12">'TAM Projet 1 (2)'!$Z$5</definedName>
    <definedName name="_total_interets123">'TAM Projet 1 (2)'!$Z$13</definedName>
    <definedName name="_TVDebit">'TAM Projet 1'!$I$2:$I$8</definedName>
    <definedName name="_TVDebit1">'TAM Projet 1'!$I$10:$I$16</definedName>
    <definedName name="_tvdebit12">'TAM Projet 1 (2)'!$L$2:$L$8</definedName>
    <definedName name="_tvdebit123">'TAM Projet 1 (2)'!$L$10:$L$16</definedName>
    <definedName name="_TxPer">'Données Projet 1'!$C$5</definedName>
    <definedName name="_Txper1">'Données Projet 1'!$J$5</definedName>
    <definedName name="_txper12">'Données Projet 1 (2)'!$C$5</definedName>
    <definedName name="_txper123">'Données Projet 1 (2)'!$J$5</definedName>
    <definedName name="_VNCdebut">'Dégressif projet 1'!$C$4</definedName>
    <definedName name="_vncdebut1">'Dégressif projet 1 (2)'!$C$4</definedName>
    <definedName name="_VO">'Linéaire Projet 1'!$C$4</definedName>
    <definedName name="_vo1t">'Linéaire Projet 1 (2)'!$C$4</definedName>
    <definedName name="CapitFIXE1">#REF!</definedName>
    <definedName name="capitfixe1234t">#REF!</definedName>
    <definedName name="RVDebit1">#REF!</definedName>
    <definedName name="rvdebit12">#REF!</definedName>
  </definedNames>
  <calcPr calcId="152511"/>
</workbook>
</file>

<file path=xl/calcChain.xml><?xml version="1.0" encoding="utf-8"?>
<calcChain xmlns="http://schemas.openxmlformats.org/spreadsheetml/2006/main">
  <c r="J3" i="1" l="1"/>
  <c r="J26" i="1"/>
  <c r="J27" i="1" s="1"/>
  <c r="B32" i="1" l="1"/>
  <c r="T3" i="1" l="1"/>
  <c r="U3" i="1"/>
  <c r="V3" i="1"/>
  <c r="W3" i="1"/>
  <c r="X3" i="1"/>
  <c r="AJ3" i="1"/>
  <c r="AK3" i="1"/>
  <c r="AL3" i="1"/>
  <c r="AM3" i="1"/>
  <c r="AN3" i="1"/>
  <c r="AG6" i="1"/>
  <c r="AK6" i="1"/>
  <c r="AV6" i="1" s="1"/>
  <c r="AT7" i="1" s="1"/>
  <c r="AW6" i="1"/>
  <c r="AC7" i="1"/>
  <c r="AB7" i="1" s="1"/>
  <c r="AS7" i="1"/>
  <c r="AR7" i="1" s="1"/>
  <c r="AX6" i="1" l="1"/>
  <c r="AP7" i="1"/>
  <c r="I15" i="1"/>
  <c r="I7" i="1"/>
  <c r="C9" i="22" l="1"/>
  <c r="C15" i="22"/>
  <c r="C4" i="22"/>
  <c r="E20" i="22"/>
  <c r="E15" i="22"/>
  <c r="E11" i="22"/>
  <c r="E7" i="22"/>
  <c r="E24" i="22" s="1"/>
  <c r="E6" i="22"/>
  <c r="E5" i="22"/>
  <c r="E8" i="22" s="1"/>
  <c r="E10" i="22" s="1"/>
  <c r="C5" i="22"/>
  <c r="E4" i="22"/>
  <c r="V95" i="21"/>
  <c r="V94" i="21"/>
  <c r="V90" i="21"/>
  <c r="V89" i="21"/>
  <c r="V86" i="21"/>
  <c r="V85" i="21"/>
  <c r="V82" i="21"/>
  <c r="V81" i="21"/>
  <c r="V78" i="21"/>
  <c r="H4" i="21" s="1"/>
  <c r="V77" i="21"/>
  <c r="V74" i="21"/>
  <c r="V73" i="21"/>
  <c r="V70" i="21"/>
  <c r="V69" i="21"/>
  <c r="V66" i="21"/>
  <c r="V65" i="21"/>
  <c r="V62" i="21"/>
  <c r="V61" i="21"/>
  <c r="V58" i="21"/>
  <c r="F8" i="21" s="1"/>
  <c r="V57" i="21"/>
  <c r="V54" i="21"/>
  <c r="F6" i="21" s="1"/>
  <c r="V53" i="21"/>
  <c r="AB51" i="21"/>
  <c r="V50" i="21"/>
  <c r="V49" i="21"/>
  <c r="D45" i="21"/>
  <c r="B45" i="21"/>
  <c r="D35" i="21"/>
  <c r="B35" i="21"/>
  <c r="D34" i="21"/>
  <c r="B34" i="21"/>
  <c r="F16" i="21"/>
  <c r="W15" i="21"/>
  <c r="J14" i="21"/>
  <c r="F14" i="21"/>
  <c r="H12" i="21"/>
  <c r="F12" i="21"/>
  <c r="W11" i="21"/>
  <c r="J11" i="21"/>
  <c r="J15" i="21" s="1"/>
  <c r="H10" i="21"/>
  <c r="F10" i="21"/>
  <c r="H8" i="21"/>
  <c r="H6" i="21"/>
  <c r="J4" i="21"/>
  <c r="F4" i="21"/>
  <c r="B4" i="21"/>
  <c r="B7" i="21" s="1"/>
  <c r="W3" i="21"/>
  <c r="B3" i="21"/>
  <c r="F36" i="20"/>
  <c r="D21" i="20"/>
  <c r="E17" i="20"/>
  <c r="D17" i="20"/>
  <c r="F36" i="19"/>
  <c r="D21" i="19"/>
  <c r="E17" i="19"/>
  <c r="D17" i="19"/>
  <c r="Z7" i="18"/>
  <c r="Y7" i="18" s="1"/>
  <c r="J7" i="18"/>
  <c r="I7" i="18"/>
  <c r="AD6" i="18"/>
  <c r="R6" i="18"/>
  <c r="AC6" i="18" s="1"/>
  <c r="AA7" i="18" s="1"/>
  <c r="N6" i="18"/>
  <c r="B6" i="18"/>
  <c r="M6" i="18" s="1"/>
  <c r="O6" i="18" s="1"/>
  <c r="U3" i="18"/>
  <c r="T3" i="18"/>
  <c r="S3" i="18"/>
  <c r="R3" i="18"/>
  <c r="Q3" i="18"/>
  <c r="E3" i="18"/>
  <c r="D3" i="18"/>
  <c r="C3" i="18"/>
  <c r="B3" i="18"/>
  <c r="A3" i="18"/>
  <c r="M11" i="17"/>
  <c r="J6" i="17" s="1"/>
  <c r="L11" i="17"/>
  <c r="F11" i="17"/>
  <c r="E11" i="17"/>
  <c r="E9" i="17"/>
  <c r="C9" i="17"/>
  <c r="C10" i="17" s="1"/>
  <c r="J8" i="17"/>
  <c r="E8" i="17"/>
  <c r="E13" i="17" s="1"/>
  <c r="C8" i="17"/>
  <c r="J7" i="17"/>
  <c r="C7" i="17"/>
  <c r="C6" i="17"/>
  <c r="I5" i="17"/>
  <c r="B5" i="17"/>
  <c r="L4" i="17"/>
  <c r="J4" i="17"/>
  <c r="I4" i="17"/>
  <c r="E4" i="17"/>
  <c r="C4" i="17"/>
  <c r="B4" i="17"/>
  <c r="I3" i="17"/>
  <c r="B3" i="17"/>
  <c r="J2" i="17"/>
  <c r="I2" i="17"/>
  <c r="C2" i="17"/>
  <c r="B2" i="17"/>
  <c r="K11" i="16"/>
  <c r="K10" i="16"/>
  <c r="K9" i="16"/>
  <c r="K8" i="16"/>
  <c r="L7" i="16"/>
  <c r="K7" i="16"/>
  <c r="F28" i="21" s="1"/>
  <c r="K5" i="16"/>
  <c r="K4" i="16"/>
  <c r="K3" i="16"/>
  <c r="K2" i="16"/>
  <c r="I30" i="15"/>
  <c r="H12" i="15"/>
  <c r="H11" i="15"/>
  <c r="I11" i="15" s="1"/>
  <c r="B11" i="15"/>
  <c r="G4" i="15"/>
  <c r="C4" i="15"/>
  <c r="C11" i="15" s="1"/>
  <c r="D11" i="15" s="1"/>
  <c r="H11" i="14"/>
  <c r="H12" i="14" s="1"/>
  <c r="E11" i="14"/>
  <c r="B11" i="14"/>
  <c r="H8" i="14"/>
  <c r="G4" i="14"/>
  <c r="C4" i="14"/>
  <c r="C11" i="14" s="1"/>
  <c r="F11" i="14" s="1"/>
  <c r="C3" i="17" l="1"/>
  <c r="N8" i="21" s="1"/>
  <c r="B16" i="17" s="1"/>
  <c r="B17" i="17" s="1"/>
  <c r="B18" i="17" s="1"/>
  <c r="B19" i="17" s="1"/>
  <c r="B20" i="17" s="1"/>
  <c r="B21" i="17" s="1"/>
  <c r="B22" i="17" s="1"/>
  <c r="B23" i="17" s="1"/>
  <c r="B24" i="17" s="1"/>
  <c r="B25" i="17" s="1"/>
  <c r="B26" i="17" s="1"/>
  <c r="B27" i="17" s="1"/>
  <c r="B28" i="17" s="1"/>
  <c r="B29" i="17" s="1"/>
  <c r="B30" i="17" s="1"/>
  <c r="B31" i="17" s="1"/>
  <c r="B32" i="17" s="1"/>
  <c r="B33" i="17" s="1"/>
  <c r="B34" i="17" s="1"/>
  <c r="B35" i="17" s="1"/>
  <c r="B36" i="17" s="1"/>
  <c r="B37" i="17" s="1"/>
  <c r="B38" i="17" s="1"/>
  <c r="B39" i="17" s="1"/>
  <c r="B40" i="17" s="1"/>
  <c r="B41" i="17" s="1"/>
  <c r="B42" i="17" s="1"/>
  <c r="B43" i="17" s="1"/>
  <c r="B44" i="17" s="1"/>
  <c r="B45" i="17" s="1"/>
  <c r="B46" i="17" s="1"/>
  <c r="B47" i="17" s="1"/>
  <c r="B48" i="17" s="1"/>
  <c r="B49" i="17" s="1"/>
  <c r="B50" i="17" s="1"/>
  <c r="B51" i="17" s="1"/>
  <c r="B52" i="17" s="1"/>
  <c r="B53" i="17" s="1"/>
  <c r="B54" i="17" s="1"/>
  <c r="B55" i="17" s="1"/>
  <c r="B56" i="17" s="1"/>
  <c r="B57" i="17" s="1"/>
  <c r="B58" i="17" s="1"/>
  <c r="B59" i="17" s="1"/>
  <c r="B60" i="17" s="1"/>
  <c r="B61" i="17" s="1"/>
  <c r="B62" i="17" s="1"/>
  <c r="B63" i="17" s="1"/>
  <c r="B64" i="17" s="1"/>
  <c r="B65" i="17" s="1"/>
  <c r="B66" i="17" s="1"/>
  <c r="B67" i="17" s="1"/>
  <c r="B68" i="17" s="1"/>
  <c r="B69" i="17" s="1"/>
  <c r="B70" i="17" s="1"/>
  <c r="B71" i="17" s="1"/>
  <c r="B72" i="17" s="1"/>
  <c r="B73" i="17" s="1"/>
  <c r="B74" i="17" s="1"/>
  <c r="B75" i="17" s="1"/>
  <c r="B76" i="17" s="1"/>
  <c r="B77" i="17" s="1"/>
  <c r="B78" i="17" s="1"/>
  <c r="B79" i="17" s="1"/>
  <c r="B80" i="17" s="1"/>
  <c r="B81" i="17" s="1"/>
  <c r="B82" i="17" s="1"/>
  <c r="B83" i="17" s="1"/>
  <c r="B84" i="17" s="1"/>
  <c r="B85" i="17" s="1"/>
  <c r="B86" i="17" s="1"/>
  <c r="B87" i="17" s="1"/>
  <c r="B88" i="17" s="1"/>
  <c r="B89" i="17" s="1"/>
  <c r="B90" i="17" s="1"/>
  <c r="B91" i="17" s="1"/>
  <c r="B92" i="17" s="1"/>
  <c r="B93" i="17" s="1"/>
  <c r="B94" i="17" s="1"/>
  <c r="B95" i="17" s="1"/>
  <c r="B96" i="17" s="1"/>
  <c r="B97" i="17" s="1"/>
  <c r="B98" i="17" s="1"/>
  <c r="B99" i="17" s="1"/>
  <c r="B100" i="17" s="1"/>
  <c r="B101" i="17" s="1"/>
  <c r="B102" i="17" s="1"/>
  <c r="B103" i="17" s="1"/>
  <c r="B104" i="17" s="1"/>
  <c r="B105" i="17" s="1"/>
  <c r="B106" i="17" s="1"/>
  <c r="B107" i="17" s="1"/>
  <c r="B108" i="17" s="1"/>
  <c r="B109" i="17" s="1"/>
  <c r="B110" i="17" s="1"/>
  <c r="B111" i="17" s="1"/>
  <c r="B112" i="17" s="1"/>
  <c r="B113" i="17" s="1"/>
  <c r="B114" i="17" s="1"/>
  <c r="B115" i="17" s="1"/>
  <c r="B116" i="17" s="1"/>
  <c r="B117" i="17" s="1"/>
  <c r="B118" i="17" s="1"/>
  <c r="B119" i="17" s="1"/>
  <c r="B120" i="17" s="1"/>
  <c r="B121" i="17" s="1"/>
  <c r="B122" i="17" s="1"/>
  <c r="B123" i="17" s="1"/>
  <c r="B124" i="17" s="1"/>
  <c r="B125" i="17" s="1"/>
  <c r="B126" i="17" s="1"/>
  <c r="B127" i="17" s="1"/>
  <c r="B128" i="17" s="1"/>
  <c r="B129" i="17" s="1"/>
  <c r="B130" i="17" s="1"/>
  <c r="B131" i="17" s="1"/>
  <c r="B132" i="17" s="1"/>
  <c r="B133" i="17" s="1"/>
  <c r="B134" i="17" s="1"/>
  <c r="B135" i="17" s="1"/>
  <c r="B136" i="17" s="1"/>
  <c r="B137" i="17" s="1"/>
  <c r="B138" i="17" s="1"/>
  <c r="B139" i="17" s="1"/>
  <c r="B140" i="17" s="1"/>
  <c r="B141" i="17" s="1"/>
  <c r="B142" i="17" s="1"/>
  <c r="B143" i="17" s="1"/>
  <c r="B144" i="17" s="1"/>
  <c r="B145" i="17" s="1"/>
  <c r="B146" i="17" s="1"/>
  <c r="B147" i="17" s="1"/>
  <c r="B148" i="17" s="1"/>
  <c r="B149" i="17" s="1"/>
  <c r="B150" i="17" s="1"/>
  <c r="B151" i="17" s="1"/>
  <c r="B152" i="17" s="1"/>
  <c r="B153" i="17" s="1"/>
  <c r="B154" i="17" s="1"/>
  <c r="B155" i="17" s="1"/>
  <c r="B156" i="17" s="1"/>
  <c r="B157" i="17" s="1"/>
  <c r="B158" i="17" s="1"/>
  <c r="B159" i="17" s="1"/>
  <c r="B160" i="17" s="1"/>
  <c r="B161" i="17" s="1"/>
  <c r="B162" i="17" s="1"/>
  <c r="B163" i="17" s="1"/>
  <c r="B164" i="17" s="1"/>
  <c r="B165" i="17" s="1"/>
  <c r="B166" i="17" s="1"/>
  <c r="B167" i="17" s="1"/>
  <c r="B168" i="17" s="1"/>
  <c r="B169" i="17" s="1"/>
  <c r="B170" i="17" s="1"/>
  <c r="B171" i="17" s="1"/>
  <c r="B172" i="17" s="1"/>
  <c r="B173" i="17" s="1"/>
  <c r="B174" i="17" s="1"/>
  <c r="B175" i="17" s="1"/>
  <c r="B176" i="17" s="1"/>
  <c r="B177" i="17" s="1"/>
  <c r="B178" i="17" s="1"/>
  <c r="B179" i="17" s="1"/>
  <c r="B180" i="17" s="1"/>
  <c r="B181" i="17" s="1"/>
  <c r="B182" i="17" s="1"/>
  <c r="B183" i="17" s="1"/>
  <c r="B184" i="17" s="1"/>
  <c r="B185" i="17" s="1"/>
  <c r="B186" i="17" s="1"/>
  <c r="B187" i="17" s="1"/>
  <c r="B188" i="17" s="1"/>
  <c r="B189" i="17" s="1"/>
  <c r="B190" i="17" s="1"/>
  <c r="B191" i="17" s="1"/>
  <c r="B192" i="17" s="1"/>
  <c r="B193" i="17" s="1"/>
  <c r="B194" i="17" s="1"/>
  <c r="B195" i="17" s="1"/>
  <c r="B196" i="17" s="1"/>
  <c r="B197" i="17" s="1"/>
  <c r="B198" i="17" s="1"/>
  <c r="B199" i="17" s="1"/>
  <c r="B200" i="17" s="1"/>
  <c r="B201" i="17" s="1"/>
  <c r="B202" i="17" s="1"/>
  <c r="B203" i="17" s="1"/>
  <c r="B204" i="17" s="1"/>
  <c r="B205" i="17" s="1"/>
  <c r="B206" i="17" s="1"/>
  <c r="B207" i="17" s="1"/>
  <c r="B208" i="17" s="1"/>
  <c r="B209" i="17" s="1"/>
  <c r="B210" i="17" s="1"/>
  <c r="B211" i="17" s="1"/>
  <c r="B212" i="17" s="1"/>
  <c r="B213" i="17" s="1"/>
  <c r="B214" i="17" s="1"/>
  <c r="B215" i="17" s="1"/>
  <c r="B216" i="17" s="1"/>
  <c r="B217" i="17" s="1"/>
  <c r="B218" i="17" s="1"/>
  <c r="B219" i="17" s="1"/>
  <c r="B220" i="17" s="1"/>
  <c r="B221" i="17" s="1"/>
  <c r="B222" i="17" s="1"/>
  <c r="B223" i="17" s="1"/>
  <c r="B224" i="17" s="1"/>
  <c r="B225" i="17" s="1"/>
  <c r="B226" i="17" s="1"/>
  <c r="B227" i="17" s="1"/>
  <c r="B228" i="17" s="1"/>
  <c r="B229" i="17" s="1"/>
  <c r="B230" i="17" s="1"/>
  <c r="B231" i="17" s="1"/>
  <c r="B232" i="17" s="1"/>
  <c r="B233" i="17" s="1"/>
  <c r="B234" i="17" s="1"/>
  <c r="B235" i="17" s="1"/>
  <c r="B236" i="17" s="1"/>
  <c r="B237" i="17" s="1"/>
  <c r="B238" i="17" s="1"/>
  <c r="B239" i="17" s="1"/>
  <c r="B240" i="17" s="1"/>
  <c r="B241" i="17" s="1"/>
  <c r="B242" i="17" s="1"/>
  <c r="B243" i="17" s="1"/>
  <c r="B244" i="17" s="1"/>
  <c r="B245" i="17" s="1"/>
  <c r="B246" i="17" s="1"/>
  <c r="B247" i="17" s="1"/>
  <c r="B248" i="17" s="1"/>
  <c r="B249" i="17" s="1"/>
  <c r="B250" i="17" s="1"/>
  <c r="B251" i="17" s="1"/>
  <c r="B252" i="17" s="1"/>
  <c r="B253" i="17" s="1"/>
  <c r="B254" i="17" s="1"/>
  <c r="B255" i="17" s="1"/>
  <c r="B256" i="17" s="1"/>
  <c r="B257" i="17" s="1"/>
  <c r="B258" i="17" s="1"/>
  <c r="B259" i="17" s="1"/>
  <c r="B260" i="17" s="1"/>
  <c r="B261" i="17" s="1"/>
  <c r="B262" i="17" s="1"/>
  <c r="B263" i="17" s="1"/>
  <c r="B264" i="17" s="1"/>
  <c r="B265" i="17" s="1"/>
  <c r="B266" i="17" s="1"/>
  <c r="B267" i="17" s="1"/>
  <c r="B268" i="17" s="1"/>
  <c r="B269" i="17" s="1"/>
  <c r="B270" i="17" s="1"/>
  <c r="B271" i="17" s="1"/>
  <c r="B272" i="17" s="1"/>
  <c r="B273" i="17" s="1"/>
  <c r="B274" i="17" s="1"/>
  <c r="B275" i="17" s="1"/>
  <c r="B276" i="17" s="1"/>
  <c r="B277" i="17" s="1"/>
  <c r="B278" i="17" s="1"/>
  <c r="B279" i="17" s="1"/>
  <c r="B280" i="17" s="1"/>
  <c r="B281" i="17" s="1"/>
  <c r="B282" i="17" s="1"/>
  <c r="B283" i="17" s="1"/>
  <c r="B284" i="17" s="1"/>
  <c r="B285" i="17" s="1"/>
  <c r="B286" i="17" s="1"/>
  <c r="B287" i="17" s="1"/>
  <c r="B288" i="17" s="1"/>
  <c r="B289" i="17" s="1"/>
  <c r="B290" i="17" s="1"/>
  <c r="B291" i="17" s="1"/>
  <c r="B292" i="17" s="1"/>
  <c r="B293" i="17" s="1"/>
  <c r="B294" i="17" s="1"/>
  <c r="B295" i="17" s="1"/>
  <c r="B296" i="17" s="1"/>
  <c r="B297" i="17" s="1"/>
  <c r="B298" i="17" s="1"/>
  <c r="B299" i="17" s="1"/>
  <c r="B300" i="17" s="1"/>
  <c r="B301" i="17" s="1"/>
  <c r="B302" i="17" s="1"/>
  <c r="B303" i="17" s="1"/>
  <c r="B304" i="17" s="1"/>
  <c r="B305" i="17" s="1"/>
  <c r="B306" i="17" s="1"/>
  <c r="B307" i="17" s="1"/>
  <c r="B308" i="17" s="1"/>
  <c r="B309" i="17" s="1"/>
  <c r="B310" i="17" s="1"/>
  <c r="B311" i="17" s="1"/>
  <c r="B312" i="17" s="1"/>
  <c r="B313" i="17" s="1"/>
  <c r="B314" i="17" s="1"/>
  <c r="B315" i="17" s="1"/>
  <c r="B316" i="17" s="1"/>
  <c r="B317" i="17" s="1"/>
  <c r="B318" i="17" s="1"/>
  <c r="B319" i="17" s="1"/>
  <c r="B320" i="17" s="1"/>
  <c r="B321" i="17" s="1"/>
  <c r="B322" i="17" s="1"/>
  <c r="B323" i="17" s="1"/>
  <c r="B324" i="17" s="1"/>
  <c r="B325" i="17" s="1"/>
  <c r="B326" i="17" s="1"/>
  <c r="B327" i="17" s="1"/>
  <c r="B328" i="17" s="1"/>
  <c r="B329" i="17" s="1"/>
  <c r="B330" i="17" s="1"/>
  <c r="B331" i="17" s="1"/>
  <c r="B332" i="17" s="1"/>
  <c r="B333" i="17" s="1"/>
  <c r="B334" i="17" s="1"/>
  <c r="B335" i="17" s="1"/>
  <c r="B336" i="17" s="1"/>
  <c r="B337" i="17" s="1"/>
  <c r="B338" i="17" s="1"/>
  <c r="B339" i="17" s="1"/>
  <c r="B340" i="17" s="1"/>
  <c r="B341" i="17" s="1"/>
  <c r="B342" i="17" s="1"/>
  <c r="B343" i="17" s="1"/>
  <c r="B344" i="17" s="1"/>
  <c r="B345" i="17" s="1"/>
  <c r="B346" i="17" s="1"/>
  <c r="B347" i="17" s="1"/>
  <c r="B348" i="17" s="1"/>
  <c r="B349" i="17" s="1"/>
  <c r="B350" i="17" s="1"/>
  <c r="B351" i="17" s="1"/>
  <c r="B352" i="17" s="1"/>
  <c r="B353" i="17" s="1"/>
  <c r="B354" i="17" s="1"/>
  <c r="B355" i="17" s="1"/>
  <c r="B356" i="17" s="1"/>
  <c r="B357" i="17" s="1"/>
  <c r="B358" i="17" s="1"/>
  <c r="B359" i="17" s="1"/>
  <c r="B360" i="17" s="1"/>
  <c r="B361" i="17" s="1"/>
  <c r="B362" i="17" s="1"/>
  <c r="B363" i="17" s="1"/>
  <c r="B364" i="17" s="1"/>
  <c r="B365" i="17" s="1"/>
  <c r="B366" i="17" s="1"/>
  <c r="B367" i="17" s="1"/>
  <c r="B368" i="17" s="1"/>
  <c r="B369" i="17" s="1"/>
  <c r="B370" i="17" s="1"/>
  <c r="B371" i="17" s="1"/>
  <c r="B372" i="17" s="1"/>
  <c r="B373" i="17" s="1"/>
  <c r="B374" i="17" s="1"/>
  <c r="B375" i="17" s="1"/>
  <c r="B376" i="17" s="1"/>
  <c r="B377" i="17" s="1"/>
  <c r="B378" i="17" s="1"/>
  <c r="B379" i="17" s="1"/>
  <c r="B380" i="17" s="1"/>
  <c r="B381" i="17" s="1"/>
  <c r="B382" i="17" s="1"/>
  <c r="B383" i="17" s="1"/>
  <c r="B384" i="17" s="1"/>
  <c r="B385" i="17" s="1"/>
  <c r="B386" i="17" s="1"/>
  <c r="B387" i="17" s="1"/>
  <c r="B388" i="17" s="1"/>
  <c r="B389" i="17" s="1"/>
  <c r="B390" i="17" s="1"/>
  <c r="B391" i="17" s="1"/>
  <c r="B392" i="17" s="1"/>
  <c r="B393" i="17" s="1"/>
  <c r="B394" i="17" s="1"/>
  <c r="B395" i="17" s="1"/>
  <c r="B396" i="17" s="1"/>
  <c r="B397" i="17" s="1"/>
  <c r="B398" i="17" s="1"/>
  <c r="B399" i="17" s="1"/>
  <c r="B400" i="17" s="1"/>
  <c r="B401" i="17" s="1"/>
  <c r="B402" i="17" s="1"/>
  <c r="B403" i="17" s="1"/>
  <c r="B404" i="17" s="1"/>
  <c r="B405" i="17" s="1"/>
  <c r="B406" i="17" s="1"/>
  <c r="B407" i="17" s="1"/>
  <c r="B408" i="17" s="1"/>
  <c r="B409" i="17" s="1"/>
  <c r="B410" i="17" s="1"/>
  <c r="B411" i="17" s="1"/>
  <c r="B412" i="17" s="1"/>
  <c r="B413" i="17" s="1"/>
  <c r="B414" i="17" s="1"/>
  <c r="B415" i="17" s="1"/>
  <c r="B416" i="17" s="1"/>
  <c r="B417" i="17" s="1"/>
  <c r="B418" i="17" s="1"/>
  <c r="B419" i="17" s="1"/>
  <c r="B420" i="17" s="1"/>
  <c r="B421" i="17" s="1"/>
  <c r="B422" i="17" s="1"/>
  <c r="B423" i="17" s="1"/>
  <c r="B424" i="17" s="1"/>
  <c r="B425" i="17" s="1"/>
  <c r="B426" i="17" s="1"/>
  <c r="B427" i="17" s="1"/>
  <c r="B428" i="17" s="1"/>
  <c r="B429" i="17" s="1"/>
  <c r="B430" i="17" s="1"/>
  <c r="B431" i="17" s="1"/>
  <c r="B432" i="17" s="1"/>
  <c r="B433" i="17" s="1"/>
  <c r="B434" i="17" s="1"/>
  <c r="B435" i="17" s="1"/>
  <c r="B436" i="17" s="1"/>
  <c r="B437" i="17" s="1"/>
  <c r="B438" i="17" s="1"/>
  <c r="B439" i="17" s="1"/>
  <c r="B440" i="17" s="1"/>
  <c r="B441" i="17" s="1"/>
  <c r="B442" i="17" s="1"/>
  <c r="B443" i="17" s="1"/>
  <c r="B444" i="17" s="1"/>
  <c r="B445" i="17" s="1"/>
  <c r="B446" i="17" s="1"/>
  <c r="B447" i="17" s="1"/>
  <c r="B448" i="17" s="1"/>
  <c r="E16" i="22"/>
  <c r="E17" i="22" s="1"/>
  <c r="E19" i="22"/>
  <c r="E21" i="22" s="1"/>
  <c r="E22" i="22" s="1"/>
  <c r="E25" i="22" s="1"/>
  <c r="E27" i="22" s="1"/>
  <c r="E28" i="22" s="1"/>
  <c r="E29" i="22" s="1"/>
  <c r="L9" i="17"/>
  <c r="H13" i="15"/>
  <c r="F12" i="15"/>
  <c r="B12" i="15"/>
  <c r="I12" i="15"/>
  <c r="C5" i="17"/>
  <c r="A16" i="17" s="1"/>
  <c r="A17" i="17" s="1"/>
  <c r="A18" i="17" s="1"/>
  <c r="A19" i="17" s="1"/>
  <c r="A20" i="17" s="1"/>
  <c r="A21" i="17" s="1"/>
  <c r="A22" i="17" s="1"/>
  <c r="A23" i="17" s="1"/>
  <c r="A24" i="17" s="1"/>
  <c r="A25" i="17" s="1"/>
  <c r="A26" i="17" s="1"/>
  <c r="A27" i="17" s="1"/>
  <c r="A28" i="17" s="1"/>
  <c r="A29" i="17" s="1"/>
  <c r="A30" i="17" s="1"/>
  <c r="A31" i="17" s="1"/>
  <c r="A32" i="17" s="1"/>
  <c r="A33" i="17" s="1"/>
  <c r="A34" i="17" s="1"/>
  <c r="A35" i="17" s="1"/>
  <c r="A36" i="17" s="1"/>
  <c r="A37" i="17" s="1"/>
  <c r="A38" i="17" s="1"/>
  <c r="A39" i="17" s="1"/>
  <c r="A40" i="17" s="1"/>
  <c r="A41" i="17" s="1"/>
  <c r="A42" i="17" s="1"/>
  <c r="A43" i="17" s="1"/>
  <c r="A44" i="17" s="1"/>
  <c r="A45" i="17" s="1"/>
  <c r="A46" i="17" s="1"/>
  <c r="A47" i="17" s="1"/>
  <c r="A48" i="17" s="1"/>
  <c r="A49" i="17" s="1"/>
  <c r="A50" i="17" s="1"/>
  <c r="A51" i="17" s="1"/>
  <c r="A52" i="17" s="1"/>
  <c r="A53" i="17" s="1"/>
  <c r="A54" i="17" s="1"/>
  <c r="A55" i="17" s="1"/>
  <c r="A56" i="17" s="1"/>
  <c r="A57" i="17" s="1"/>
  <c r="A58" i="17" s="1"/>
  <c r="A59" i="17" s="1"/>
  <c r="A60" i="17" s="1"/>
  <c r="A61" i="17" s="1"/>
  <c r="A62" i="17" s="1"/>
  <c r="A63" i="17" s="1"/>
  <c r="A64" i="17" s="1"/>
  <c r="A65" i="17" s="1"/>
  <c r="A66" i="17" s="1"/>
  <c r="A67" i="17" s="1"/>
  <c r="A68" i="17" s="1"/>
  <c r="A69" i="17" s="1"/>
  <c r="A70" i="17" s="1"/>
  <c r="A71" i="17" s="1"/>
  <c r="A72" i="17" s="1"/>
  <c r="A73" i="17" s="1"/>
  <c r="A74" i="17" s="1"/>
  <c r="A75" i="17" s="1"/>
  <c r="A76" i="17" s="1"/>
  <c r="A77" i="17" s="1"/>
  <c r="A78" i="17" s="1"/>
  <c r="A79" i="17" s="1"/>
  <c r="A80" i="17" s="1"/>
  <c r="A81" i="17" s="1"/>
  <c r="A82" i="17" s="1"/>
  <c r="A83" i="17" s="1"/>
  <c r="A84" i="17" s="1"/>
  <c r="A85" i="17" s="1"/>
  <c r="A86" i="17" s="1"/>
  <c r="A87" i="17" s="1"/>
  <c r="A88" i="17" s="1"/>
  <c r="A89" i="17" s="1"/>
  <c r="A90" i="17" s="1"/>
  <c r="A91" i="17" s="1"/>
  <c r="A92" i="17" s="1"/>
  <c r="A93" i="17" s="1"/>
  <c r="A94" i="17" s="1"/>
  <c r="A95" i="17" s="1"/>
  <c r="A96" i="17" s="1"/>
  <c r="A97" i="17" s="1"/>
  <c r="A98" i="17" s="1"/>
  <c r="A99" i="17" s="1"/>
  <c r="A100" i="17" s="1"/>
  <c r="A101" i="17" s="1"/>
  <c r="A102" i="17" s="1"/>
  <c r="A103" i="17" s="1"/>
  <c r="A104" i="17" s="1"/>
  <c r="A105" i="17" s="1"/>
  <c r="A106" i="17" s="1"/>
  <c r="A107" i="17" s="1"/>
  <c r="A108" i="17" s="1"/>
  <c r="A109" i="17" s="1"/>
  <c r="A110" i="17" s="1"/>
  <c r="A111" i="17" s="1"/>
  <c r="A112" i="17" s="1"/>
  <c r="A113" i="17" s="1"/>
  <c r="A114" i="17" s="1"/>
  <c r="A115" i="17" s="1"/>
  <c r="A116" i="17" s="1"/>
  <c r="A117" i="17" s="1"/>
  <c r="A118" i="17" s="1"/>
  <c r="A119" i="17" s="1"/>
  <c r="A120" i="17" s="1"/>
  <c r="A121" i="17" s="1"/>
  <c r="A122" i="17" s="1"/>
  <c r="A123" i="17" s="1"/>
  <c r="A124" i="17" s="1"/>
  <c r="A125" i="17" s="1"/>
  <c r="A126" i="17" s="1"/>
  <c r="A127" i="17" s="1"/>
  <c r="A128" i="17" s="1"/>
  <c r="A129" i="17" s="1"/>
  <c r="A130" i="17" s="1"/>
  <c r="A131" i="17" s="1"/>
  <c r="A132" i="17" s="1"/>
  <c r="A133" i="17" s="1"/>
  <c r="A134" i="17" s="1"/>
  <c r="A135" i="17" s="1"/>
  <c r="A136" i="17" s="1"/>
  <c r="A137" i="17" s="1"/>
  <c r="A138" i="17" s="1"/>
  <c r="A139" i="17" s="1"/>
  <c r="A140" i="17" s="1"/>
  <c r="A141" i="17" s="1"/>
  <c r="A142" i="17" s="1"/>
  <c r="A143" i="17" s="1"/>
  <c r="A144" i="17" s="1"/>
  <c r="A145" i="17" s="1"/>
  <c r="A146" i="17" s="1"/>
  <c r="A147" i="17" s="1"/>
  <c r="A148" i="17" s="1"/>
  <c r="A149" i="17" s="1"/>
  <c r="A150" i="17" s="1"/>
  <c r="A151" i="17" s="1"/>
  <c r="A152" i="17" s="1"/>
  <c r="A153" i="17" s="1"/>
  <c r="A154" i="17" s="1"/>
  <c r="A155" i="17" s="1"/>
  <c r="A156" i="17" s="1"/>
  <c r="A157" i="17" s="1"/>
  <c r="A158" i="17" s="1"/>
  <c r="A159" i="17" s="1"/>
  <c r="A160" i="17" s="1"/>
  <c r="A161" i="17" s="1"/>
  <c r="A162" i="17" s="1"/>
  <c r="A163" i="17" s="1"/>
  <c r="A164" i="17" s="1"/>
  <c r="A165" i="17" s="1"/>
  <c r="A166" i="17" s="1"/>
  <c r="A167" i="17" s="1"/>
  <c r="A168" i="17" s="1"/>
  <c r="A169" i="17" s="1"/>
  <c r="A170" i="17" s="1"/>
  <c r="A171" i="17" s="1"/>
  <c r="A172" i="17" s="1"/>
  <c r="A173" i="17" s="1"/>
  <c r="A174" i="17" s="1"/>
  <c r="A175" i="17" s="1"/>
  <c r="A176" i="17" s="1"/>
  <c r="A177" i="17" s="1"/>
  <c r="A178" i="17" s="1"/>
  <c r="A179" i="17" s="1"/>
  <c r="A180" i="17" s="1"/>
  <c r="A181" i="17" s="1"/>
  <c r="A182" i="17" s="1"/>
  <c r="A183" i="17" s="1"/>
  <c r="A184" i="17" s="1"/>
  <c r="A185" i="17" s="1"/>
  <c r="A186" i="17" s="1"/>
  <c r="A187" i="17" s="1"/>
  <c r="A188" i="17" s="1"/>
  <c r="A189" i="17" s="1"/>
  <c r="A190" i="17" s="1"/>
  <c r="A191" i="17" s="1"/>
  <c r="A192" i="17" s="1"/>
  <c r="A193" i="17" s="1"/>
  <c r="A194" i="17" s="1"/>
  <c r="A195" i="17" s="1"/>
  <c r="A196" i="17" s="1"/>
  <c r="A197" i="17" s="1"/>
  <c r="A198" i="17" s="1"/>
  <c r="A199" i="17" s="1"/>
  <c r="A200" i="17" s="1"/>
  <c r="A201" i="17" s="1"/>
  <c r="A202" i="17" s="1"/>
  <c r="A203" i="17" s="1"/>
  <c r="A204" i="17" s="1"/>
  <c r="A205" i="17" s="1"/>
  <c r="A206" i="17" s="1"/>
  <c r="A207" i="17" s="1"/>
  <c r="A208" i="17" s="1"/>
  <c r="A209" i="17" s="1"/>
  <c r="A210" i="17" s="1"/>
  <c r="A211" i="17" s="1"/>
  <c r="A212" i="17" s="1"/>
  <c r="A213" i="17" s="1"/>
  <c r="A214" i="17" s="1"/>
  <c r="A215" i="17" s="1"/>
  <c r="A216" i="17" s="1"/>
  <c r="A217" i="17" s="1"/>
  <c r="A218" i="17" s="1"/>
  <c r="A219" i="17" s="1"/>
  <c r="A220" i="17" s="1"/>
  <c r="A221" i="17" s="1"/>
  <c r="A222" i="17" s="1"/>
  <c r="A223" i="17" s="1"/>
  <c r="A224" i="17" s="1"/>
  <c r="A225" i="17" s="1"/>
  <c r="A226" i="17" s="1"/>
  <c r="A227" i="17" s="1"/>
  <c r="A228" i="17" s="1"/>
  <c r="A229" i="17" s="1"/>
  <c r="A230" i="17" s="1"/>
  <c r="A231" i="17" s="1"/>
  <c r="A232" i="17" s="1"/>
  <c r="A233" i="17" s="1"/>
  <c r="A234" i="17" s="1"/>
  <c r="A235" i="17" s="1"/>
  <c r="A236" i="17" s="1"/>
  <c r="A237" i="17" s="1"/>
  <c r="A238" i="17" s="1"/>
  <c r="A239" i="17" s="1"/>
  <c r="A240" i="17" s="1"/>
  <c r="A241" i="17" s="1"/>
  <c r="A242" i="17" s="1"/>
  <c r="A243" i="17" s="1"/>
  <c r="A244" i="17" s="1"/>
  <c r="A245" i="17" s="1"/>
  <c r="A246" i="17" s="1"/>
  <c r="A247" i="17" s="1"/>
  <c r="A248" i="17" s="1"/>
  <c r="A249" i="17" s="1"/>
  <c r="A250" i="17" s="1"/>
  <c r="A251" i="17" s="1"/>
  <c r="A252" i="17" s="1"/>
  <c r="A253" i="17" s="1"/>
  <c r="A254" i="17" s="1"/>
  <c r="A255" i="17" s="1"/>
  <c r="A256" i="17" s="1"/>
  <c r="A257" i="17" s="1"/>
  <c r="A258" i="17" s="1"/>
  <c r="A259" i="17" s="1"/>
  <c r="A260" i="17" s="1"/>
  <c r="A261" i="17" s="1"/>
  <c r="A262" i="17" s="1"/>
  <c r="A263" i="17" s="1"/>
  <c r="A264" i="17" s="1"/>
  <c r="A265" i="17" s="1"/>
  <c r="A266" i="17" s="1"/>
  <c r="A267" i="17" s="1"/>
  <c r="A268" i="17" s="1"/>
  <c r="A269" i="17" s="1"/>
  <c r="A270" i="17" s="1"/>
  <c r="A271" i="17" s="1"/>
  <c r="A272" i="17" s="1"/>
  <c r="A273" i="17" s="1"/>
  <c r="A274" i="17" s="1"/>
  <c r="A275" i="17" s="1"/>
  <c r="A276" i="17" s="1"/>
  <c r="A277" i="17" s="1"/>
  <c r="A278" i="17" s="1"/>
  <c r="A279" i="17" s="1"/>
  <c r="A280" i="17" s="1"/>
  <c r="A281" i="17" s="1"/>
  <c r="A282" i="17" s="1"/>
  <c r="A283" i="17" s="1"/>
  <c r="A284" i="17" s="1"/>
  <c r="A285" i="17" s="1"/>
  <c r="A286" i="17" s="1"/>
  <c r="A287" i="17" s="1"/>
  <c r="A288" i="17" s="1"/>
  <c r="A289" i="17" s="1"/>
  <c r="A290" i="17" s="1"/>
  <c r="A291" i="17" s="1"/>
  <c r="A292" i="17" s="1"/>
  <c r="A293" i="17" s="1"/>
  <c r="A294" i="17" s="1"/>
  <c r="A295" i="17" s="1"/>
  <c r="A296" i="17" s="1"/>
  <c r="A297" i="17" s="1"/>
  <c r="A298" i="17" s="1"/>
  <c r="A299" i="17" s="1"/>
  <c r="A300" i="17" s="1"/>
  <c r="A301" i="17" s="1"/>
  <c r="A302" i="17" s="1"/>
  <c r="A303" i="17" s="1"/>
  <c r="A304" i="17" s="1"/>
  <c r="A305" i="17" s="1"/>
  <c r="A306" i="17" s="1"/>
  <c r="A307" i="17" s="1"/>
  <c r="A308" i="17" s="1"/>
  <c r="A309" i="17" s="1"/>
  <c r="A310" i="17" s="1"/>
  <c r="A311" i="17" s="1"/>
  <c r="A312" i="17" s="1"/>
  <c r="A313" i="17" s="1"/>
  <c r="A314" i="17" s="1"/>
  <c r="A315" i="17" s="1"/>
  <c r="A316" i="17" s="1"/>
  <c r="A317" i="17" s="1"/>
  <c r="A318" i="17" s="1"/>
  <c r="A319" i="17" s="1"/>
  <c r="A320" i="17" s="1"/>
  <c r="A321" i="17" s="1"/>
  <c r="A322" i="17" s="1"/>
  <c r="A323" i="17" s="1"/>
  <c r="A324" i="17" s="1"/>
  <c r="A325" i="17" s="1"/>
  <c r="A326" i="17" s="1"/>
  <c r="A327" i="17" s="1"/>
  <c r="A328" i="17" s="1"/>
  <c r="A329" i="17" s="1"/>
  <c r="A330" i="17" s="1"/>
  <c r="A331" i="17" s="1"/>
  <c r="A332" i="17" s="1"/>
  <c r="A333" i="17" s="1"/>
  <c r="A334" i="17" s="1"/>
  <c r="A335" i="17" s="1"/>
  <c r="A336" i="17" s="1"/>
  <c r="A337" i="17" s="1"/>
  <c r="A338" i="17" s="1"/>
  <c r="A339" i="17" s="1"/>
  <c r="A340" i="17" s="1"/>
  <c r="A341" i="17" s="1"/>
  <c r="A342" i="17" s="1"/>
  <c r="A343" i="17" s="1"/>
  <c r="A344" i="17" s="1"/>
  <c r="A345" i="17" s="1"/>
  <c r="A346" i="17" s="1"/>
  <c r="A347" i="17" s="1"/>
  <c r="A348" i="17" s="1"/>
  <c r="A349" i="17" s="1"/>
  <c r="A350" i="17" s="1"/>
  <c r="A351" i="17" s="1"/>
  <c r="A352" i="17" s="1"/>
  <c r="A353" i="17" s="1"/>
  <c r="A354" i="17" s="1"/>
  <c r="A355" i="17" s="1"/>
  <c r="A356" i="17" s="1"/>
  <c r="A357" i="17" s="1"/>
  <c r="A358" i="17" s="1"/>
  <c r="A359" i="17" s="1"/>
  <c r="A360" i="17" s="1"/>
  <c r="A361" i="17" s="1"/>
  <c r="A362" i="17" s="1"/>
  <c r="A363" i="17" s="1"/>
  <c r="A364" i="17" s="1"/>
  <c r="A365" i="17" s="1"/>
  <c r="A366" i="17" s="1"/>
  <c r="A367" i="17" s="1"/>
  <c r="A368" i="17" s="1"/>
  <c r="A369" i="17" s="1"/>
  <c r="A370" i="17" s="1"/>
  <c r="A371" i="17" s="1"/>
  <c r="A372" i="17" s="1"/>
  <c r="A373" i="17" s="1"/>
  <c r="A374" i="17" s="1"/>
  <c r="A375" i="17" s="1"/>
  <c r="A376" i="17" s="1"/>
  <c r="A377" i="17" s="1"/>
  <c r="A378" i="17" s="1"/>
  <c r="A379" i="17" s="1"/>
  <c r="A380" i="17" s="1"/>
  <c r="A381" i="17" s="1"/>
  <c r="A382" i="17" s="1"/>
  <c r="A383" i="17" s="1"/>
  <c r="A384" i="17" s="1"/>
  <c r="A385" i="17" s="1"/>
  <c r="A386" i="17" s="1"/>
  <c r="A387" i="17" s="1"/>
  <c r="A388" i="17" s="1"/>
  <c r="A389" i="17" s="1"/>
  <c r="A390" i="17" s="1"/>
  <c r="A391" i="17" s="1"/>
  <c r="A392" i="17" s="1"/>
  <c r="A393" i="17" s="1"/>
  <c r="A394" i="17" s="1"/>
  <c r="A395" i="17" s="1"/>
  <c r="A396" i="17" s="1"/>
  <c r="A397" i="17" s="1"/>
  <c r="A398" i="17" s="1"/>
  <c r="A399" i="17" s="1"/>
  <c r="A400" i="17" s="1"/>
  <c r="A401" i="17" s="1"/>
  <c r="A402" i="17" s="1"/>
  <c r="A403" i="17" s="1"/>
  <c r="A404" i="17" s="1"/>
  <c r="A405" i="17" s="1"/>
  <c r="A406" i="17" s="1"/>
  <c r="A407" i="17" s="1"/>
  <c r="A408" i="17" s="1"/>
  <c r="A409" i="17" s="1"/>
  <c r="A410" i="17" s="1"/>
  <c r="A411" i="17" s="1"/>
  <c r="A412" i="17" s="1"/>
  <c r="A413" i="17" s="1"/>
  <c r="A414" i="17" s="1"/>
  <c r="A415" i="17" s="1"/>
  <c r="A416" i="17" s="1"/>
  <c r="A417" i="17" s="1"/>
  <c r="A418" i="17" s="1"/>
  <c r="A419" i="17" s="1"/>
  <c r="A420" i="17" s="1"/>
  <c r="A421" i="17" s="1"/>
  <c r="A422" i="17" s="1"/>
  <c r="A423" i="17" s="1"/>
  <c r="A424" i="17" s="1"/>
  <c r="A425" i="17" s="1"/>
  <c r="A426" i="17" s="1"/>
  <c r="A427" i="17" s="1"/>
  <c r="A428" i="17" s="1"/>
  <c r="A429" i="17" s="1"/>
  <c r="A430" i="17" s="1"/>
  <c r="A431" i="17" s="1"/>
  <c r="A432" i="17" s="1"/>
  <c r="A433" i="17" s="1"/>
  <c r="A434" i="17" s="1"/>
  <c r="A435" i="17" s="1"/>
  <c r="A436" i="17" s="1"/>
  <c r="A437" i="17" s="1"/>
  <c r="A438" i="17" s="1"/>
  <c r="A439" i="17" s="1"/>
  <c r="A440" i="17" s="1"/>
  <c r="A441" i="17" s="1"/>
  <c r="A442" i="17" s="1"/>
  <c r="A443" i="17" s="1"/>
  <c r="A444" i="17" s="1"/>
  <c r="A445" i="17" s="1"/>
  <c r="A446" i="17" s="1"/>
  <c r="A447" i="17" s="1"/>
  <c r="A448" i="17" s="1"/>
  <c r="AE6" i="18"/>
  <c r="E11" i="15"/>
  <c r="F11" i="15" s="1"/>
  <c r="C12" i="15" s="1"/>
  <c r="D12" i="15" s="1"/>
  <c r="W7" i="18"/>
  <c r="AD7" i="18" s="1"/>
  <c r="C12" i="14"/>
  <c r="B12" i="14"/>
  <c r="H13" i="14"/>
  <c r="D12" i="14"/>
  <c r="E12" i="14" s="1"/>
  <c r="M16" i="21"/>
  <c r="K7" i="18"/>
  <c r="E12" i="17" s="1"/>
  <c r="M8" i="21"/>
  <c r="E7" i="17"/>
  <c r="J9" i="17"/>
  <c r="J10" i="17" s="1"/>
  <c r="D22" i="20" s="1"/>
  <c r="J3" i="17"/>
  <c r="J5" i="17"/>
  <c r="H16" i="17" s="1"/>
  <c r="H17" i="17" s="1"/>
  <c r="H18" i="17" s="1"/>
  <c r="H19" i="17" s="1"/>
  <c r="H20" i="17" s="1"/>
  <c r="H21" i="17" s="1"/>
  <c r="H22" i="17" s="1"/>
  <c r="H23" i="17" s="1"/>
  <c r="H24" i="17" s="1"/>
  <c r="H25" i="17" s="1"/>
  <c r="H26" i="17" s="1"/>
  <c r="H27" i="17" s="1"/>
  <c r="H28" i="17" s="1"/>
  <c r="H29" i="17" s="1"/>
  <c r="H30" i="17" s="1"/>
  <c r="H31" i="17" s="1"/>
  <c r="H32" i="17" s="1"/>
  <c r="H33" i="17" s="1"/>
  <c r="H34" i="17" s="1"/>
  <c r="H35" i="17" s="1"/>
  <c r="H36" i="17" s="1"/>
  <c r="H37" i="17" s="1"/>
  <c r="H38" i="17" s="1"/>
  <c r="H39" i="17" s="1"/>
  <c r="H40" i="17" s="1"/>
  <c r="H41" i="17" s="1"/>
  <c r="H42" i="17" s="1"/>
  <c r="H43" i="17" s="1"/>
  <c r="H44" i="17" s="1"/>
  <c r="H45" i="17" s="1"/>
  <c r="H46" i="17" s="1"/>
  <c r="H47" i="17" s="1"/>
  <c r="H48" i="17" s="1"/>
  <c r="H49" i="17" s="1"/>
  <c r="H50" i="17" s="1"/>
  <c r="H51" i="17" s="1"/>
  <c r="H52" i="17" s="1"/>
  <c r="H53" i="17" s="1"/>
  <c r="H54" i="17" s="1"/>
  <c r="H55" i="17" s="1"/>
  <c r="H56" i="17" s="1"/>
  <c r="H57" i="17" s="1"/>
  <c r="H58" i="17" s="1"/>
  <c r="H59" i="17" s="1"/>
  <c r="H60" i="17" s="1"/>
  <c r="H61" i="17" s="1"/>
  <c r="H62" i="17" s="1"/>
  <c r="H63" i="17" s="1"/>
  <c r="H64" i="17" s="1"/>
  <c r="H65" i="17" s="1"/>
  <c r="H66" i="17" s="1"/>
  <c r="H67" i="17" s="1"/>
  <c r="H68" i="17" s="1"/>
  <c r="H69" i="17" s="1"/>
  <c r="H70" i="17" s="1"/>
  <c r="H71" i="17" s="1"/>
  <c r="H72" i="17" s="1"/>
  <c r="H73" i="17" s="1"/>
  <c r="H74" i="17" s="1"/>
  <c r="H75" i="17" s="1"/>
  <c r="H76" i="17" s="1"/>
  <c r="H77" i="17" s="1"/>
  <c r="H78" i="17" s="1"/>
  <c r="H79" i="17" s="1"/>
  <c r="H80" i="17" s="1"/>
  <c r="H81" i="17" s="1"/>
  <c r="H82" i="17" s="1"/>
  <c r="H83" i="17" s="1"/>
  <c r="H84" i="17" s="1"/>
  <c r="H85" i="17" s="1"/>
  <c r="H86" i="17" s="1"/>
  <c r="H87" i="17" s="1"/>
  <c r="H88" i="17" s="1"/>
  <c r="H89" i="17" s="1"/>
  <c r="H90" i="17" s="1"/>
  <c r="H91" i="17" s="1"/>
  <c r="H92" i="17" s="1"/>
  <c r="H93" i="17" s="1"/>
  <c r="H94" i="17" s="1"/>
  <c r="H95" i="17" s="1"/>
  <c r="H96" i="17" s="1"/>
  <c r="H97" i="17" s="1"/>
  <c r="H98" i="17" s="1"/>
  <c r="H99" i="17" s="1"/>
  <c r="H100" i="17" s="1"/>
  <c r="H101" i="17" s="1"/>
  <c r="H102" i="17" s="1"/>
  <c r="H103" i="17" s="1"/>
  <c r="H104" i="17" s="1"/>
  <c r="H105" i="17" s="1"/>
  <c r="H106" i="17" s="1"/>
  <c r="H107" i="17" s="1"/>
  <c r="H108" i="17" s="1"/>
  <c r="H109" i="17" s="1"/>
  <c r="H110" i="17" s="1"/>
  <c r="H111" i="17" s="1"/>
  <c r="H112" i="17" s="1"/>
  <c r="H113" i="17" s="1"/>
  <c r="H114" i="17" s="1"/>
  <c r="H115" i="17" s="1"/>
  <c r="H116" i="17" s="1"/>
  <c r="H117" i="17" s="1"/>
  <c r="H118" i="17" s="1"/>
  <c r="H119" i="17" s="1"/>
  <c r="H120" i="17" s="1"/>
  <c r="H121" i="17" s="1"/>
  <c r="H122" i="17" s="1"/>
  <c r="H123" i="17" s="1"/>
  <c r="H124" i="17" s="1"/>
  <c r="H125" i="17" s="1"/>
  <c r="H126" i="17" s="1"/>
  <c r="H127" i="17" s="1"/>
  <c r="H128" i="17" s="1"/>
  <c r="H129" i="17" s="1"/>
  <c r="H130" i="17" s="1"/>
  <c r="H131" i="17" s="1"/>
  <c r="H132" i="17" s="1"/>
  <c r="H133" i="17" s="1"/>
  <c r="H134" i="17" s="1"/>
  <c r="H135" i="17" s="1"/>
  <c r="H136" i="17" s="1"/>
  <c r="H137" i="17" s="1"/>
  <c r="H138" i="17" s="1"/>
  <c r="H139" i="17" s="1"/>
  <c r="H140" i="17" s="1"/>
  <c r="H141" i="17" s="1"/>
  <c r="H142" i="17" s="1"/>
  <c r="H143" i="17" s="1"/>
  <c r="H144" i="17" s="1"/>
  <c r="H145" i="17" s="1"/>
  <c r="H146" i="17" s="1"/>
  <c r="H147" i="17" s="1"/>
  <c r="H148" i="17" s="1"/>
  <c r="H149" i="17" s="1"/>
  <c r="H150" i="17" s="1"/>
  <c r="H151" i="17" s="1"/>
  <c r="H152" i="17" s="1"/>
  <c r="H153" i="17" s="1"/>
  <c r="H154" i="17" s="1"/>
  <c r="H155" i="17" s="1"/>
  <c r="H156" i="17" s="1"/>
  <c r="H157" i="17" s="1"/>
  <c r="H158" i="17" s="1"/>
  <c r="H159" i="17" s="1"/>
  <c r="H160" i="17" s="1"/>
  <c r="H161" i="17" s="1"/>
  <c r="H162" i="17" s="1"/>
  <c r="H163" i="17" s="1"/>
  <c r="H164" i="17" s="1"/>
  <c r="H165" i="17" s="1"/>
  <c r="H166" i="17" s="1"/>
  <c r="H167" i="17" s="1"/>
  <c r="H168" i="17" s="1"/>
  <c r="H169" i="17" s="1"/>
  <c r="H170" i="17" s="1"/>
  <c r="H171" i="17" s="1"/>
  <c r="H172" i="17" s="1"/>
  <c r="H173" i="17" s="1"/>
  <c r="H174" i="17" s="1"/>
  <c r="H175" i="17" s="1"/>
  <c r="H176" i="17" s="1"/>
  <c r="H177" i="17" s="1"/>
  <c r="H178" i="17" s="1"/>
  <c r="H179" i="17" s="1"/>
  <c r="H180" i="17" s="1"/>
  <c r="H181" i="17" s="1"/>
  <c r="H182" i="17" s="1"/>
  <c r="H183" i="17" s="1"/>
  <c r="H184" i="17" s="1"/>
  <c r="H185" i="17" s="1"/>
  <c r="H186" i="17" s="1"/>
  <c r="H187" i="17" s="1"/>
  <c r="H188" i="17" s="1"/>
  <c r="H189" i="17" s="1"/>
  <c r="H190" i="17" s="1"/>
  <c r="H191" i="17" s="1"/>
  <c r="H192" i="17" s="1"/>
  <c r="H193" i="17" s="1"/>
  <c r="H194" i="17" s="1"/>
  <c r="H195" i="17" s="1"/>
  <c r="H196" i="17" s="1"/>
  <c r="H197" i="17" s="1"/>
  <c r="H198" i="17" s="1"/>
  <c r="H199" i="17" s="1"/>
  <c r="H200" i="17" s="1"/>
  <c r="H201" i="17" s="1"/>
  <c r="H202" i="17" s="1"/>
  <c r="H203" i="17" s="1"/>
  <c r="H204" i="17" s="1"/>
  <c r="H205" i="17" s="1"/>
  <c r="H206" i="17" s="1"/>
  <c r="H207" i="17" s="1"/>
  <c r="H208" i="17" s="1"/>
  <c r="H209" i="17" s="1"/>
  <c r="H210" i="17" s="1"/>
  <c r="H211" i="17" s="1"/>
  <c r="H212" i="17" s="1"/>
  <c r="H213" i="17" s="1"/>
  <c r="H214" i="17" s="1"/>
  <c r="H215" i="17" s="1"/>
  <c r="H216" i="17" s="1"/>
  <c r="H217" i="17" s="1"/>
  <c r="H218" i="17" s="1"/>
  <c r="H219" i="17" s="1"/>
  <c r="H220" i="17" s="1"/>
  <c r="H221" i="17" s="1"/>
  <c r="H222" i="17" s="1"/>
  <c r="H223" i="17" s="1"/>
  <c r="H224" i="17" s="1"/>
  <c r="H225" i="17" s="1"/>
  <c r="H226" i="17" s="1"/>
  <c r="H227" i="17" s="1"/>
  <c r="H228" i="17" s="1"/>
  <c r="H229" i="17" s="1"/>
  <c r="H230" i="17" s="1"/>
  <c r="H231" i="17" s="1"/>
  <c r="H232" i="17" s="1"/>
  <c r="H233" i="17" s="1"/>
  <c r="H234" i="17" s="1"/>
  <c r="H235" i="17" s="1"/>
  <c r="H236" i="17" s="1"/>
  <c r="H237" i="17" s="1"/>
  <c r="H238" i="17" s="1"/>
  <c r="H239" i="17" s="1"/>
  <c r="H240" i="17" s="1"/>
  <c r="H241" i="17" s="1"/>
  <c r="H242" i="17" s="1"/>
  <c r="H243" i="17" s="1"/>
  <c r="H244" i="17" s="1"/>
  <c r="H245" i="17" s="1"/>
  <c r="H246" i="17" s="1"/>
  <c r="H247" i="17" s="1"/>
  <c r="H248" i="17" s="1"/>
  <c r="H249" i="17" s="1"/>
  <c r="H250" i="17" s="1"/>
  <c r="H251" i="17" s="1"/>
  <c r="H252" i="17" s="1"/>
  <c r="H253" i="17" s="1"/>
  <c r="H254" i="17" s="1"/>
  <c r="H255" i="17" s="1"/>
  <c r="H256" i="17" s="1"/>
  <c r="H257" i="17" s="1"/>
  <c r="H258" i="17" s="1"/>
  <c r="H259" i="17" s="1"/>
  <c r="H260" i="17" s="1"/>
  <c r="H261" i="17" s="1"/>
  <c r="H262" i="17" s="1"/>
  <c r="H263" i="17" s="1"/>
  <c r="H264" i="17" s="1"/>
  <c r="H265" i="17" s="1"/>
  <c r="H266" i="17" s="1"/>
  <c r="H267" i="17" s="1"/>
  <c r="H268" i="17" s="1"/>
  <c r="H269" i="17" s="1"/>
  <c r="H270" i="17" s="1"/>
  <c r="H271" i="17" s="1"/>
  <c r="H272" i="17" s="1"/>
  <c r="H273" i="17" s="1"/>
  <c r="H274" i="17" s="1"/>
  <c r="H275" i="17" s="1"/>
  <c r="H276" i="17" s="1"/>
  <c r="H277" i="17" s="1"/>
  <c r="H278" i="17" s="1"/>
  <c r="H279" i="17" s="1"/>
  <c r="H280" i="17" s="1"/>
  <c r="H281" i="17" s="1"/>
  <c r="H282" i="17" s="1"/>
  <c r="H283" i="17" s="1"/>
  <c r="H284" i="17" s="1"/>
  <c r="H285" i="17" s="1"/>
  <c r="H286" i="17" s="1"/>
  <c r="H287" i="17" s="1"/>
  <c r="H288" i="17" s="1"/>
  <c r="H289" i="17" s="1"/>
  <c r="H290" i="17" s="1"/>
  <c r="H291" i="17" s="1"/>
  <c r="H292" i="17" s="1"/>
  <c r="H293" i="17" s="1"/>
  <c r="H294" i="17" s="1"/>
  <c r="H295" i="17" s="1"/>
  <c r="H296" i="17" s="1"/>
  <c r="H297" i="17" s="1"/>
  <c r="H298" i="17" s="1"/>
  <c r="H299" i="17" s="1"/>
  <c r="H300" i="17" s="1"/>
  <c r="H301" i="17" s="1"/>
  <c r="H302" i="17" s="1"/>
  <c r="H303" i="17" s="1"/>
  <c r="H304" i="17" s="1"/>
  <c r="H305" i="17" s="1"/>
  <c r="H306" i="17" s="1"/>
  <c r="H307" i="17" s="1"/>
  <c r="H308" i="17" s="1"/>
  <c r="H309" i="17" s="1"/>
  <c r="H310" i="17" s="1"/>
  <c r="H311" i="17" s="1"/>
  <c r="H312" i="17" s="1"/>
  <c r="H313" i="17" s="1"/>
  <c r="H314" i="17" s="1"/>
  <c r="H315" i="17" s="1"/>
  <c r="H316" i="17" s="1"/>
  <c r="H317" i="17" s="1"/>
  <c r="H318" i="17" s="1"/>
  <c r="H319" i="17" s="1"/>
  <c r="H320" i="17" s="1"/>
  <c r="H321" i="17" s="1"/>
  <c r="H322" i="17" s="1"/>
  <c r="H323" i="17" s="1"/>
  <c r="H324" i="17" s="1"/>
  <c r="H325" i="17" s="1"/>
  <c r="H326" i="17" s="1"/>
  <c r="H327" i="17" s="1"/>
  <c r="H328" i="17" s="1"/>
  <c r="H329" i="17" s="1"/>
  <c r="H330" i="17" s="1"/>
  <c r="H331" i="17" s="1"/>
  <c r="H332" i="17" s="1"/>
  <c r="H333" i="17" s="1"/>
  <c r="H334" i="17" s="1"/>
  <c r="H335" i="17" s="1"/>
  <c r="H336" i="17" s="1"/>
  <c r="H337" i="17" s="1"/>
  <c r="H338" i="17" s="1"/>
  <c r="H339" i="17" s="1"/>
  <c r="H340" i="17" s="1"/>
  <c r="H341" i="17" s="1"/>
  <c r="H342" i="17" s="1"/>
  <c r="H343" i="17" s="1"/>
  <c r="H344" i="17" s="1"/>
  <c r="H345" i="17" s="1"/>
  <c r="H346" i="17" s="1"/>
  <c r="H347" i="17" s="1"/>
  <c r="H348" i="17" s="1"/>
  <c r="H349" i="17" s="1"/>
  <c r="H350" i="17" s="1"/>
  <c r="H351" i="17" s="1"/>
  <c r="H352" i="17" s="1"/>
  <c r="H353" i="17" s="1"/>
  <c r="H354" i="17" s="1"/>
  <c r="H355" i="17" s="1"/>
  <c r="H356" i="17" s="1"/>
  <c r="H357" i="17" s="1"/>
  <c r="H358" i="17" s="1"/>
  <c r="H359" i="17" s="1"/>
  <c r="H360" i="17" s="1"/>
  <c r="H361" i="17" s="1"/>
  <c r="H362" i="17" s="1"/>
  <c r="H363" i="17" s="1"/>
  <c r="H364" i="17" s="1"/>
  <c r="H365" i="17" s="1"/>
  <c r="H366" i="17" s="1"/>
  <c r="H367" i="17" s="1"/>
  <c r="H368" i="17" s="1"/>
  <c r="H369" i="17" s="1"/>
  <c r="H370" i="17" s="1"/>
  <c r="H371" i="17" s="1"/>
  <c r="H372" i="17" s="1"/>
  <c r="H373" i="17" s="1"/>
  <c r="H374" i="17" s="1"/>
  <c r="H375" i="17" s="1"/>
  <c r="H376" i="17" s="1"/>
  <c r="H377" i="17" s="1"/>
  <c r="H378" i="17" s="1"/>
  <c r="H379" i="17" s="1"/>
  <c r="H380" i="17" s="1"/>
  <c r="H381" i="17" s="1"/>
  <c r="H382" i="17" s="1"/>
  <c r="H383" i="17" s="1"/>
  <c r="H384" i="17" s="1"/>
  <c r="H385" i="17" s="1"/>
  <c r="H386" i="17" s="1"/>
  <c r="H387" i="17" s="1"/>
  <c r="H388" i="17" s="1"/>
  <c r="H389" i="17" s="1"/>
  <c r="H390" i="17" s="1"/>
  <c r="H391" i="17" s="1"/>
  <c r="H392" i="17" s="1"/>
  <c r="H393" i="17" s="1"/>
  <c r="H394" i="17" s="1"/>
  <c r="H395" i="17" s="1"/>
  <c r="H396" i="17" s="1"/>
  <c r="H397" i="17" s="1"/>
  <c r="H398" i="17" s="1"/>
  <c r="H399" i="17" s="1"/>
  <c r="H400" i="17" s="1"/>
  <c r="H401" i="17" s="1"/>
  <c r="H402" i="17" s="1"/>
  <c r="H403" i="17" s="1"/>
  <c r="H404" i="17" s="1"/>
  <c r="H405" i="17" s="1"/>
  <c r="H406" i="17" s="1"/>
  <c r="H407" i="17" s="1"/>
  <c r="H408" i="17" s="1"/>
  <c r="H409" i="17" s="1"/>
  <c r="H410" i="17" s="1"/>
  <c r="H411" i="17" s="1"/>
  <c r="H412" i="17" s="1"/>
  <c r="H413" i="17" s="1"/>
  <c r="H414" i="17" s="1"/>
  <c r="H415" i="17" s="1"/>
  <c r="H416" i="17" s="1"/>
  <c r="H417" i="17" s="1"/>
  <c r="H418" i="17" s="1"/>
  <c r="H419" i="17" s="1"/>
  <c r="H420" i="17" s="1"/>
  <c r="H421" i="17" s="1"/>
  <c r="H422" i="17" s="1"/>
  <c r="H423" i="17" s="1"/>
  <c r="H424" i="17" s="1"/>
  <c r="H425" i="17" s="1"/>
  <c r="H426" i="17" s="1"/>
  <c r="H427" i="17" s="1"/>
  <c r="H428" i="17" s="1"/>
  <c r="H429" i="17" s="1"/>
  <c r="H430" i="17" s="1"/>
  <c r="H431" i="17" s="1"/>
  <c r="H432" i="17" s="1"/>
  <c r="H433" i="17" s="1"/>
  <c r="H434" i="17" s="1"/>
  <c r="H435" i="17" s="1"/>
  <c r="H436" i="17" s="1"/>
  <c r="H437" i="17" s="1"/>
  <c r="H438" i="17" s="1"/>
  <c r="H439" i="17" s="1"/>
  <c r="H440" i="17" s="1"/>
  <c r="H441" i="17" s="1"/>
  <c r="H442" i="17" s="1"/>
  <c r="H443" i="17" s="1"/>
  <c r="H444" i="17" s="1"/>
  <c r="H445" i="17" s="1"/>
  <c r="H446" i="17" s="1"/>
  <c r="H447" i="17" s="1"/>
  <c r="H448" i="17" s="1"/>
  <c r="B36" i="21"/>
  <c r="D36" i="21"/>
  <c r="J12" i="21"/>
  <c r="J13" i="21"/>
  <c r="F27" i="21" s="1"/>
  <c r="F30" i="21" l="1"/>
  <c r="F31" i="21"/>
  <c r="F34" i="21" s="1"/>
  <c r="P4" i="16" s="1"/>
  <c r="R4" i="16" s="1"/>
  <c r="F12" i="14"/>
  <c r="D35" i="20"/>
  <c r="E37" i="20" s="1"/>
  <c r="I7" i="17" s="1"/>
  <c r="AC7" i="18" s="1"/>
  <c r="AA8" i="18" s="1"/>
  <c r="L7" i="17"/>
  <c r="X7" i="18"/>
  <c r="L8" i="17"/>
  <c r="L13" i="17" s="1"/>
  <c r="N16" i="21" s="1"/>
  <c r="I16" i="17" s="1"/>
  <c r="I17" i="17" s="1"/>
  <c r="I18" i="17" s="1"/>
  <c r="I19" i="17" s="1"/>
  <c r="I20" i="17" s="1"/>
  <c r="I21" i="17" s="1"/>
  <c r="I22" i="17" s="1"/>
  <c r="I23" i="17" s="1"/>
  <c r="I24" i="17" s="1"/>
  <c r="I25" i="17" s="1"/>
  <c r="I26" i="17" s="1"/>
  <c r="I27" i="17" s="1"/>
  <c r="I28" i="17" s="1"/>
  <c r="I29" i="17" s="1"/>
  <c r="I30" i="17" s="1"/>
  <c r="I31" i="17" s="1"/>
  <c r="I32" i="17" s="1"/>
  <c r="I33" i="17" s="1"/>
  <c r="I34" i="17" s="1"/>
  <c r="I35" i="17" s="1"/>
  <c r="I36" i="17" s="1"/>
  <c r="I37" i="17" s="1"/>
  <c r="I38" i="17" s="1"/>
  <c r="I39" i="17" s="1"/>
  <c r="I40" i="17" s="1"/>
  <c r="I41" i="17" s="1"/>
  <c r="I42" i="17" s="1"/>
  <c r="I43" i="17" s="1"/>
  <c r="I44" i="17" s="1"/>
  <c r="I45" i="17" s="1"/>
  <c r="I46" i="17" s="1"/>
  <c r="I47" i="17" s="1"/>
  <c r="I48" i="17" s="1"/>
  <c r="I49" i="17" s="1"/>
  <c r="I50" i="17" s="1"/>
  <c r="I51" i="17" s="1"/>
  <c r="I52" i="17" s="1"/>
  <c r="I53" i="17" s="1"/>
  <c r="I54" i="17" s="1"/>
  <c r="I55" i="17" s="1"/>
  <c r="I56" i="17" s="1"/>
  <c r="I57" i="17" s="1"/>
  <c r="I58" i="17" s="1"/>
  <c r="I59" i="17" s="1"/>
  <c r="I60" i="17" s="1"/>
  <c r="I61" i="17" s="1"/>
  <c r="I62" i="17" s="1"/>
  <c r="I63" i="17" s="1"/>
  <c r="I64" i="17" s="1"/>
  <c r="I65" i="17" s="1"/>
  <c r="I66" i="17" s="1"/>
  <c r="I67" i="17" s="1"/>
  <c r="I68" i="17" s="1"/>
  <c r="I69" i="17" s="1"/>
  <c r="I70" i="17" s="1"/>
  <c r="I71" i="17" s="1"/>
  <c r="I72" i="17" s="1"/>
  <c r="I73" i="17" s="1"/>
  <c r="I74" i="17" s="1"/>
  <c r="I75" i="17" s="1"/>
  <c r="I76" i="17" s="1"/>
  <c r="I77" i="17" s="1"/>
  <c r="I78" i="17" s="1"/>
  <c r="I79" i="17" s="1"/>
  <c r="I80" i="17" s="1"/>
  <c r="I81" i="17" s="1"/>
  <c r="I82" i="17" s="1"/>
  <c r="I83" i="17" s="1"/>
  <c r="I84" i="17" s="1"/>
  <c r="I85" i="17" s="1"/>
  <c r="I86" i="17" s="1"/>
  <c r="I87" i="17" s="1"/>
  <c r="I88" i="17" s="1"/>
  <c r="I89" i="17" s="1"/>
  <c r="I90" i="17" s="1"/>
  <c r="I91" i="17" s="1"/>
  <c r="I92" i="17" s="1"/>
  <c r="I93" i="17" s="1"/>
  <c r="I94" i="17" s="1"/>
  <c r="I95" i="17" s="1"/>
  <c r="I96" i="17" s="1"/>
  <c r="I97" i="17" s="1"/>
  <c r="I98" i="17" s="1"/>
  <c r="I99" i="17" s="1"/>
  <c r="I100" i="17" s="1"/>
  <c r="I101" i="17" s="1"/>
  <c r="I102" i="17" s="1"/>
  <c r="I103" i="17" s="1"/>
  <c r="I104" i="17" s="1"/>
  <c r="I105" i="17" s="1"/>
  <c r="I106" i="17" s="1"/>
  <c r="I107" i="17" s="1"/>
  <c r="I108" i="17" s="1"/>
  <c r="I109" i="17" s="1"/>
  <c r="I110" i="17" s="1"/>
  <c r="I111" i="17" s="1"/>
  <c r="I112" i="17" s="1"/>
  <c r="I113" i="17" s="1"/>
  <c r="I114" i="17" s="1"/>
  <c r="I115" i="17" s="1"/>
  <c r="I116" i="17" s="1"/>
  <c r="I117" i="17" s="1"/>
  <c r="I118" i="17" s="1"/>
  <c r="I119" i="17" s="1"/>
  <c r="I120" i="17" s="1"/>
  <c r="I121" i="17" s="1"/>
  <c r="I122" i="17" s="1"/>
  <c r="I123" i="17" s="1"/>
  <c r="I124" i="17" s="1"/>
  <c r="I125" i="17" s="1"/>
  <c r="I126" i="17" s="1"/>
  <c r="I127" i="17" s="1"/>
  <c r="I128" i="17" s="1"/>
  <c r="I129" i="17" s="1"/>
  <c r="I130" i="17" s="1"/>
  <c r="I131" i="17" s="1"/>
  <c r="I132" i="17" s="1"/>
  <c r="I133" i="17" s="1"/>
  <c r="I134" i="17" s="1"/>
  <c r="I135" i="17" s="1"/>
  <c r="I136" i="17" s="1"/>
  <c r="I137" i="17" s="1"/>
  <c r="I138" i="17" s="1"/>
  <c r="I139" i="17" s="1"/>
  <c r="I140" i="17" s="1"/>
  <c r="I141" i="17" s="1"/>
  <c r="I142" i="17" s="1"/>
  <c r="I143" i="17" s="1"/>
  <c r="I144" i="17" s="1"/>
  <c r="I145" i="17" s="1"/>
  <c r="I146" i="17" s="1"/>
  <c r="I147" i="17" s="1"/>
  <c r="I148" i="17" s="1"/>
  <c r="I149" i="17" s="1"/>
  <c r="I150" i="17" s="1"/>
  <c r="I151" i="17" s="1"/>
  <c r="I152" i="17" s="1"/>
  <c r="I153" i="17" s="1"/>
  <c r="I154" i="17" s="1"/>
  <c r="I155" i="17" s="1"/>
  <c r="I156" i="17" s="1"/>
  <c r="I157" i="17" s="1"/>
  <c r="I158" i="17" s="1"/>
  <c r="I159" i="17" s="1"/>
  <c r="I160" i="17" s="1"/>
  <c r="I161" i="17" s="1"/>
  <c r="I162" i="17" s="1"/>
  <c r="I163" i="17" s="1"/>
  <c r="I164" i="17" s="1"/>
  <c r="I165" i="17" s="1"/>
  <c r="I166" i="17" s="1"/>
  <c r="I167" i="17" s="1"/>
  <c r="I168" i="17" s="1"/>
  <c r="I169" i="17" s="1"/>
  <c r="I170" i="17" s="1"/>
  <c r="I171" i="17" s="1"/>
  <c r="I172" i="17" s="1"/>
  <c r="I173" i="17" s="1"/>
  <c r="I174" i="17" s="1"/>
  <c r="I175" i="17" s="1"/>
  <c r="I176" i="17" s="1"/>
  <c r="I177" i="17" s="1"/>
  <c r="I178" i="17" s="1"/>
  <c r="I179" i="17" s="1"/>
  <c r="I180" i="17" s="1"/>
  <c r="I181" i="17" s="1"/>
  <c r="I182" i="17" s="1"/>
  <c r="I183" i="17" s="1"/>
  <c r="I184" i="17" s="1"/>
  <c r="I185" i="17" s="1"/>
  <c r="I186" i="17" s="1"/>
  <c r="I187" i="17" s="1"/>
  <c r="I188" i="17" s="1"/>
  <c r="I189" i="17" s="1"/>
  <c r="I190" i="17" s="1"/>
  <c r="I191" i="17" s="1"/>
  <c r="I192" i="17" s="1"/>
  <c r="I193" i="17" s="1"/>
  <c r="I194" i="17" s="1"/>
  <c r="I195" i="17" s="1"/>
  <c r="I196" i="17" s="1"/>
  <c r="I197" i="17" s="1"/>
  <c r="I198" i="17" s="1"/>
  <c r="I199" i="17" s="1"/>
  <c r="I200" i="17" s="1"/>
  <c r="I201" i="17" s="1"/>
  <c r="I202" i="17" s="1"/>
  <c r="I203" i="17" s="1"/>
  <c r="I204" i="17" s="1"/>
  <c r="I205" i="17" s="1"/>
  <c r="I206" i="17" s="1"/>
  <c r="I207" i="17" s="1"/>
  <c r="I208" i="17" s="1"/>
  <c r="I209" i="17" s="1"/>
  <c r="I210" i="17" s="1"/>
  <c r="I211" i="17" s="1"/>
  <c r="I212" i="17" s="1"/>
  <c r="I213" i="17" s="1"/>
  <c r="I214" i="17" s="1"/>
  <c r="I215" i="17" s="1"/>
  <c r="I216" i="17" s="1"/>
  <c r="I217" i="17" s="1"/>
  <c r="I218" i="17" s="1"/>
  <c r="I219" i="17" s="1"/>
  <c r="I220" i="17" s="1"/>
  <c r="I221" i="17" s="1"/>
  <c r="I222" i="17" s="1"/>
  <c r="I223" i="17" s="1"/>
  <c r="I224" i="17" s="1"/>
  <c r="I225" i="17" s="1"/>
  <c r="I226" i="17" s="1"/>
  <c r="I227" i="17" s="1"/>
  <c r="I228" i="17" s="1"/>
  <c r="I229" i="17" s="1"/>
  <c r="I230" i="17" s="1"/>
  <c r="I231" i="17" s="1"/>
  <c r="I232" i="17" s="1"/>
  <c r="I233" i="17" s="1"/>
  <c r="I234" i="17" s="1"/>
  <c r="I235" i="17" s="1"/>
  <c r="I236" i="17" s="1"/>
  <c r="I237" i="17" s="1"/>
  <c r="I238" i="17" s="1"/>
  <c r="I239" i="17" s="1"/>
  <c r="I240" i="17" s="1"/>
  <c r="I241" i="17" s="1"/>
  <c r="I242" i="17" s="1"/>
  <c r="I243" i="17" s="1"/>
  <c r="I244" i="17" s="1"/>
  <c r="I245" i="17" s="1"/>
  <c r="I246" i="17" s="1"/>
  <c r="I247" i="17" s="1"/>
  <c r="I248" i="17" s="1"/>
  <c r="I249" i="17" s="1"/>
  <c r="I250" i="17" s="1"/>
  <c r="I251" i="17" s="1"/>
  <c r="I252" i="17" s="1"/>
  <c r="I253" i="17" s="1"/>
  <c r="I254" i="17" s="1"/>
  <c r="I255" i="17" s="1"/>
  <c r="I256" i="17" s="1"/>
  <c r="I257" i="17" s="1"/>
  <c r="I258" i="17" s="1"/>
  <c r="I259" i="17" s="1"/>
  <c r="I260" i="17" s="1"/>
  <c r="I261" i="17" s="1"/>
  <c r="I262" i="17" s="1"/>
  <c r="I263" i="17" s="1"/>
  <c r="I264" i="17" s="1"/>
  <c r="I265" i="17" s="1"/>
  <c r="I266" i="17" s="1"/>
  <c r="I267" i="17" s="1"/>
  <c r="I268" i="17" s="1"/>
  <c r="I269" i="17" s="1"/>
  <c r="I270" i="17" s="1"/>
  <c r="I271" i="17" s="1"/>
  <c r="I272" i="17" s="1"/>
  <c r="I273" i="17" s="1"/>
  <c r="I274" i="17" s="1"/>
  <c r="I275" i="17" s="1"/>
  <c r="I276" i="17" s="1"/>
  <c r="I277" i="17" s="1"/>
  <c r="I278" i="17" s="1"/>
  <c r="I279" i="17" s="1"/>
  <c r="I280" i="17" s="1"/>
  <c r="I281" i="17" s="1"/>
  <c r="I282" i="17" s="1"/>
  <c r="I283" i="17" s="1"/>
  <c r="I284" i="17" s="1"/>
  <c r="I285" i="17" s="1"/>
  <c r="I286" i="17" s="1"/>
  <c r="I287" i="17" s="1"/>
  <c r="I288" i="17" s="1"/>
  <c r="I289" i="17" s="1"/>
  <c r="I290" i="17" s="1"/>
  <c r="I291" i="17" s="1"/>
  <c r="I292" i="17" s="1"/>
  <c r="I293" i="17" s="1"/>
  <c r="I294" i="17" s="1"/>
  <c r="I295" i="17" s="1"/>
  <c r="I296" i="17" s="1"/>
  <c r="I297" i="17" s="1"/>
  <c r="I298" i="17" s="1"/>
  <c r="I299" i="17" s="1"/>
  <c r="I300" i="17" s="1"/>
  <c r="I301" i="17" s="1"/>
  <c r="I302" i="17" s="1"/>
  <c r="I303" i="17" s="1"/>
  <c r="I304" i="17" s="1"/>
  <c r="I305" i="17" s="1"/>
  <c r="I306" i="17" s="1"/>
  <c r="I307" i="17" s="1"/>
  <c r="I308" i="17" s="1"/>
  <c r="I309" i="17" s="1"/>
  <c r="I310" i="17" s="1"/>
  <c r="I311" i="17" s="1"/>
  <c r="I312" i="17" s="1"/>
  <c r="I313" i="17" s="1"/>
  <c r="I314" i="17" s="1"/>
  <c r="I315" i="17" s="1"/>
  <c r="I316" i="17" s="1"/>
  <c r="I317" i="17" s="1"/>
  <c r="I318" i="17" s="1"/>
  <c r="I319" i="17" s="1"/>
  <c r="I320" i="17" s="1"/>
  <c r="I321" i="17" s="1"/>
  <c r="I322" i="17" s="1"/>
  <c r="I323" i="17" s="1"/>
  <c r="I324" i="17" s="1"/>
  <c r="I325" i="17" s="1"/>
  <c r="I326" i="17" s="1"/>
  <c r="I327" i="17" s="1"/>
  <c r="I328" i="17" s="1"/>
  <c r="I329" i="17" s="1"/>
  <c r="I330" i="17" s="1"/>
  <c r="I331" i="17" s="1"/>
  <c r="I332" i="17" s="1"/>
  <c r="I333" i="17" s="1"/>
  <c r="I334" i="17" s="1"/>
  <c r="I335" i="17" s="1"/>
  <c r="I336" i="17" s="1"/>
  <c r="I337" i="17" s="1"/>
  <c r="I338" i="17" s="1"/>
  <c r="I339" i="17" s="1"/>
  <c r="I340" i="17" s="1"/>
  <c r="I341" i="17" s="1"/>
  <c r="I342" i="17" s="1"/>
  <c r="I343" i="17" s="1"/>
  <c r="I344" i="17" s="1"/>
  <c r="I345" i="17" s="1"/>
  <c r="I346" i="17" s="1"/>
  <c r="I347" i="17" s="1"/>
  <c r="I348" i="17" s="1"/>
  <c r="I349" i="17" s="1"/>
  <c r="I350" i="17" s="1"/>
  <c r="I351" i="17" s="1"/>
  <c r="I352" i="17" s="1"/>
  <c r="I353" i="17" s="1"/>
  <c r="I354" i="17" s="1"/>
  <c r="I355" i="17" s="1"/>
  <c r="I356" i="17" s="1"/>
  <c r="I357" i="17" s="1"/>
  <c r="I358" i="17" s="1"/>
  <c r="I359" i="17" s="1"/>
  <c r="I360" i="17" s="1"/>
  <c r="I361" i="17" s="1"/>
  <c r="I362" i="17" s="1"/>
  <c r="I363" i="17" s="1"/>
  <c r="I364" i="17" s="1"/>
  <c r="I365" i="17" s="1"/>
  <c r="I366" i="17" s="1"/>
  <c r="I367" i="17" s="1"/>
  <c r="I368" i="17" s="1"/>
  <c r="I369" i="17" s="1"/>
  <c r="I370" i="17" s="1"/>
  <c r="I371" i="17" s="1"/>
  <c r="I372" i="17" s="1"/>
  <c r="I373" i="17" s="1"/>
  <c r="I374" i="17" s="1"/>
  <c r="I375" i="17" s="1"/>
  <c r="I376" i="17" s="1"/>
  <c r="I377" i="17" s="1"/>
  <c r="I378" i="17" s="1"/>
  <c r="I379" i="17" s="1"/>
  <c r="I380" i="17" s="1"/>
  <c r="I381" i="17" s="1"/>
  <c r="I382" i="17" s="1"/>
  <c r="I383" i="17" s="1"/>
  <c r="I384" i="17" s="1"/>
  <c r="I385" i="17" s="1"/>
  <c r="I386" i="17" s="1"/>
  <c r="I387" i="17" s="1"/>
  <c r="I388" i="17" s="1"/>
  <c r="I389" i="17" s="1"/>
  <c r="I390" i="17" s="1"/>
  <c r="I391" i="17" s="1"/>
  <c r="I392" i="17" s="1"/>
  <c r="I393" i="17" s="1"/>
  <c r="I394" i="17" s="1"/>
  <c r="I395" i="17" s="1"/>
  <c r="I396" i="17" s="1"/>
  <c r="I397" i="17" s="1"/>
  <c r="I398" i="17" s="1"/>
  <c r="I399" i="17" s="1"/>
  <c r="I400" i="17" s="1"/>
  <c r="I401" i="17" s="1"/>
  <c r="I402" i="17" s="1"/>
  <c r="I403" i="17" s="1"/>
  <c r="I404" i="17" s="1"/>
  <c r="I405" i="17" s="1"/>
  <c r="I406" i="17" s="1"/>
  <c r="I407" i="17" s="1"/>
  <c r="I408" i="17" s="1"/>
  <c r="I409" i="17" s="1"/>
  <c r="I410" i="17" s="1"/>
  <c r="I411" i="17" s="1"/>
  <c r="I412" i="17" s="1"/>
  <c r="I413" i="17" s="1"/>
  <c r="I414" i="17" s="1"/>
  <c r="I415" i="17" s="1"/>
  <c r="I416" i="17" s="1"/>
  <c r="I417" i="17" s="1"/>
  <c r="I418" i="17" s="1"/>
  <c r="I419" i="17" s="1"/>
  <c r="I420" i="17" s="1"/>
  <c r="I421" i="17" s="1"/>
  <c r="I422" i="17" s="1"/>
  <c r="I423" i="17" s="1"/>
  <c r="I424" i="17" s="1"/>
  <c r="I425" i="17" s="1"/>
  <c r="I426" i="17" s="1"/>
  <c r="I427" i="17" s="1"/>
  <c r="I428" i="17" s="1"/>
  <c r="I429" i="17" s="1"/>
  <c r="I430" i="17" s="1"/>
  <c r="I431" i="17" s="1"/>
  <c r="I432" i="17" s="1"/>
  <c r="I433" i="17" s="1"/>
  <c r="I434" i="17" s="1"/>
  <c r="I435" i="17" s="1"/>
  <c r="I436" i="17" s="1"/>
  <c r="I437" i="17" s="1"/>
  <c r="I438" i="17" s="1"/>
  <c r="I439" i="17" s="1"/>
  <c r="I440" i="17" s="1"/>
  <c r="I441" i="17" s="1"/>
  <c r="I442" i="17" s="1"/>
  <c r="I443" i="17" s="1"/>
  <c r="I444" i="17" s="1"/>
  <c r="I445" i="17" s="1"/>
  <c r="I446" i="17" s="1"/>
  <c r="I447" i="17" s="1"/>
  <c r="I448" i="17" s="1"/>
  <c r="E35" i="20"/>
  <c r="D33" i="20"/>
  <c r="D23" i="20"/>
  <c r="C37" i="20"/>
  <c r="I8" i="17" s="1"/>
  <c r="Z6" i="18" s="1"/>
  <c r="F37" i="20"/>
  <c r="E22" i="20" s="1"/>
  <c r="D34" i="19"/>
  <c r="D35" i="19" s="1"/>
  <c r="G7" i="18"/>
  <c r="H7" i="18" s="1"/>
  <c r="N7" i="18"/>
  <c r="H14" i="14"/>
  <c r="C13" i="14"/>
  <c r="D13" i="14"/>
  <c r="E13" i="14" s="1"/>
  <c r="B13" i="14"/>
  <c r="D34" i="20"/>
  <c r="D27" i="21"/>
  <c r="B27" i="21"/>
  <c r="C13" i="15"/>
  <c r="H14" i="15"/>
  <c r="B13" i="15"/>
  <c r="I13" i="15"/>
  <c r="D13" i="15"/>
  <c r="E12" i="15"/>
  <c r="P3" i="16" l="1"/>
  <c r="R3" i="16" s="1"/>
  <c r="R5" i="16" s="1"/>
  <c r="F35" i="21" s="1"/>
  <c r="F37" i="21" s="1"/>
  <c r="F39" i="21" s="1"/>
  <c r="F13" i="14"/>
  <c r="E13" i="15"/>
  <c r="F13" i="15"/>
  <c r="C14" i="15" s="1"/>
  <c r="D14" i="15" s="1"/>
  <c r="I14" i="15"/>
  <c r="H15" i="15"/>
  <c r="B14" i="15"/>
  <c r="E37" i="19"/>
  <c r="B7" i="17" s="1"/>
  <c r="M7" i="18" s="1"/>
  <c r="E35" i="19"/>
  <c r="Y6" i="18"/>
  <c r="C14" i="14"/>
  <c r="H15" i="14"/>
  <c r="B14" i="14"/>
  <c r="D14" i="14"/>
  <c r="E14" i="14" s="1"/>
  <c r="E33" i="20"/>
  <c r="F33" i="20"/>
  <c r="G37" i="20"/>
  <c r="W8" i="18"/>
  <c r="D36" i="20"/>
  <c r="D37" i="20"/>
  <c r="I6" i="17" s="1"/>
  <c r="AB7" i="18" s="1"/>
  <c r="D37" i="19"/>
  <c r="B6" i="17" s="1"/>
  <c r="L7" i="18" s="1"/>
  <c r="D36" i="19"/>
  <c r="E14" i="15" l="1"/>
  <c r="F14" i="14"/>
  <c r="F14" i="15"/>
  <c r="C15" i="15" s="1"/>
  <c r="D15" i="15" s="1"/>
  <c r="E15" i="15" s="1"/>
  <c r="AB8" i="18"/>
  <c r="AC8" i="18"/>
  <c r="X8" i="18"/>
  <c r="Z8" i="18"/>
  <c r="E23" i="20"/>
  <c r="E34" i="20"/>
  <c r="E36" i="20" s="1"/>
  <c r="F40" i="21"/>
  <c r="F41" i="21" s="1"/>
  <c r="H16" i="14"/>
  <c r="D15" i="14"/>
  <c r="E15" i="14" s="1"/>
  <c r="C15" i="14"/>
  <c r="B15" i="14"/>
  <c r="I15" i="15"/>
  <c r="B15" i="15"/>
  <c r="H16" i="15"/>
  <c r="O7" i="18"/>
  <c r="AE7" i="18"/>
  <c r="AD8" i="18"/>
  <c r="K8" i="18"/>
  <c r="Q50" i="1"/>
  <c r="Q51" i="1"/>
  <c r="Q54" i="1"/>
  <c r="Q55" i="1"/>
  <c r="Q58" i="1"/>
  <c r="Q59" i="1"/>
  <c r="Q62" i="1"/>
  <c r="Q63" i="1"/>
  <c r="Q66" i="1"/>
  <c r="Q67" i="1"/>
  <c r="Q70" i="1"/>
  <c r="Q71" i="1"/>
  <c r="Q74" i="1"/>
  <c r="Q75" i="1"/>
  <c r="Q78" i="1"/>
  <c r="Q79" i="1"/>
  <c r="Q82" i="1"/>
  <c r="Q83" i="1"/>
  <c r="Q86" i="1"/>
  <c r="Q87" i="1"/>
  <c r="Q90" i="1"/>
  <c r="Q91" i="1"/>
  <c r="Q94" i="1"/>
  <c r="Q95" i="1"/>
  <c r="F15" i="14" l="1"/>
  <c r="F43" i="21"/>
  <c r="P21" i="16"/>
  <c r="R21" i="16" s="1"/>
  <c r="P22" i="16"/>
  <c r="R22" i="16" s="1"/>
  <c r="P20" i="16"/>
  <c r="R20" i="16" s="1"/>
  <c r="P19" i="16"/>
  <c r="AA9" i="18"/>
  <c r="G8" i="18"/>
  <c r="H8" i="18" s="1"/>
  <c r="R16" i="21"/>
  <c r="R8" i="21"/>
  <c r="F15" i="15"/>
  <c r="C16" i="15" s="1"/>
  <c r="C16" i="14"/>
  <c r="B16" i="14"/>
  <c r="H17" i="14"/>
  <c r="D16" i="14"/>
  <c r="E16" i="14" s="1"/>
  <c r="H17" i="15"/>
  <c r="B16" i="15"/>
  <c r="I16" i="15"/>
  <c r="Y8" i="18"/>
  <c r="AE8" i="18"/>
  <c r="B27" i="1"/>
  <c r="D38" i="1"/>
  <c r="D28" i="1"/>
  <c r="D27" i="1"/>
  <c r="B28" i="1"/>
  <c r="B38" i="1"/>
  <c r="F14" i="1"/>
  <c r="H11" i="1" s="1"/>
  <c r="H14" i="1"/>
  <c r="B3" i="1"/>
  <c r="B4" i="1"/>
  <c r="B7" i="1" l="1"/>
  <c r="F16" i="14"/>
  <c r="F42" i="21"/>
  <c r="F47" i="21" s="1"/>
  <c r="F48" i="21" s="1"/>
  <c r="F49" i="21" s="1"/>
  <c r="N8" i="18"/>
  <c r="D16" i="15"/>
  <c r="E16" i="15" s="1"/>
  <c r="W9" i="18"/>
  <c r="H18" i="14"/>
  <c r="C17" i="14"/>
  <c r="D17" i="14"/>
  <c r="E17" i="14" s="1"/>
  <c r="B17" i="14"/>
  <c r="F45" i="21"/>
  <c r="F46" i="21" s="1"/>
  <c r="H18" i="15"/>
  <c r="B17" i="15"/>
  <c r="I17" i="15"/>
  <c r="L8" i="18"/>
  <c r="M8" i="18" s="1"/>
  <c r="H13" i="1"/>
  <c r="F20" i="1" s="1"/>
  <c r="H15" i="1"/>
  <c r="B29" i="1" s="1"/>
  <c r="N15" i="1"/>
  <c r="N11" i="1"/>
  <c r="C6" i="22" l="1"/>
  <c r="J28" i="1"/>
  <c r="C4" i="10"/>
  <c r="U6" i="1"/>
  <c r="AF6" i="1" s="1"/>
  <c r="N3" i="1"/>
  <c r="C4" i="9"/>
  <c r="C11" i="9" s="1"/>
  <c r="F16" i="15"/>
  <c r="C17" i="15" s="1"/>
  <c r="D17" i="15" s="1"/>
  <c r="E17" i="15" s="1"/>
  <c r="K9" i="18"/>
  <c r="F17" i="14"/>
  <c r="AC9" i="18"/>
  <c r="AB9" i="18"/>
  <c r="I18" i="15"/>
  <c r="H19" i="15"/>
  <c r="B18" i="15"/>
  <c r="AD9" i="18"/>
  <c r="O8" i="18"/>
  <c r="F17" i="15"/>
  <c r="C18" i="15" s="1"/>
  <c r="X9" i="18"/>
  <c r="C18" i="14"/>
  <c r="H19" i="14"/>
  <c r="B18" i="14"/>
  <c r="D18" i="14"/>
  <c r="E18" i="14" s="1"/>
  <c r="Z9" i="18"/>
  <c r="D29" i="1"/>
  <c r="F12" i="1"/>
  <c r="F10" i="1"/>
  <c r="F8" i="1"/>
  <c r="F6" i="1"/>
  <c r="F4" i="1"/>
  <c r="D14" i="1"/>
  <c r="D12" i="1"/>
  <c r="D10" i="1"/>
  <c r="D8" i="1"/>
  <c r="D6" i="1"/>
  <c r="D4" i="1"/>
  <c r="I30" i="10"/>
  <c r="H11" i="10"/>
  <c r="I11" i="10" s="1"/>
  <c r="B11" i="10"/>
  <c r="G4" i="10"/>
  <c r="H11" i="9"/>
  <c r="H12" i="9" s="1"/>
  <c r="E11" i="9"/>
  <c r="B11" i="9"/>
  <c r="H8" i="9"/>
  <c r="G4" i="9"/>
  <c r="AH6" i="1" l="1"/>
  <c r="AD7" i="1"/>
  <c r="D12" i="9"/>
  <c r="F18" i="14"/>
  <c r="D18" i="15"/>
  <c r="E18" i="15" s="1"/>
  <c r="Y9" i="18"/>
  <c r="G9" i="18"/>
  <c r="J9" i="18" s="1"/>
  <c r="I9" i="18" s="1"/>
  <c r="I19" i="15"/>
  <c r="H20" i="15"/>
  <c r="B19" i="15"/>
  <c r="AE9" i="18"/>
  <c r="H20" i="14"/>
  <c r="D19" i="14"/>
  <c r="E19" i="14" s="1"/>
  <c r="C19" i="14"/>
  <c r="B19" i="14"/>
  <c r="F11" i="9"/>
  <c r="AA10" i="18"/>
  <c r="H12" i="10"/>
  <c r="H13" i="10" s="1"/>
  <c r="I13" i="10" s="1"/>
  <c r="H12" i="1"/>
  <c r="B20" i="1" s="1"/>
  <c r="C11" i="10"/>
  <c r="D11" i="10" s="1"/>
  <c r="B12" i="9"/>
  <c r="H13" i="9"/>
  <c r="H14" i="10"/>
  <c r="C12" i="9"/>
  <c r="I12" i="10"/>
  <c r="F23" i="1" l="1"/>
  <c r="Z7" i="1"/>
  <c r="F19" i="14"/>
  <c r="H9" i="18"/>
  <c r="C20" i="14"/>
  <c r="B20" i="14"/>
  <c r="H21" i="14"/>
  <c r="D20" i="14"/>
  <c r="E20" i="14" s="1"/>
  <c r="E11" i="10"/>
  <c r="F11" i="10" s="1"/>
  <c r="C12" i="10" s="1"/>
  <c r="L9" i="18"/>
  <c r="M9" i="18" s="1"/>
  <c r="W10" i="18"/>
  <c r="Z10" i="18" s="1"/>
  <c r="H21" i="15"/>
  <c r="B20" i="15"/>
  <c r="I20" i="15"/>
  <c r="N9" i="18"/>
  <c r="F18" i="15"/>
  <c r="C19" i="15" s="1"/>
  <c r="B12" i="10"/>
  <c r="B13" i="10" s="1"/>
  <c r="B14" i="10" s="1"/>
  <c r="D20" i="1"/>
  <c r="E12" i="9"/>
  <c r="F12" i="9" s="1"/>
  <c r="H15" i="10"/>
  <c r="I14" i="10"/>
  <c r="D13" i="9"/>
  <c r="C13" i="9"/>
  <c r="H14" i="9"/>
  <c r="B13" i="9"/>
  <c r="F20" i="14" l="1"/>
  <c r="AD10" i="18"/>
  <c r="K10" i="18"/>
  <c r="Y10" i="18"/>
  <c r="AB10" i="18"/>
  <c r="AC10" i="18"/>
  <c r="D19" i="15"/>
  <c r="E19" i="15" s="1"/>
  <c r="H22" i="15"/>
  <c r="B21" i="15"/>
  <c r="I21" i="15"/>
  <c r="O9" i="18"/>
  <c r="X10" i="18"/>
  <c r="H22" i="14"/>
  <c r="D21" i="14"/>
  <c r="E21" i="14" s="1"/>
  <c r="C21" i="14"/>
  <c r="B21" i="14"/>
  <c r="D12" i="10"/>
  <c r="F12" i="10" s="1"/>
  <c r="C13" i="10" s="1"/>
  <c r="D13" i="10" s="1"/>
  <c r="F13" i="10" s="1"/>
  <c r="C14" i="10" s="1"/>
  <c r="D14" i="10" s="1"/>
  <c r="F21" i="1"/>
  <c r="F24" i="1" s="1"/>
  <c r="F27" i="1" s="1"/>
  <c r="E13" i="9"/>
  <c r="F13" i="9" s="1"/>
  <c r="I15" i="10"/>
  <c r="B15" i="10"/>
  <c r="H16" i="10"/>
  <c r="B14" i="9"/>
  <c r="H15" i="9"/>
  <c r="D14" i="9"/>
  <c r="C14" i="9"/>
  <c r="K91" i="1" l="1"/>
  <c r="M91" i="1" s="1"/>
  <c r="K92" i="1"/>
  <c r="M92" i="1" s="1"/>
  <c r="F21" i="14"/>
  <c r="F19" i="15"/>
  <c r="C20" i="15" s="1"/>
  <c r="AE10" i="18"/>
  <c r="I22" i="15"/>
  <c r="H23" i="15"/>
  <c r="B22" i="15"/>
  <c r="G10" i="18"/>
  <c r="C22" i="14"/>
  <c r="B22" i="14"/>
  <c r="H23" i="14"/>
  <c r="D22" i="14"/>
  <c r="E22" i="14" s="1"/>
  <c r="D20" i="15"/>
  <c r="E20" i="15" s="1"/>
  <c r="AA11" i="18"/>
  <c r="E12" i="10"/>
  <c r="E13" i="10" s="1"/>
  <c r="E14" i="10" s="1"/>
  <c r="E14" i="9"/>
  <c r="F14" i="9" s="1"/>
  <c r="F14" i="10"/>
  <c r="C15" i="10" s="1"/>
  <c r="D15" i="9"/>
  <c r="C15" i="9"/>
  <c r="B15" i="9"/>
  <c r="H16" i="9"/>
  <c r="I16" i="10"/>
  <c r="H17" i="10"/>
  <c r="B16" i="10"/>
  <c r="M93" i="1" l="1"/>
  <c r="F28" i="1" s="1"/>
  <c r="F30" i="1" s="1"/>
  <c r="F20" i="15"/>
  <c r="C21" i="15" s="1"/>
  <c r="F22" i="14"/>
  <c r="L10" i="18"/>
  <c r="M10" i="18" s="1"/>
  <c r="I23" i="15"/>
  <c r="B23" i="15"/>
  <c r="H24" i="15"/>
  <c r="H10" i="18"/>
  <c r="W11" i="18"/>
  <c r="Z11" i="18" s="1"/>
  <c r="H24" i="14"/>
  <c r="E23" i="14"/>
  <c r="C23" i="14"/>
  <c r="D23" i="14"/>
  <c r="B23" i="14"/>
  <c r="F23" i="14"/>
  <c r="N10" i="18"/>
  <c r="D21" i="15"/>
  <c r="F21" i="15" s="1"/>
  <c r="C22" i="15" s="1"/>
  <c r="E15" i="9"/>
  <c r="F15" i="9" s="1"/>
  <c r="H18" i="10"/>
  <c r="B17" i="10"/>
  <c r="I17" i="10"/>
  <c r="D15" i="10"/>
  <c r="E15" i="10" s="1"/>
  <c r="B16" i="9"/>
  <c r="H17" i="9"/>
  <c r="D16" i="9"/>
  <c r="C16" i="9"/>
  <c r="E21" i="15" l="1"/>
  <c r="D22" i="15"/>
  <c r="F22" i="15" s="1"/>
  <c r="C23" i="15" s="1"/>
  <c r="K11" i="18"/>
  <c r="Y11" i="18"/>
  <c r="AC11" i="18"/>
  <c r="AA12" i="18" s="1"/>
  <c r="AB11" i="18"/>
  <c r="AD11" i="18"/>
  <c r="H25" i="15"/>
  <c r="B24" i="15"/>
  <c r="I24" i="15"/>
  <c r="C24" i="14"/>
  <c r="F24" i="14"/>
  <c r="B24" i="14"/>
  <c r="H25" i="14"/>
  <c r="E24" i="14"/>
  <c r="D24" i="14"/>
  <c r="O10" i="18"/>
  <c r="X11" i="18"/>
  <c r="F32" i="1"/>
  <c r="E16" i="9"/>
  <c r="F16" i="9" s="1"/>
  <c r="F15" i="10"/>
  <c r="C16" i="10" s="1"/>
  <c r="D16" i="10" s="1"/>
  <c r="E16" i="10" s="1"/>
  <c r="D17" i="9"/>
  <c r="C17" i="9"/>
  <c r="H18" i="9"/>
  <c r="B17" i="9"/>
  <c r="H19" i="10"/>
  <c r="B18" i="10"/>
  <c r="I18" i="10"/>
  <c r="E22" i="15" l="1"/>
  <c r="D23" i="15"/>
  <c r="F23" i="15" s="1"/>
  <c r="C24" i="15" s="1"/>
  <c r="W12" i="18"/>
  <c r="H26" i="15"/>
  <c r="B25" i="15"/>
  <c r="I25" i="15"/>
  <c r="H26" i="14"/>
  <c r="E25" i="14"/>
  <c r="D25" i="14"/>
  <c r="C25" i="14"/>
  <c r="F25" i="14"/>
  <c r="B25" i="14"/>
  <c r="AE11" i="18"/>
  <c r="G11" i="18"/>
  <c r="N11" i="18" s="1"/>
  <c r="F33" i="1"/>
  <c r="F34" i="1" s="1"/>
  <c r="E17" i="9"/>
  <c r="F17" i="9" s="1"/>
  <c r="F16" i="10"/>
  <c r="C17" i="10" s="1"/>
  <c r="D17" i="10" s="1"/>
  <c r="E17" i="10" s="1"/>
  <c r="I19" i="10"/>
  <c r="H20" i="10"/>
  <c r="B19" i="10"/>
  <c r="B18" i="9"/>
  <c r="H19" i="9"/>
  <c r="D18" i="9"/>
  <c r="C18" i="9"/>
  <c r="K98" i="1" l="1"/>
  <c r="M98" i="1" s="1"/>
  <c r="K97" i="1"/>
  <c r="F36" i="1"/>
  <c r="K100" i="1"/>
  <c r="M100" i="1" s="1"/>
  <c r="K99" i="1"/>
  <c r="M99" i="1" s="1"/>
  <c r="J11" i="18"/>
  <c r="I11" i="18" s="1"/>
  <c r="D24" i="15"/>
  <c r="F24" i="15" s="1"/>
  <c r="C25" i="15" s="1"/>
  <c r="AB12" i="18"/>
  <c r="AC12" i="18"/>
  <c r="AA13" i="18" s="1"/>
  <c r="Z12" i="18"/>
  <c r="Y12" i="18" s="1"/>
  <c r="C26" i="14"/>
  <c r="F26" i="14"/>
  <c r="B26" i="14"/>
  <c r="H27" i="14"/>
  <c r="E26" i="14"/>
  <c r="D26" i="14"/>
  <c r="X12" i="18"/>
  <c r="L11" i="18"/>
  <c r="H11" i="18"/>
  <c r="E23" i="15"/>
  <c r="I26" i="15"/>
  <c r="H27" i="15"/>
  <c r="B26" i="15"/>
  <c r="AD12" i="18"/>
  <c r="E18" i="9"/>
  <c r="F18" i="9" s="1"/>
  <c r="D19" i="9"/>
  <c r="C19" i="9"/>
  <c r="B19" i="9"/>
  <c r="H20" i="9"/>
  <c r="I20" i="10"/>
  <c r="B20" i="10"/>
  <c r="H21" i="10"/>
  <c r="F17" i="10"/>
  <c r="C18" i="10" s="1"/>
  <c r="E24" i="15" l="1"/>
  <c r="AE12" i="18"/>
  <c r="M11" i="18"/>
  <c r="K12" i="18" s="1"/>
  <c r="H28" i="14"/>
  <c r="E27" i="14"/>
  <c r="D27" i="14"/>
  <c r="C27" i="14"/>
  <c r="F27" i="14"/>
  <c r="B27" i="14"/>
  <c r="I27" i="15"/>
  <c r="H28" i="15"/>
  <c r="B27" i="15"/>
  <c r="W13" i="18"/>
  <c r="Z13" i="18" s="1"/>
  <c r="Y13" i="18" s="1"/>
  <c r="D25" i="15"/>
  <c r="E19" i="9"/>
  <c r="F19" i="9" s="1"/>
  <c r="F35" i="1"/>
  <c r="B20" i="9"/>
  <c r="H21" i="9"/>
  <c r="D20" i="9"/>
  <c r="C20" i="9"/>
  <c r="H22" i="10"/>
  <c r="B21" i="10"/>
  <c r="I21" i="10"/>
  <c r="D18" i="10"/>
  <c r="E18" i="10" s="1"/>
  <c r="E25" i="15" l="1"/>
  <c r="F25" i="15"/>
  <c r="C26" i="15" s="1"/>
  <c r="X13" i="18"/>
  <c r="C28" i="14"/>
  <c r="F28" i="14"/>
  <c r="B28" i="14"/>
  <c r="H29" i="14"/>
  <c r="E28" i="14"/>
  <c r="D28" i="14"/>
  <c r="D26" i="15"/>
  <c r="E26" i="15" s="1"/>
  <c r="AC13" i="18"/>
  <c r="AA14" i="18" s="1"/>
  <c r="AB13" i="18"/>
  <c r="AD13" i="18"/>
  <c r="H29" i="15"/>
  <c r="B28" i="15"/>
  <c r="I28" i="15"/>
  <c r="G12" i="18"/>
  <c r="N12" i="18" s="1"/>
  <c r="O11" i="18"/>
  <c r="E20" i="9"/>
  <c r="F20" i="9" s="1"/>
  <c r="F38" i="1"/>
  <c r="F39" i="1" s="1"/>
  <c r="F40" i="1"/>
  <c r="F41" i="1" s="1"/>
  <c r="F42" i="1" s="1"/>
  <c r="F18" i="10"/>
  <c r="C19" i="10" s="1"/>
  <c r="D19" i="10" s="1"/>
  <c r="H23" i="10"/>
  <c r="B22" i="10"/>
  <c r="I22" i="10"/>
  <c r="D21" i="9"/>
  <c r="C21" i="9"/>
  <c r="H22" i="9"/>
  <c r="B21" i="9"/>
  <c r="F26" i="15" l="1"/>
  <c r="C27" i="15" s="1"/>
  <c r="D27" i="15" s="1"/>
  <c r="E27" i="15" s="1"/>
  <c r="AE13" i="18"/>
  <c r="L12" i="18"/>
  <c r="W14" i="18"/>
  <c r="E29" i="14"/>
  <c r="D29" i="14"/>
  <c r="C29" i="14"/>
  <c r="B29" i="14"/>
  <c r="F29" i="14"/>
  <c r="H12" i="18"/>
  <c r="B29" i="15"/>
  <c r="I29" i="15"/>
  <c r="E21" i="9"/>
  <c r="F21" i="9" s="1"/>
  <c r="F19" i="10"/>
  <c r="C20" i="10" s="1"/>
  <c r="D20" i="10" s="1"/>
  <c r="F20" i="10" s="1"/>
  <c r="C21" i="10" s="1"/>
  <c r="E19" i="10"/>
  <c r="B22" i="9"/>
  <c r="H23" i="9"/>
  <c r="D22" i="9"/>
  <c r="C22" i="9"/>
  <c r="I23" i="10"/>
  <c r="H24" i="10"/>
  <c r="B23" i="10"/>
  <c r="F27" i="15" l="1"/>
  <c r="C28" i="15" s="1"/>
  <c r="D28" i="15" s="1"/>
  <c r="F28" i="15" s="1"/>
  <c r="C29" i="15" s="1"/>
  <c r="AB14" i="18"/>
  <c r="AC14" i="18"/>
  <c r="AA15" i="18" s="1"/>
  <c r="X14" i="18"/>
  <c r="AD14" i="18"/>
  <c r="Z14" i="18"/>
  <c r="Y14" i="18" s="1"/>
  <c r="M12" i="18"/>
  <c r="K13" i="18" s="1"/>
  <c r="E22" i="9"/>
  <c r="F22" i="9" s="1"/>
  <c r="D21" i="10"/>
  <c r="F21" i="10" s="1"/>
  <c r="C22" i="10" s="1"/>
  <c r="B24" i="10"/>
  <c r="I24" i="10"/>
  <c r="H25" i="10"/>
  <c r="E20" i="10"/>
  <c r="D23" i="9"/>
  <c r="C23" i="9"/>
  <c r="B23" i="9"/>
  <c r="F23" i="9"/>
  <c r="H24" i="9"/>
  <c r="E23" i="9"/>
  <c r="E28" i="15" l="1"/>
  <c r="D29" i="15"/>
  <c r="F29" i="15" s="1"/>
  <c r="W15" i="18"/>
  <c r="G13" i="18"/>
  <c r="N13" i="18" s="1"/>
  <c r="O12" i="18"/>
  <c r="AE14" i="18"/>
  <c r="E21" i="10"/>
  <c r="D22" i="10"/>
  <c r="H26" i="10"/>
  <c r="B25" i="10"/>
  <c r="I25" i="10"/>
  <c r="F24" i="9"/>
  <c r="B24" i="9"/>
  <c r="H25" i="9"/>
  <c r="E24" i="9"/>
  <c r="D24" i="9"/>
  <c r="C24" i="9"/>
  <c r="E29" i="15" l="1"/>
  <c r="H13" i="18"/>
  <c r="J13" i="18"/>
  <c r="I13" i="18" s="1"/>
  <c r="AC15" i="18"/>
  <c r="AA16" i="18" s="1"/>
  <c r="AB15" i="18"/>
  <c r="AD15" i="18"/>
  <c r="X15" i="18"/>
  <c r="L13" i="18"/>
  <c r="Z15" i="18"/>
  <c r="Y15" i="18" s="1"/>
  <c r="E22" i="10"/>
  <c r="H27" i="10"/>
  <c r="I26" i="10"/>
  <c r="B26" i="10"/>
  <c r="F22" i="10"/>
  <c r="C23" i="10" s="1"/>
  <c r="D25" i="9"/>
  <c r="C25" i="9"/>
  <c r="F25" i="9"/>
  <c r="H26" i="9"/>
  <c r="E25" i="9"/>
  <c r="B25" i="9"/>
  <c r="AE15" i="18" l="1"/>
  <c r="M13" i="18"/>
  <c r="K14" i="18" s="1"/>
  <c r="W16" i="18"/>
  <c r="AD16" i="18" s="1"/>
  <c r="Z16" i="18"/>
  <c r="Y16" i="18" s="1"/>
  <c r="D23" i="10"/>
  <c r="E23" i="10" s="1"/>
  <c r="I27" i="10"/>
  <c r="B27" i="10"/>
  <c r="H28" i="10"/>
  <c r="F26" i="9"/>
  <c r="B26" i="9"/>
  <c r="H27" i="9"/>
  <c r="E26" i="9"/>
  <c r="D26" i="9"/>
  <c r="C26" i="9"/>
  <c r="X16" i="18" l="1"/>
  <c r="G14" i="18"/>
  <c r="AB16" i="18"/>
  <c r="AC16" i="18"/>
  <c r="AA17" i="18" s="1"/>
  <c r="O13" i="18"/>
  <c r="D27" i="9"/>
  <c r="C27" i="9"/>
  <c r="B27" i="9"/>
  <c r="F27" i="9"/>
  <c r="H28" i="9"/>
  <c r="E27" i="9"/>
  <c r="F23" i="10"/>
  <c r="C24" i="10" s="1"/>
  <c r="B28" i="10"/>
  <c r="I28" i="10"/>
  <c r="H29" i="10"/>
  <c r="L14" i="18" l="1"/>
  <c r="H14" i="18"/>
  <c r="W17" i="18"/>
  <c r="X17" i="18" s="1"/>
  <c r="AE16" i="18"/>
  <c r="N14" i="18"/>
  <c r="F28" i="9"/>
  <c r="B28" i="9"/>
  <c r="H29" i="9"/>
  <c r="E28" i="9"/>
  <c r="D28" i="9"/>
  <c r="C28" i="9"/>
  <c r="D24" i="10"/>
  <c r="E24" i="10" s="1"/>
  <c r="B29" i="10"/>
  <c r="I29" i="10"/>
  <c r="AD17" i="18" l="1"/>
  <c r="AC17" i="18"/>
  <c r="AA18" i="18" s="1"/>
  <c r="AB17" i="18"/>
  <c r="Z17" i="18"/>
  <c r="Y17" i="18" s="1"/>
  <c r="M14" i="18"/>
  <c r="K15" i="18" s="1"/>
  <c r="F24" i="10"/>
  <c r="C25" i="10" s="1"/>
  <c r="D29" i="9"/>
  <c r="C29" i="9"/>
  <c r="F29" i="9"/>
  <c r="E29" i="9"/>
  <c r="B29" i="9"/>
  <c r="AE17" i="18" l="1"/>
  <c r="W18" i="18"/>
  <c r="Z18" i="18"/>
  <c r="Y18" i="18" s="1"/>
  <c r="AD18" i="18"/>
  <c r="G15" i="18"/>
  <c r="J15" i="18" s="1"/>
  <c r="I15" i="18" s="1"/>
  <c r="O14" i="18"/>
  <c r="D25" i="10"/>
  <c r="E25" i="10" s="1"/>
  <c r="N15" i="18" l="1"/>
  <c r="L15" i="18"/>
  <c r="H15" i="18"/>
  <c r="AB18" i="18"/>
  <c r="AC18" i="18"/>
  <c r="AA19" i="18" s="1"/>
  <c r="X18" i="18"/>
  <c r="F25" i="10"/>
  <c r="C26" i="10" s="1"/>
  <c r="D26" i="10" s="1"/>
  <c r="E26" i="10" s="1"/>
  <c r="AE18" i="18" l="1"/>
  <c r="D26" i="21"/>
  <c r="D28" i="21" s="1"/>
  <c r="D37" i="21" s="1"/>
  <c r="W19" i="18"/>
  <c r="M15" i="18"/>
  <c r="K16" i="18" s="1"/>
  <c r="F26" i="10"/>
  <c r="C27" i="10" s="1"/>
  <c r="D54" i="21" l="1"/>
  <c r="D38" i="21"/>
  <c r="D40" i="21" s="1"/>
  <c r="AC19" i="18"/>
  <c r="AA20" i="18" s="1"/>
  <c r="AB19" i="18"/>
  <c r="AD19" i="18"/>
  <c r="X19" i="18"/>
  <c r="G16" i="18"/>
  <c r="H16" i="18" s="1"/>
  <c r="Z19" i="18"/>
  <c r="Y19" i="18" s="1"/>
  <c r="O15" i="18"/>
  <c r="D27" i="10"/>
  <c r="E27" i="10" s="1"/>
  <c r="N16" i="18" l="1"/>
  <c r="AE19" i="18"/>
  <c r="P28" i="16"/>
  <c r="P30" i="16"/>
  <c r="R30" i="16" s="1"/>
  <c r="P29" i="16"/>
  <c r="R29" i="16" s="1"/>
  <c r="P31" i="16"/>
  <c r="R31" i="16" s="1"/>
  <c r="W20" i="18"/>
  <c r="AD20" i="18" s="1"/>
  <c r="Z20" i="18"/>
  <c r="Y20" i="18" s="1"/>
  <c r="L16" i="18"/>
  <c r="F27" i="10"/>
  <c r="C28" i="10" s="1"/>
  <c r="D28" i="10" s="1"/>
  <c r="F28" i="10" s="1"/>
  <c r="C29" i="10" s="1"/>
  <c r="D41" i="21" l="1"/>
  <c r="M16" i="18"/>
  <c r="K17" i="18" s="1"/>
  <c r="AB20" i="18"/>
  <c r="AC20" i="18"/>
  <c r="AA21" i="18" s="1"/>
  <c r="X20" i="18"/>
  <c r="D29" i="10"/>
  <c r="F29" i="10" s="1"/>
  <c r="E28" i="10"/>
  <c r="AE20" i="18" l="1"/>
  <c r="D46" i="21"/>
  <c r="D47" i="21" s="1"/>
  <c r="D50" i="21"/>
  <c r="D49" i="21"/>
  <c r="D51" i="21" s="1"/>
  <c r="D52" i="21" s="1"/>
  <c r="D55" i="21" s="1"/>
  <c r="D57" i="21" s="1"/>
  <c r="D58" i="21" s="1"/>
  <c r="D59" i="21" s="1"/>
  <c r="G17" i="18"/>
  <c r="N17" i="18" s="1"/>
  <c r="W21" i="18"/>
  <c r="Z21" i="18" s="1"/>
  <c r="Y21" i="18" s="1"/>
  <c r="O16" i="18"/>
  <c r="E29" i="10"/>
  <c r="H17" i="18" l="1"/>
  <c r="J17" i="18"/>
  <c r="I17" i="18" s="1"/>
  <c r="AC21" i="18"/>
  <c r="AA22" i="18" s="1"/>
  <c r="AB21" i="18"/>
  <c r="AD21" i="18"/>
  <c r="X21" i="18"/>
  <c r="L17" i="18"/>
  <c r="M11" i="8"/>
  <c r="J7" i="8" s="1"/>
  <c r="L11" i="8"/>
  <c r="J8" i="8"/>
  <c r="L4" i="8"/>
  <c r="J4" i="8"/>
  <c r="I3" i="8"/>
  <c r="I2" i="8"/>
  <c r="F11" i="8"/>
  <c r="C2" i="8" s="1"/>
  <c r="E9" i="8" s="1"/>
  <c r="E11" i="8"/>
  <c r="C8" i="8"/>
  <c r="E4" i="8"/>
  <c r="C4" i="8"/>
  <c r="B3" i="8"/>
  <c r="B2" i="8"/>
  <c r="AE21" i="18" l="1"/>
  <c r="M17" i="18"/>
  <c r="K18" i="18" s="1"/>
  <c r="W22" i="18"/>
  <c r="Z22" i="18" s="1"/>
  <c r="Y22" i="18" s="1"/>
  <c r="J9" i="8"/>
  <c r="J10" i="8" s="1"/>
  <c r="C5" i="8"/>
  <c r="A16" i="8" s="1"/>
  <c r="A17" i="8" s="1"/>
  <c r="A18" i="8" s="1"/>
  <c r="A19" i="8" s="1"/>
  <c r="A20" i="8" s="1"/>
  <c r="A21" i="8" s="1"/>
  <c r="A22" i="8" s="1"/>
  <c r="A23" i="8" s="1"/>
  <c r="A24" i="8" s="1"/>
  <c r="A25" i="8" s="1"/>
  <c r="A26" i="8" s="1"/>
  <c r="A27" i="8" s="1"/>
  <c r="A28" i="8" s="1"/>
  <c r="A29" i="8" s="1"/>
  <c r="A30" i="8" s="1"/>
  <c r="A31" i="8" s="1"/>
  <c r="A32" i="8" s="1"/>
  <c r="A33" i="8" s="1"/>
  <c r="A34" i="8" s="1"/>
  <c r="A35" i="8" s="1"/>
  <c r="A36" i="8" s="1"/>
  <c r="A37" i="8" s="1"/>
  <c r="A38" i="8" s="1"/>
  <c r="A39" i="8" s="1"/>
  <c r="A40" i="8" s="1"/>
  <c r="A41" i="8" s="1"/>
  <c r="A42" i="8" s="1"/>
  <c r="A43" i="8" s="1"/>
  <c r="A44" i="8" s="1"/>
  <c r="A45" i="8" s="1"/>
  <c r="A46" i="8" s="1"/>
  <c r="A47" i="8" s="1"/>
  <c r="A48" i="8" s="1"/>
  <c r="A49" i="8" s="1"/>
  <c r="A50" i="8" s="1"/>
  <c r="A51" i="8" s="1"/>
  <c r="A52" i="8" s="1"/>
  <c r="A53" i="8" s="1"/>
  <c r="A54" i="8" s="1"/>
  <c r="A55" i="8" s="1"/>
  <c r="A56" i="8" s="1"/>
  <c r="A57" i="8" s="1"/>
  <c r="A58" i="8" s="1"/>
  <c r="A59" i="8" s="1"/>
  <c r="A60" i="8" s="1"/>
  <c r="A61" i="8" s="1"/>
  <c r="A62" i="8" s="1"/>
  <c r="A63" i="8" s="1"/>
  <c r="A64" i="8" s="1"/>
  <c r="A65" i="8" s="1"/>
  <c r="A66" i="8" s="1"/>
  <c r="A67" i="8" s="1"/>
  <c r="A68" i="8" s="1"/>
  <c r="A69" i="8" s="1"/>
  <c r="A70" i="8" s="1"/>
  <c r="A71" i="8" s="1"/>
  <c r="A72" i="8" s="1"/>
  <c r="A73" i="8" s="1"/>
  <c r="A74" i="8" s="1"/>
  <c r="A75" i="8" s="1"/>
  <c r="A76" i="8" s="1"/>
  <c r="A77" i="8" s="1"/>
  <c r="A78" i="8" s="1"/>
  <c r="A79" i="8" s="1"/>
  <c r="A80" i="8" s="1"/>
  <c r="A81" i="8" s="1"/>
  <c r="A82" i="8" s="1"/>
  <c r="A83" i="8" s="1"/>
  <c r="A84" i="8" s="1"/>
  <c r="A85" i="8" s="1"/>
  <c r="A86" i="8" s="1"/>
  <c r="A87" i="8" s="1"/>
  <c r="A88" i="8" s="1"/>
  <c r="A89" i="8" s="1"/>
  <c r="A90" i="8" s="1"/>
  <c r="A91" i="8" s="1"/>
  <c r="A92" i="8" s="1"/>
  <c r="A93" i="8" s="1"/>
  <c r="A94" i="8" s="1"/>
  <c r="A95" i="8" s="1"/>
  <c r="A96" i="8" s="1"/>
  <c r="A97" i="8" s="1"/>
  <c r="A98" i="8" s="1"/>
  <c r="A99" i="8" s="1"/>
  <c r="A100" i="8" s="1"/>
  <c r="A101" i="8" s="1"/>
  <c r="A102" i="8" s="1"/>
  <c r="A103" i="8" s="1"/>
  <c r="A104" i="8" s="1"/>
  <c r="A105" i="8" s="1"/>
  <c r="A106" i="8" s="1"/>
  <c r="A107" i="8" s="1"/>
  <c r="A108" i="8" s="1"/>
  <c r="A109" i="8" s="1"/>
  <c r="A110" i="8" s="1"/>
  <c r="A111" i="8" s="1"/>
  <c r="A112" i="8" s="1"/>
  <c r="A113" i="8" s="1"/>
  <c r="A114" i="8" s="1"/>
  <c r="A115" i="8" s="1"/>
  <c r="A116" i="8" s="1"/>
  <c r="A117" i="8" s="1"/>
  <c r="A118" i="8" s="1"/>
  <c r="A119" i="8" s="1"/>
  <c r="A120" i="8" s="1"/>
  <c r="A121" i="8" s="1"/>
  <c r="A122" i="8" s="1"/>
  <c r="A123" i="8" s="1"/>
  <c r="A124" i="8" s="1"/>
  <c r="A125" i="8" s="1"/>
  <c r="A126" i="8" s="1"/>
  <c r="A127" i="8" s="1"/>
  <c r="A128" i="8" s="1"/>
  <c r="A129" i="8" s="1"/>
  <c r="A130" i="8" s="1"/>
  <c r="A131" i="8" s="1"/>
  <c r="A132" i="8" s="1"/>
  <c r="A133" i="8" s="1"/>
  <c r="A134" i="8" s="1"/>
  <c r="A135" i="8" s="1"/>
  <c r="A136" i="8" s="1"/>
  <c r="A137" i="8" s="1"/>
  <c r="A138" i="8" s="1"/>
  <c r="A139" i="8" s="1"/>
  <c r="A140" i="8" s="1"/>
  <c r="A141" i="8" s="1"/>
  <c r="A142" i="8" s="1"/>
  <c r="A143" i="8" s="1"/>
  <c r="A144" i="8" s="1"/>
  <c r="A145" i="8" s="1"/>
  <c r="A146" i="8" s="1"/>
  <c r="A147" i="8" s="1"/>
  <c r="A148" i="8" s="1"/>
  <c r="A149" i="8" s="1"/>
  <c r="A150" i="8" s="1"/>
  <c r="A151" i="8" s="1"/>
  <c r="A152" i="8" s="1"/>
  <c r="A153" i="8" s="1"/>
  <c r="A154" i="8" s="1"/>
  <c r="A155" i="8" s="1"/>
  <c r="A156" i="8" s="1"/>
  <c r="A157" i="8" s="1"/>
  <c r="A158" i="8" s="1"/>
  <c r="A159" i="8" s="1"/>
  <c r="A160" i="8" s="1"/>
  <c r="A161" i="8" s="1"/>
  <c r="A162" i="8" s="1"/>
  <c r="A163" i="8" s="1"/>
  <c r="A164" i="8" s="1"/>
  <c r="A165" i="8" s="1"/>
  <c r="A166" i="8" s="1"/>
  <c r="A167" i="8" s="1"/>
  <c r="A168" i="8" s="1"/>
  <c r="A169" i="8" s="1"/>
  <c r="A170" i="8" s="1"/>
  <c r="A171" i="8" s="1"/>
  <c r="A172" i="8" s="1"/>
  <c r="A173" i="8" s="1"/>
  <c r="A174" i="8" s="1"/>
  <c r="A175" i="8" s="1"/>
  <c r="A176" i="8" s="1"/>
  <c r="A177" i="8" s="1"/>
  <c r="A178" i="8" s="1"/>
  <c r="A179" i="8" s="1"/>
  <c r="A180" i="8" s="1"/>
  <c r="A181" i="8" s="1"/>
  <c r="A182" i="8" s="1"/>
  <c r="A183" i="8" s="1"/>
  <c r="A184" i="8" s="1"/>
  <c r="A185" i="8" s="1"/>
  <c r="A186" i="8" s="1"/>
  <c r="A187" i="8" s="1"/>
  <c r="A188" i="8" s="1"/>
  <c r="A189" i="8" s="1"/>
  <c r="A190" i="8" s="1"/>
  <c r="A191" i="8" s="1"/>
  <c r="A192" i="8" s="1"/>
  <c r="A193" i="8" s="1"/>
  <c r="A194" i="8" s="1"/>
  <c r="A195" i="8" s="1"/>
  <c r="A196" i="8" s="1"/>
  <c r="A197" i="8" s="1"/>
  <c r="A198" i="8" s="1"/>
  <c r="A199" i="8" s="1"/>
  <c r="A200" i="8" s="1"/>
  <c r="A201" i="8" s="1"/>
  <c r="A202" i="8" s="1"/>
  <c r="A203" i="8" s="1"/>
  <c r="A204" i="8" s="1"/>
  <c r="A205" i="8" s="1"/>
  <c r="A206" i="8" s="1"/>
  <c r="A207" i="8" s="1"/>
  <c r="A208" i="8" s="1"/>
  <c r="A209" i="8" s="1"/>
  <c r="A210" i="8" s="1"/>
  <c r="A211" i="8" s="1"/>
  <c r="A212" i="8" s="1"/>
  <c r="A213" i="8" s="1"/>
  <c r="A214" i="8" s="1"/>
  <c r="A215" i="8" s="1"/>
  <c r="A216" i="8" s="1"/>
  <c r="A217" i="8" s="1"/>
  <c r="A218" i="8" s="1"/>
  <c r="A219" i="8" s="1"/>
  <c r="A220" i="8" s="1"/>
  <c r="A221" i="8" s="1"/>
  <c r="A222" i="8" s="1"/>
  <c r="A223" i="8" s="1"/>
  <c r="A224" i="8" s="1"/>
  <c r="A225" i="8" s="1"/>
  <c r="A226" i="8" s="1"/>
  <c r="A227" i="8" s="1"/>
  <c r="A228" i="8" s="1"/>
  <c r="A229" i="8" s="1"/>
  <c r="A230" i="8" s="1"/>
  <c r="A231" i="8" s="1"/>
  <c r="A232" i="8" s="1"/>
  <c r="A233" i="8" s="1"/>
  <c r="A234" i="8" s="1"/>
  <c r="A235" i="8" s="1"/>
  <c r="A236" i="8" s="1"/>
  <c r="A237" i="8" s="1"/>
  <c r="A238" i="8" s="1"/>
  <c r="A239" i="8" s="1"/>
  <c r="A240" i="8" s="1"/>
  <c r="A241" i="8" s="1"/>
  <c r="A242" i="8" s="1"/>
  <c r="A243" i="8" s="1"/>
  <c r="A244" i="8" s="1"/>
  <c r="A245" i="8" s="1"/>
  <c r="A246" i="8" s="1"/>
  <c r="A247" i="8" s="1"/>
  <c r="A248" i="8" s="1"/>
  <c r="A249" i="8" s="1"/>
  <c r="A250" i="8" s="1"/>
  <c r="A251" i="8" s="1"/>
  <c r="A252" i="8" s="1"/>
  <c r="A253" i="8" s="1"/>
  <c r="A254" i="8" s="1"/>
  <c r="A255" i="8" s="1"/>
  <c r="A256" i="8" s="1"/>
  <c r="A257" i="8" s="1"/>
  <c r="A258" i="8" s="1"/>
  <c r="A259" i="8" s="1"/>
  <c r="A260" i="8" s="1"/>
  <c r="A261" i="8" s="1"/>
  <c r="A262" i="8" s="1"/>
  <c r="A263" i="8" s="1"/>
  <c r="A264" i="8" s="1"/>
  <c r="A265" i="8" s="1"/>
  <c r="A266" i="8" s="1"/>
  <c r="A267" i="8" s="1"/>
  <c r="A268" i="8" s="1"/>
  <c r="A269" i="8" s="1"/>
  <c r="A270" i="8" s="1"/>
  <c r="A271" i="8" s="1"/>
  <c r="A272" i="8" s="1"/>
  <c r="A273" i="8" s="1"/>
  <c r="A274" i="8" s="1"/>
  <c r="A275" i="8" s="1"/>
  <c r="A276" i="8" s="1"/>
  <c r="A277" i="8" s="1"/>
  <c r="A278" i="8" s="1"/>
  <c r="A279" i="8" s="1"/>
  <c r="A280" i="8" s="1"/>
  <c r="A281" i="8" s="1"/>
  <c r="A282" i="8" s="1"/>
  <c r="A283" i="8" s="1"/>
  <c r="A284" i="8" s="1"/>
  <c r="A285" i="8" s="1"/>
  <c r="A286" i="8" s="1"/>
  <c r="A287" i="8" s="1"/>
  <c r="A288" i="8" s="1"/>
  <c r="A289" i="8" s="1"/>
  <c r="A290" i="8" s="1"/>
  <c r="A291" i="8" s="1"/>
  <c r="A292" i="8" s="1"/>
  <c r="A293" i="8" s="1"/>
  <c r="A294" i="8" s="1"/>
  <c r="A295" i="8" s="1"/>
  <c r="A296" i="8" s="1"/>
  <c r="A297" i="8" s="1"/>
  <c r="A298" i="8" s="1"/>
  <c r="A299" i="8" s="1"/>
  <c r="A300" i="8" s="1"/>
  <c r="A301" i="8" s="1"/>
  <c r="A302" i="8" s="1"/>
  <c r="A303" i="8" s="1"/>
  <c r="A304" i="8" s="1"/>
  <c r="A305" i="8" s="1"/>
  <c r="A306" i="8" s="1"/>
  <c r="A307" i="8" s="1"/>
  <c r="A308" i="8" s="1"/>
  <c r="A309" i="8" s="1"/>
  <c r="A310" i="8" s="1"/>
  <c r="A311" i="8" s="1"/>
  <c r="A312" i="8" s="1"/>
  <c r="A313" i="8" s="1"/>
  <c r="A314" i="8" s="1"/>
  <c r="A315" i="8" s="1"/>
  <c r="A316" i="8" s="1"/>
  <c r="A317" i="8" s="1"/>
  <c r="A318" i="8" s="1"/>
  <c r="A319" i="8" s="1"/>
  <c r="A320" i="8" s="1"/>
  <c r="A321" i="8" s="1"/>
  <c r="A322" i="8" s="1"/>
  <c r="A323" i="8" s="1"/>
  <c r="A324" i="8" s="1"/>
  <c r="A325" i="8" s="1"/>
  <c r="A326" i="8" s="1"/>
  <c r="A327" i="8" s="1"/>
  <c r="A328" i="8" s="1"/>
  <c r="A329" i="8" s="1"/>
  <c r="A330" i="8" s="1"/>
  <c r="A331" i="8" s="1"/>
  <c r="A332" i="8" s="1"/>
  <c r="A333" i="8" s="1"/>
  <c r="A334" i="8" s="1"/>
  <c r="A335" i="8" s="1"/>
  <c r="A336" i="8" s="1"/>
  <c r="A337" i="8" s="1"/>
  <c r="A338" i="8" s="1"/>
  <c r="A339" i="8" s="1"/>
  <c r="A340" i="8" s="1"/>
  <c r="A341" i="8" s="1"/>
  <c r="A342" i="8" s="1"/>
  <c r="A343" i="8" s="1"/>
  <c r="A344" i="8" s="1"/>
  <c r="A345" i="8" s="1"/>
  <c r="A346" i="8" s="1"/>
  <c r="A347" i="8" s="1"/>
  <c r="A348" i="8" s="1"/>
  <c r="A349" i="8" s="1"/>
  <c r="A350" i="8" s="1"/>
  <c r="A351" i="8" s="1"/>
  <c r="A352" i="8" s="1"/>
  <c r="A353" i="8" s="1"/>
  <c r="A354" i="8" s="1"/>
  <c r="A355" i="8" s="1"/>
  <c r="A356" i="8" s="1"/>
  <c r="A357" i="8" s="1"/>
  <c r="A358" i="8" s="1"/>
  <c r="A359" i="8" s="1"/>
  <c r="A360" i="8" s="1"/>
  <c r="A361" i="8" s="1"/>
  <c r="A362" i="8" s="1"/>
  <c r="A363" i="8" s="1"/>
  <c r="A364" i="8" s="1"/>
  <c r="A365" i="8" s="1"/>
  <c r="A366" i="8" s="1"/>
  <c r="A367" i="8" s="1"/>
  <c r="A368" i="8" s="1"/>
  <c r="A369" i="8" s="1"/>
  <c r="A370" i="8" s="1"/>
  <c r="A371" i="8" s="1"/>
  <c r="A372" i="8" s="1"/>
  <c r="A373" i="8" s="1"/>
  <c r="A374" i="8" s="1"/>
  <c r="A375" i="8" s="1"/>
  <c r="A376" i="8" s="1"/>
  <c r="A377" i="8" s="1"/>
  <c r="A378" i="8" s="1"/>
  <c r="A379" i="8" s="1"/>
  <c r="A380" i="8" s="1"/>
  <c r="A381" i="8" s="1"/>
  <c r="A382" i="8" s="1"/>
  <c r="A383" i="8" s="1"/>
  <c r="A384" i="8" s="1"/>
  <c r="A385" i="8" s="1"/>
  <c r="A386" i="8" s="1"/>
  <c r="A387" i="8" s="1"/>
  <c r="A388" i="8" s="1"/>
  <c r="A389" i="8" s="1"/>
  <c r="A390" i="8" s="1"/>
  <c r="A391" i="8" s="1"/>
  <c r="A392" i="8" s="1"/>
  <c r="A393" i="8" s="1"/>
  <c r="A394" i="8" s="1"/>
  <c r="A395" i="8" s="1"/>
  <c r="A396" i="8" s="1"/>
  <c r="A397" i="8" s="1"/>
  <c r="A398" i="8" s="1"/>
  <c r="A399" i="8" s="1"/>
  <c r="A400" i="8" s="1"/>
  <c r="A401" i="8" s="1"/>
  <c r="A402" i="8" s="1"/>
  <c r="A403" i="8" s="1"/>
  <c r="A404" i="8" s="1"/>
  <c r="A405" i="8" s="1"/>
  <c r="A406" i="8" s="1"/>
  <c r="A407" i="8" s="1"/>
  <c r="A408" i="8" s="1"/>
  <c r="A409" i="8" s="1"/>
  <c r="A410" i="8" s="1"/>
  <c r="A411" i="8" s="1"/>
  <c r="A412" i="8" s="1"/>
  <c r="A413" i="8" s="1"/>
  <c r="A414" i="8" s="1"/>
  <c r="A415" i="8" s="1"/>
  <c r="A416" i="8" s="1"/>
  <c r="A417" i="8" s="1"/>
  <c r="A418" i="8" s="1"/>
  <c r="A419" i="8" s="1"/>
  <c r="A420" i="8" s="1"/>
  <c r="A421" i="8" s="1"/>
  <c r="A422" i="8" s="1"/>
  <c r="A423" i="8" s="1"/>
  <c r="A424" i="8" s="1"/>
  <c r="A425" i="8" s="1"/>
  <c r="A426" i="8" s="1"/>
  <c r="A427" i="8" s="1"/>
  <c r="A428" i="8" s="1"/>
  <c r="A429" i="8" s="1"/>
  <c r="A430" i="8" s="1"/>
  <c r="A431" i="8" s="1"/>
  <c r="A432" i="8" s="1"/>
  <c r="A433" i="8" s="1"/>
  <c r="A434" i="8" s="1"/>
  <c r="A435" i="8" s="1"/>
  <c r="A436" i="8" s="1"/>
  <c r="A437" i="8" s="1"/>
  <c r="A438" i="8" s="1"/>
  <c r="A439" i="8" s="1"/>
  <c r="A440" i="8" s="1"/>
  <c r="A441" i="8" s="1"/>
  <c r="A442" i="8" s="1"/>
  <c r="A443" i="8" s="1"/>
  <c r="A444" i="8" s="1"/>
  <c r="A445" i="8" s="1"/>
  <c r="A446" i="8" s="1"/>
  <c r="A447" i="8" s="1"/>
  <c r="A448" i="8" s="1"/>
  <c r="J2" i="8"/>
  <c r="J6" i="8"/>
  <c r="C3" i="8"/>
  <c r="AA7" i="1" s="1"/>
  <c r="C6" i="8"/>
  <c r="C7" i="8"/>
  <c r="C9" i="8"/>
  <c r="C10" i="8" s="1"/>
  <c r="E7" i="8"/>
  <c r="E8" i="8"/>
  <c r="E13" i="8" s="1"/>
  <c r="X22" i="18" l="1"/>
  <c r="AD22" i="18"/>
  <c r="D22" i="19"/>
  <c r="J8" i="18"/>
  <c r="I8" i="18" s="1"/>
  <c r="J10" i="18"/>
  <c r="I10" i="18" s="1"/>
  <c r="J12" i="18"/>
  <c r="I12" i="18" s="1"/>
  <c r="J14" i="18"/>
  <c r="I14" i="18" s="1"/>
  <c r="J16" i="18"/>
  <c r="I16" i="18" s="1"/>
  <c r="G18" i="18"/>
  <c r="AB22" i="18"/>
  <c r="AC22" i="18"/>
  <c r="AA23" i="18" s="1"/>
  <c r="O17" i="18"/>
  <c r="J7" i="1"/>
  <c r="E12" i="8"/>
  <c r="J3" i="8"/>
  <c r="L9" i="8"/>
  <c r="J5" i="8"/>
  <c r="H16" i="8" s="1"/>
  <c r="H17" i="8" s="1"/>
  <c r="H18" i="8" s="1"/>
  <c r="H19" i="8" s="1"/>
  <c r="H20" i="8" s="1"/>
  <c r="H21" i="8" s="1"/>
  <c r="H22" i="8" s="1"/>
  <c r="H23" i="8" s="1"/>
  <c r="H24" i="8" s="1"/>
  <c r="H25" i="8" s="1"/>
  <c r="H26" i="8" s="1"/>
  <c r="H27" i="8" s="1"/>
  <c r="H28" i="8" s="1"/>
  <c r="H29" i="8" s="1"/>
  <c r="H30" i="8" s="1"/>
  <c r="H31" i="8" s="1"/>
  <c r="H32" i="8" s="1"/>
  <c r="H33" i="8" s="1"/>
  <c r="H34" i="8" s="1"/>
  <c r="H35" i="8" s="1"/>
  <c r="H36" i="8" s="1"/>
  <c r="H37" i="8" s="1"/>
  <c r="H38" i="8" s="1"/>
  <c r="H39" i="8" s="1"/>
  <c r="H40" i="8" s="1"/>
  <c r="H41" i="8" s="1"/>
  <c r="H42" i="8" s="1"/>
  <c r="H43" i="8" s="1"/>
  <c r="H44" i="8" s="1"/>
  <c r="H45" i="8" s="1"/>
  <c r="H46" i="8" s="1"/>
  <c r="H47" i="8" s="1"/>
  <c r="H48" i="8" s="1"/>
  <c r="H49" i="8" s="1"/>
  <c r="H50" i="8" s="1"/>
  <c r="H51" i="8" s="1"/>
  <c r="H52" i="8" s="1"/>
  <c r="H53" i="8" s="1"/>
  <c r="H54" i="8" s="1"/>
  <c r="H55" i="8" s="1"/>
  <c r="H56" i="8" s="1"/>
  <c r="H57" i="8" s="1"/>
  <c r="H58" i="8" s="1"/>
  <c r="H59" i="8" s="1"/>
  <c r="H60" i="8" s="1"/>
  <c r="H61" i="8" s="1"/>
  <c r="H62" i="8" s="1"/>
  <c r="H63" i="8" s="1"/>
  <c r="H64" i="8" s="1"/>
  <c r="H65" i="8" s="1"/>
  <c r="H66" i="8" s="1"/>
  <c r="H67" i="8" s="1"/>
  <c r="H68" i="8" s="1"/>
  <c r="H69" i="8" s="1"/>
  <c r="H70" i="8" s="1"/>
  <c r="H71" i="8" s="1"/>
  <c r="H72" i="8" s="1"/>
  <c r="H73" i="8" s="1"/>
  <c r="H74" i="8" s="1"/>
  <c r="H75" i="8" s="1"/>
  <c r="H76" i="8" s="1"/>
  <c r="H77" i="8" s="1"/>
  <c r="H78" i="8" s="1"/>
  <c r="H79" i="8" s="1"/>
  <c r="H80" i="8" s="1"/>
  <c r="H81" i="8" s="1"/>
  <c r="H82" i="8" s="1"/>
  <c r="H83" i="8" s="1"/>
  <c r="H84" i="8" s="1"/>
  <c r="H85" i="8" s="1"/>
  <c r="H86" i="8" s="1"/>
  <c r="H87" i="8" s="1"/>
  <c r="H88" i="8" s="1"/>
  <c r="H89" i="8" s="1"/>
  <c r="H90" i="8" s="1"/>
  <c r="H91" i="8" s="1"/>
  <c r="H92" i="8" s="1"/>
  <c r="H93" i="8" s="1"/>
  <c r="H94" i="8" s="1"/>
  <c r="H95" i="8" s="1"/>
  <c r="H96" i="8" s="1"/>
  <c r="H97" i="8" s="1"/>
  <c r="H98" i="8" s="1"/>
  <c r="H99" i="8" s="1"/>
  <c r="H100" i="8" s="1"/>
  <c r="H101" i="8" s="1"/>
  <c r="H102" i="8" s="1"/>
  <c r="H103" i="8" s="1"/>
  <c r="H104" i="8" s="1"/>
  <c r="H105" i="8" s="1"/>
  <c r="H106" i="8" s="1"/>
  <c r="H107" i="8" s="1"/>
  <c r="H108" i="8" s="1"/>
  <c r="H109" i="8" s="1"/>
  <c r="H110" i="8" s="1"/>
  <c r="H111" i="8" s="1"/>
  <c r="H112" i="8" s="1"/>
  <c r="H113" i="8" s="1"/>
  <c r="H114" i="8" s="1"/>
  <c r="H115" i="8" s="1"/>
  <c r="H116" i="8" s="1"/>
  <c r="H117" i="8" s="1"/>
  <c r="H118" i="8" s="1"/>
  <c r="H119" i="8" s="1"/>
  <c r="H120" i="8" s="1"/>
  <c r="H121" i="8" s="1"/>
  <c r="H122" i="8" s="1"/>
  <c r="H123" i="8" s="1"/>
  <c r="H124" i="8" s="1"/>
  <c r="H125" i="8" s="1"/>
  <c r="H126" i="8" s="1"/>
  <c r="H127" i="8" s="1"/>
  <c r="H128" i="8" s="1"/>
  <c r="H129" i="8" s="1"/>
  <c r="H130" i="8" s="1"/>
  <c r="H131" i="8" s="1"/>
  <c r="H132" i="8" s="1"/>
  <c r="H133" i="8" s="1"/>
  <c r="H134" i="8" s="1"/>
  <c r="H135" i="8" s="1"/>
  <c r="H136" i="8" s="1"/>
  <c r="H137" i="8" s="1"/>
  <c r="H138" i="8" s="1"/>
  <c r="H139" i="8" s="1"/>
  <c r="H140" i="8" s="1"/>
  <c r="H141" i="8" s="1"/>
  <c r="H142" i="8" s="1"/>
  <c r="H143" i="8" s="1"/>
  <c r="H144" i="8" s="1"/>
  <c r="H145" i="8" s="1"/>
  <c r="H146" i="8" s="1"/>
  <c r="H147" i="8" s="1"/>
  <c r="H148" i="8" s="1"/>
  <c r="H149" i="8" s="1"/>
  <c r="H150" i="8" s="1"/>
  <c r="H151" i="8" s="1"/>
  <c r="H152" i="8" s="1"/>
  <c r="H153" i="8" s="1"/>
  <c r="H154" i="8" s="1"/>
  <c r="H155" i="8" s="1"/>
  <c r="H156" i="8" s="1"/>
  <c r="H157" i="8" s="1"/>
  <c r="H158" i="8" s="1"/>
  <c r="H159" i="8" s="1"/>
  <c r="H160" i="8" s="1"/>
  <c r="H161" i="8" s="1"/>
  <c r="H162" i="8" s="1"/>
  <c r="H163" i="8" s="1"/>
  <c r="H164" i="8" s="1"/>
  <c r="H165" i="8" s="1"/>
  <c r="H166" i="8" s="1"/>
  <c r="H167" i="8" s="1"/>
  <c r="H168" i="8" s="1"/>
  <c r="H169" i="8" s="1"/>
  <c r="H170" i="8" s="1"/>
  <c r="H171" i="8" s="1"/>
  <c r="H172" i="8" s="1"/>
  <c r="H173" i="8" s="1"/>
  <c r="H174" i="8" s="1"/>
  <c r="H175" i="8" s="1"/>
  <c r="H176" i="8" s="1"/>
  <c r="H177" i="8" s="1"/>
  <c r="H178" i="8" s="1"/>
  <c r="H179" i="8" s="1"/>
  <c r="H180" i="8" s="1"/>
  <c r="H181" i="8" s="1"/>
  <c r="H182" i="8" s="1"/>
  <c r="H183" i="8" s="1"/>
  <c r="H184" i="8" s="1"/>
  <c r="H185" i="8" s="1"/>
  <c r="H186" i="8" s="1"/>
  <c r="H187" i="8" s="1"/>
  <c r="H188" i="8" s="1"/>
  <c r="H189" i="8" s="1"/>
  <c r="H190" i="8" s="1"/>
  <c r="H191" i="8" s="1"/>
  <c r="H192" i="8" s="1"/>
  <c r="H193" i="8" s="1"/>
  <c r="H194" i="8" s="1"/>
  <c r="H195" i="8" s="1"/>
  <c r="H196" i="8" s="1"/>
  <c r="H197" i="8" s="1"/>
  <c r="H198" i="8" s="1"/>
  <c r="H199" i="8" s="1"/>
  <c r="H200" i="8" s="1"/>
  <c r="H201" i="8" s="1"/>
  <c r="H202" i="8" s="1"/>
  <c r="H203" i="8" s="1"/>
  <c r="H204" i="8" s="1"/>
  <c r="H205" i="8" s="1"/>
  <c r="H206" i="8" s="1"/>
  <c r="H207" i="8" s="1"/>
  <c r="H208" i="8" s="1"/>
  <c r="H209" i="8" s="1"/>
  <c r="H210" i="8" s="1"/>
  <c r="H211" i="8" s="1"/>
  <c r="H212" i="8" s="1"/>
  <c r="H213" i="8" s="1"/>
  <c r="H214" i="8" s="1"/>
  <c r="H215" i="8" s="1"/>
  <c r="H216" i="8" s="1"/>
  <c r="H217" i="8" s="1"/>
  <c r="H218" i="8" s="1"/>
  <c r="H219" i="8" s="1"/>
  <c r="H220" i="8" s="1"/>
  <c r="H221" i="8" s="1"/>
  <c r="H222" i="8" s="1"/>
  <c r="H223" i="8" s="1"/>
  <c r="H224" i="8" s="1"/>
  <c r="H225" i="8" s="1"/>
  <c r="H226" i="8" s="1"/>
  <c r="H227" i="8" s="1"/>
  <c r="H228" i="8" s="1"/>
  <c r="H229" i="8" s="1"/>
  <c r="H230" i="8" s="1"/>
  <c r="H231" i="8" s="1"/>
  <c r="H232" i="8" s="1"/>
  <c r="H233" i="8" s="1"/>
  <c r="H234" i="8" s="1"/>
  <c r="H235" i="8" s="1"/>
  <c r="H236" i="8" s="1"/>
  <c r="H237" i="8" s="1"/>
  <c r="H238" i="8" s="1"/>
  <c r="H239" i="8" s="1"/>
  <c r="H240" i="8" s="1"/>
  <c r="H241" i="8" s="1"/>
  <c r="H242" i="8" s="1"/>
  <c r="H243" i="8" s="1"/>
  <c r="H244" i="8" s="1"/>
  <c r="H245" i="8" s="1"/>
  <c r="H246" i="8" s="1"/>
  <c r="H247" i="8" s="1"/>
  <c r="H248" i="8" s="1"/>
  <c r="H249" i="8" s="1"/>
  <c r="H250" i="8" s="1"/>
  <c r="H251" i="8" s="1"/>
  <c r="H252" i="8" s="1"/>
  <c r="H253" i="8" s="1"/>
  <c r="H254" i="8" s="1"/>
  <c r="H255" i="8" s="1"/>
  <c r="H256" i="8" s="1"/>
  <c r="H257" i="8" s="1"/>
  <c r="H258" i="8" s="1"/>
  <c r="H259" i="8" s="1"/>
  <c r="H260" i="8" s="1"/>
  <c r="H261" i="8" s="1"/>
  <c r="H262" i="8" s="1"/>
  <c r="H263" i="8" s="1"/>
  <c r="H264" i="8" s="1"/>
  <c r="H265" i="8" s="1"/>
  <c r="H266" i="8" s="1"/>
  <c r="H267" i="8" s="1"/>
  <c r="H268" i="8" s="1"/>
  <c r="H269" i="8" s="1"/>
  <c r="H270" i="8" s="1"/>
  <c r="H271" i="8" s="1"/>
  <c r="H272" i="8" s="1"/>
  <c r="H273" i="8" s="1"/>
  <c r="H274" i="8" s="1"/>
  <c r="H275" i="8" s="1"/>
  <c r="H276" i="8" s="1"/>
  <c r="H277" i="8" s="1"/>
  <c r="H278" i="8" s="1"/>
  <c r="H279" i="8" s="1"/>
  <c r="H280" i="8" s="1"/>
  <c r="H281" i="8" s="1"/>
  <c r="H282" i="8" s="1"/>
  <c r="H283" i="8" s="1"/>
  <c r="H284" i="8" s="1"/>
  <c r="H285" i="8" s="1"/>
  <c r="H286" i="8" s="1"/>
  <c r="H287" i="8" s="1"/>
  <c r="H288" i="8" s="1"/>
  <c r="H289" i="8" s="1"/>
  <c r="H290" i="8" s="1"/>
  <c r="H291" i="8" s="1"/>
  <c r="H292" i="8" s="1"/>
  <c r="H293" i="8" s="1"/>
  <c r="H294" i="8" s="1"/>
  <c r="H295" i="8" s="1"/>
  <c r="H296" i="8" s="1"/>
  <c r="H297" i="8" s="1"/>
  <c r="H298" i="8" s="1"/>
  <c r="H299" i="8" s="1"/>
  <c r="H300" i="8" s="1"/>
  <c r="H301" i="8" s="1"/>
  <c r="H302" i="8" s="1"/>
  <c r="H303" i="8" s="1"/>
  <c r="H304" i="8" s="1"/>
  <c r="H305" i="8" s="1"/>
  <c r="H306" i="8" s="1"/>
  <c r="H307" i="8" s="1"/>
  <c r="H308" i="8" s="1"/>
  <c r="H309" i="8" s="1"/>
  <c r="H310" i="8" s="1"/>
  <c r="H311" i="8" s="1"/>
  <c r="H312" i="8" s="1"/>
  <c r="H313" i="8" s="1"/>
  <c r="H314" i="8" s="1"/>
  <c r="H315" i="8" s="1"/>
  <c r="H316" i="8" s="1"/>
  <c r="H317" i="8" s="1"/>
  <c r="H318" i="8" s="1"/>
  <c r="H319" i="8" s="1"/>
  <c r="H320" i="8" s="1"/>
  <c r="H321" i="8" s="1"/>
  <c r="H322" i="8" s="1"/>
  <c r="H323" i="8" s="1"/>
  <c r="H324" i="8" s="1"/>
  <c r="H325" i="8" s="1"/>
  <c r="H326" i="8" s="1"/>
  <c r="H327" i="8" s="1"/>
  <c r="H328" i="8" s="1"/>
  <c r="H329" i="8" s="1"/>
  <c r="H330" i="8" s="1"/>
  <c r="H331" i="8" s="1"/>
  <c r="H332" i="8" s="1"/>
  <c r="H333" i="8" s="1"/>
  <c r="H334" i="8" s="1"/>
  <c r="H335" i="8" s="1"/>
  <c r="H336" i="8" s="1"/>
  <c r="H337" i="8" s="1"/>
  <c r="H338" i="8" s="1"/>
  <c r="H339" i="8" s="1"/>
  <c r="H340" i="8" s="1"/>
  <c r="H341" i="8" s="1"/>
  <c r="H342" i="8" s="1"/>
  <c r="H343" i="8" s="1"/>
  <c r="H344" i="8" s="1"/>
  <c r="H345" i="8" s="1"/>
  <c r="H346" i="8" s="1"/>
  <c r="H347" i="8" s="1"/>
  <c r="H348" i="8" s="1"/>
  <c r="H349" i="8" s="1"/>
  <c r="H350" i="8" s="1"/>
  <c r="H351" i="8" s="1"/>
  <c r="H352" i="8" s="1"/>
  <c r="H353" i="8" s="1"/>
  <c r="H354" i="8" s="1"/>
  <c r="H355" i="8" s="1"/>
  <c r="H356" i="8" s="1"/>
  <c r="H357" i="8" s="1"/>
  <c r="H358" i="8" s="1"/>
  <c r="H359" i="8" s="1"/>
  <c r="H360" i="8" s="1"/>
  <c r="H361" i="8" s="1"/>
  <c r="H362" i="8" s="1"/>
  <c r="H363" i="8" s="1"/>
  <c r="H364" i="8" s="1"/>
  <c r="H365" i="8" s="1"/>
  <c r="H366" i="8" s="1"/>
  <c r="H367" i="8" s="1"/>
  <c r="H368" i="8" s="1"/>
  <c r="H369" i="8" s="1"/>
  <c r="H370" i="8" s="1"/>
  <c r="H371" i="8" s="1"/>
  <c r="H372" i="8" s="1"/>
  <c r="H373" i="8" s="1"/>
  <c r="H374" i="8" s="1"/>
  <c r="H375" i="8" s="1"/>
  <c r="H376" i="8" s="1"/>
  <c r="H377" i="8" s="1"/>
  <c r="H378" i="8" s="1"/>
  <c r="H379" i="8" s="1"/>
  <c r="H380" i="8" s="1"/>
  <c r="H381" i="8" s="1"/>
  <c r="H382" i="8" s="1"/>
  <c r="H383" i="8" s="1"/>
  <c r="H384" i="8" s="1"/>
  <c r="H385" i="8" s="1"/>
  <c r="H386" i="8" s="1"/>
  <c r="H387" i="8" s="1"/>
  <c r="H388" i="8" s="1"/>
  <c r="H389" i="8" s="1"/>
  <c r="H390" i="8" s="1"/>
  <c r="H391" i="8" s="1"/>
  <c r="H392" i="8" s="1"/>
  <c r="H393" i="8" s="1"/>
  <c r="H394" i="8" s="1"/>
  <c r="H395" i="8" s="1"/>
  <c r="H396" i="8" s="1"/>
  <c r="H397" i="8" s="1"/>
  <c r="H398" i="8" s="1"/>
  <c r="H399" i="8" s="1"/>
  <c r="H400" i="8" s="1"/>
  <c r="H401" i="8" s="1"/>
  <c r="H402" i="8" s="1"/>
  <c r="H403" i="8" s="1"/>
  <c r="H404" i="8" s="1"/>
  <c r="H405" i="8" s="1"/>
  <c r="H406" i="8" s="1"/>
  <c r="H407" i="8" s="1"/>
  <c r="H408" i="8" s="1"/>
  <c r="H409" i="8" s="1"/>
  <c r="H410" i="8" s="1"/>
  <c r="H411" i="8" s="1"/>
  <c r="H412" i="8" s="1"/>
  <c r="H413" i="8" s="1"/>
  <c r="H414" i="8" s="1"/>
  <c r="H415" i="8" s="1"/>
  <c r="H416" i="8" s="1"/>
  <c r="H417" i="8" s="1"/>
  <c r="H418" i="8" s="1"/>
  <c r="H419" i="8" s="1"/>
  <c r="H420" i="8" s="1"/>
  <c r="H421" i="8" s="1"/>
  <c r="H422" i="8" s="1"/>
  <c r="H423" i="8" s="1"/>
  <c r="H424" i="8" s="1"/>
  <c r="H425" i="8" s="1"/>
  <c r="H426" i="8" s="1"/>
  <c r="H427" i="8" s="1"/>
  <c r="H428" i="8" s="1"/>
  <c r="H429" i="8" s="1"/>
  <c r="H430" i="8" s="1"/>
  <c r="H431" i="8" s="1"/>
  <c r="H432" i="8" s="1"/>
  <c r="H433" i="8" s="1"/>
  <c r="H434" i="8" s="1"/>
  <c r="H435" i="8" s="1"/>
  <c r="H436" i="8" s="1"/>
  <c r="H437" i="8" s="1"/>
  <c r="H438" i="8" s="1"/>
  <c r="H439" i="8" s="1"/>
  <c r="H440" i="8" s="1"/>
  <c r="H441" i="8" s="1"/>
  <c r="H442" i="8" s="1"/>
  <c r="H443" i="8" s="1"/>
  <c r="H444" i="8" s="1"/>
  <c r="H445" i="8" s="1"/>
  <c r="H446" i="8" s="1"/>
  <c r="H447" i="8" s="1"/>
  <c r="H448" i="8" s="1"/>
  <c r="F36" i="6"/>
  <c r="D21" i="6"/>
  <c r="E17" i="6"/>
  <c r="I5" i="8" s="1"/>
  <c r="D17" i="6"/>
  <c r="I4" i="8" s="1"/>
  <c r="AW7" i="1" s="1"/>
  <c r="F36" i="2"/>
  <c r="D21" i="2"/>
  <c r="D17" i="2"/>
  <c r="B4" i="8" s="1"/>
  <c r="AG7" i="1" s="1"/>
  <c r="E17" i="2"/>
  <c r="B5" i="8" s="1"/>
  <c r="AQ7" i="1" l="1"/>
  <c r="Z23" i="18"/>
  <c r="Y23" i="18" s="1"/>
  <c r="W23" i="18"/>
  <c r="L18" i="18"/>
  <c r="AE22" i="18"/>
  <c r="H18" i="18"/>
  <c r="N18" i="18"/>
  <c r="J18" i="18"/>
  <c r="I18" i="18" s="1"/>
  <c r="C37" i="19"/>
  <c r="B8" i="17" s="1"/>
  <c r="J6" i="18" s="1"/>
  <c r="D23" i="19"/>
  <c r="F37" i="19"/>
  <c r="E22" i="19" s="1"/>
  <c r="D33" i="19"/>
  <c r="B3" i="12"/>
  <c r="H3" i="12"/>
  <c r="L7" i="8"/>
  <c r="L8" i="8"/>
  <c r="L13" i="8" s="1"/>
  <c r="J15" i="1" s="1"/>
  <c r="B26" i="21" l="1"/>
  <c r="B28" i="21" s="1"/>
  <c r="B37" i="21" s="1"/>
  <c r="M18" i="18"/>
  <c r="K19" i="18" s="1"/>
  <c r="F33" i="19"/>
  <c r="E33" i="19"/>
  <c r="G37" i="19"/>
  <c r="AC23" i="18"/>
  <c r="AA24" i="18" s="1"/>
  <c r="AB23" i="18"/>
  <c r="AD23" i="18"/>
  <c r="I6" i="18"/>
  <c r="X23" i="18"/>
  <c r="I16" i="8"/>
  <c r="I17" i="8" s="1"/>
  <c r="I18" i="8" s="1"/>
  <c r="I19" i="8" s="1"/>
  <c r="I20" i="8" s="1"/>
  <c r="I21" i="8" s="1"/>
  <c r="I22" i="8" s="1"/>
  <c r="I23" i="8" s="1"/>
  <c r="I24" i="8" s="1"/>
  <c r="I25" i="8" s="1"/>
  <c r="I26" i="8" s="1"/>
  <c r="I27" i="8" s="1"/>
  <c r="I28" i="8" s="1"/>
  <c r="I29" i="8" s="1"/>
  <c r="I30" i="8" s="1"/>
  <c r="I31" i="8" s="1"/>
  <c r="I32" i="8" s="1"/>
  <c r="I33" i="8" s="1"/>
  <c r="I34" i="8" s="1"/>
  <c r="I35" i="8" s="1"/>
  <c r="I36" i="8" s="1"/>
  <c r="I37" i="8" s="1"/>
  <c r="I38" i="8" s="1"/>
  <c r="I39" i="8" s="1"/>
  <c r="I40" i="8" s="1"/>
  <c r="I41" i="8" s="1"/>
  <c r="I42" i="8" s="1"/>
  <c r="I43" i="8" s="1"/>
  <c r="I44" i="8" s="1"/>
  <c r="I45" i="8" s="1"/>
  <c r="I46" i="8" s="1"/>
  <c r="I47" i="8" s="1"/>
  <c r="I48" i="8" s="1"/>
  <c r="I49" i="8" s="1"/>
  <c r="I50" i="8" s="1"/>
  <c r="I51" i="8" s="1"/>
  <c r="I52" i="8" s="1"/>
  <c r="I53" i="8" s="1"/>
  <c r="I54" i="8" s="1"/>
  <c r="I55" i="8" s="1"/>
  <c r="I56" i="8" s="1"/>
  <c r="I57" i="8" s="1"/>
  <c r="I58" i="8" s="1"/>
  <c r="I59" i="8" s="1"/>
  <c r="I60" i="8" s="1"/>
  <c r="I61" i="8" s="1"/>
  <c r="I62" i="8" s="1"/>
  <c r="I63" i="8" s="1"/>
  <c r="I64" i="8" s="1"/>
  <c r="I65" i="8" s="1"/>
  <c r="I66" i="8" s="1"/>
  <c r="I67" i="8" s="1"/>
  <c r="I68" i="8" s="1"/>
  <c r="I69" i="8" s="1"/>
  <c r="I70" i="8" s="1"/>
  <c r="I71" i="8" s="1"/>
  <c r="I72" i="8" s="1"/>
  <c r="I73" i="8" s="1"/>
  <c r="I74" i="8" s="1"/>
  <c r="I75" i="8" s="1"/>
  <c r="I76" i="8" s="1"/>
  <c r="I77" i="8" s="1"/>
  <c r="I78" i="8" s="1"/>
  <c r="I79" i="8" s="1"/>
  <c r="I80" i="8" s="1"/>
  <c r="I81" i="8" s="1"/>
  <c r="I82" i="8" s="1"/>
  <c r="I83" i="8" s="1"/>
  <c r="I84" i="8" s="1"/>
  <c r="I85" i="8" s="1"/>
  <c r="I86" i="8" s="1"/>
  <c r="I87" i="8" s="1"/>
  <c r="I88" i="8" s="1"/>
  <c r="I89" i="8" s="1"/>
  <c r="I90" i="8" s="1"/>
  <c r="I91" i="8" s="1"/>
  <c r="I92" i="8" s="1"/>
  <c r="I93" i="8" s="1"/>
  <c r="I94" i="8" s="1"/>
  <c r="I95" i="8" s="1"/>
  <c r="I96" i="8" s="1"/>
  <c r="I97" i="8" s="1"/>
  <c r="I98" i="8" s="1"/>
  <c r="I99" i="8" s="1"/>
  <c r="I100" i="8" s="1"/>
  <c r="I101" i="8" s="1"/>
  <c r="I102" i="8" s="1"/>
  <c r="I103" i="8" s="1"/>
  <c r="I104" i="8" s="1"/>
  <c r="I105" i="8" s="1"/>
  <c r="I106" i="8" s="1"/>
  <c r="I107" i="8" s="1"/>
  <c r="I108" i="8" s="1"/>
  <c r="I109" i="8" s="1"/>
  <c r="I110" i="8" s="1"/>
  <c r="I111" i="8" s="1"/>
  <c r="I112" i="8" s="1"/>
  <c r="I113" i="8" s="1"/>
  <c r="I114" i="8" s="1"/>
  <c r="I115" i="8" s="1"/>
  <c r="I116" i="8" s="1"/>
  <c r="I117" i="8" s="1"/>
  <c r="I118" i="8" s="1"/>
  <c r="I119" i="8" s="1"/>
  <c r="I120" i="8" s="1"/>
  <c r="I121" i="8" s="1"/>
  <c r="I122" i="8" s="1"/>
  <c r="I123" i="8" s="1"/>
  <c r="I124" i="8" s="1"/>
  <c r="I125" i="8" s="1"/>
  <c r="I126" i="8" s="1"/>
  <c r="I127" i="8" s="1"/>
  <c r="I128" i="8" s="1"/>
  <c r="I129" i="8" s="1"/>
  <c r="I130" i="8" s="1"/>
  <c r="I131" i="8" s="1"/>
  <c r="I132" i="8" s="1"/>
  <c r="I133" i="8" s="1"/>
  <c r="I134" i="8" s="1"/>
  <c r="I135" i="8" s="1"/>
  <c r="I136" i="8" s="1"/>
  <c r="I137" i="8" s="1"/>
  <c r="I138" i="8" s="1"/>
  <c r="I139" i="8" s="1"/>
  <c r="I140" i="8" s="1"/>
  <c r="I141" i="8" s="1"/>
  <c r="I142" i="8" s="1"/>
  <c r="I143" i="8" s="1"/>
  <c r="I144" i="8" s="1"/>
  <c r="I145" i="8" s="1"/>
  <c r="I146" i="8" s="1"/>
  <c r="I147" i="8" s="1"/>
  <c r="I148" i="8" s="1"/>
  <c r="I149" i="8" s="1"/>
  <c r="I150" i="8" s="1"/>
  <c r="I151" i="8" s="1"/>
  <c r="I152" i="8" s="1"/>
  <c r="I153" i="8" s="1"/>
  <c r="I154" i="8" s="1"/>
  <c r="I155" i="8" s="1"/>
  <c r="I156" i="8" s="1"/>
  <c r="I157" i="8" s="1"/>
  <c r="I158" i="8" s="1"/>
  <c r="I159" i="8" s="1"/>
  <c r="I160" i="8" s="1"/>
  <c r="I161" i="8" s="1"/>
  <c r="I162" i="8" s="1"/>
  <c r="I163" i="8" s="1"/>
  <c r="I164" i="8" s="1"/>
  <c r="I165" i="8" s="1"/>
  <c r="I166" i="8" s="1"/>
  <c r="I167" i="8" s="1"/>
  <c r="I168" i="8" s="1"/>
  <c r="I169" i="8" s="1"/>
  <c r="I170" i="8" s="1"/>
  <c r="I171" i="8" s="1"/>
  <c r="I172" i="8" s="1"/>
  <c r="I173" i="8" s="1"/>
  <c r="I174" i="8" s="1"/>
  <c r="I175" i="8" s="1"/>
  <c r="I176" i="8" s="1"/>
  <c r="I177" i="8" s="1"/>
  <c r="I178" i="8" s="1"/>
  <c r="I179" i="8" s="1"/>
  <c r="I180" i="8" s="1"/>
  <c r="I181" i="8" s="1"/>
  <c r="I182" i="8" s="1"/>
  <c r="I183" i="8" s="1"/>
  <c r="I184" i="8" s="1"/>
  <c r="I185" i="8" s="1"/>
  <c r="I186" i="8" s="1"/>
  <c r="I187" i="8" s="1"/>
  <c r="I188" i="8" s="1"/>
  <c r="I189" i="8" s="1"/>
  <c r="I190" i="8" s="1"/>
  <c r="I191" i="8" s="1"/>
  <c r="I192" i="8" s="1"/>
  <c r="I193" i="8" s="1"/>
  <c r="I194" i="8" s="1"/>
  <c r="I195" i="8" s="1"/>
  <c r="I196" i="8" s="1"/>
  <c r="I197" i="8" s="1"/>
  <c r="I198" i="8" s="1"/>
  <c r="I199" i="8" s="1"/>
  <c r="I200" i="8" s="1"/>
  <c r="I201" i="8" s="1"/>
  <c r="I202" i="8" s="1"/>
  <c r="I203" i="8" s="1"/>
  <c r="I204" i="8" s="1"/>
  <c r="I205" i="8" s="1"/>
  <c r="I206" i="8" s="1"/>
  <c r="I207" i="8" s="1"/>
  <c r="I208" i="8" s="1"/>
  <c r="I209" i="8" s="1"/>
  <c r="I210" i="8" s="1"/>
  <c r="I211" i="8" s="1"/>
  <c r="I212" i="8" s="1"/>
  <c r="I213" i="8" s="1"/>
  <c r="I214" i="8" s="1"/>
  <c r="I215" i="8" s="1"/>
  <c r="I216" i="8" s="1"/>
  <c r="I217" i="8" s="1"/>
  <c r="I218" i="8" s="1"/>
  <c r="I219" i="8" s="1"/>
  <c r="I220" i="8" s="1"/>
  <c r="I221" i="8" s="1"/>
  <c r="I222" i="8" s="1"/>
  <c r="I223" i="8" s="1"/>
  <c r="I224" i="8" s="1"/>
  <c r="I225" i="8" s="1"/>
  <c r="I226" i="8" s="1"/>
  <c r="I227" i="8" s="1"/>
  <c r="I228" i="8" s="1"/>
  <c r="I229" i="8" s="1"/>
  <c r="I230" i="8" s="1"/>
  <c r="I231" i="8" s="1"/>
  <c r="I232" i="8" s="1"/>
  <c r="I233" i="8" s="1"/>
  <c r="I234" i="8" s="1"/>
  <c r="I235" i="8" s="1"/>
  <c r="I236" i="8" s="1"/>
  <c r="I237" i="8" s="1"/>
  <c r="I238" i="8" s="1"/>
  <c r="I239" i="8" s="1"/>
  <c r="I240" i="8" s="1"/>
  <c r="I241" i="8" s="1"/>
  <c r="I242" i="8" s="1"/>
  <c r="I243" i="8" s="1"/>
  <c r="I244" i="8" s="1"/>
  <c r="I245" i="8" s="1"/>
  <c r="I246" i="8" s="1"/>
  <c r="I247" i="8" s="1"/>
  <c r="I248" i="8" s="1"/>
  <c r="I249" i="8" s="1"/>
  <c r="I250" i="8" s="1"/>
  <c r="I251" i="8" s="1"/>
  <c r="I252" i="8" s="1"/>
  <c r="I253" i="8" s="1"/>
  <c r="I254" i="8" s="1"/>
  <c r="I255" i="8" s="1"/>
  <c r="I256" i="8" s="1"/>
  <c r="I257" i="8" s="1"/>
  <c r="I258" i="8" s="1"/>
  <c r="I259" i="8" s="1"/>
  <c r="I260" i="8" s="1"/>
  <c r="I261" i="8" s="1"/>
  <c r="I262" i="8" s="1"/>
  <c r="I263" i="8" s="1"/>
  <c r="I264" i="8" s="1"/>
  <c r="I265" i="8" s="1"/>
  <c r="I266" i="8" s="1"/>
  <c r="I267" i="8" s="1"/>
  <c r="I268" i="8" s="1"/>
  <c r="I269" i="8" s="1"/>
  <c r="I270" i="8" s="1"/>
  <c r="I271" i="8" s="1"/>
  <c r="I272" i="8" s="1"/>
  <c r="I273" i="8" s="1"/>
  <c r="I274" i="8" s="1"/>
  <c r="I275" i="8" s="1"/>
  <c r="I276" i="8" s="1"/>
  <c r="I277" i="8" s="1"/>
  <c r="I278" i="8" s="1"/>
  <c r="I279" i="8" s="1"/>
  <c r="I280" i="8" s="1"/>
  <c r="I281" i="8" s="1"/>
  <c r="I282" i="8" s="1"/>
  <c r="I283" i="8" s="1"/>
  <c r="I284" i="8" s="1"/>
  <c r="I285" i="8" s="1"/>
  <c r="I286" i="8" s="1"/>
  <c r="I287" i="8" s="1"/>
  <c r="I288" i="8" s="1"/>
  <c r="I289" i="8" s="1"/>
  <c r="I290" i="8" s="1"/>
  <c r="I291" i="8" s="1"/>
  <c r="I292" i="8" s="1"/>
  <c r="I293" i="8" s="1"/>
  <c r="I294" i="8" s="1"/>
  <c r="I295" i="8" s="1"/>
  <c r="I296" i="8" s="1"/>
  <c r="I297" i="8" s="1"/>
  <c r="I298" i="8" s="1"/>
  <c r="I299" i="8" s="1"/>
  <c r="I300" i="8" s="1"/>
  <c r="I301" i="8" s="1"/>
  <c r="I302" i="8" s="1"/>
  <c r="I303" i="8" s="1"/>
  <c r="I304" i="8" s="1"/>
  <c r="I305" i="8" s="1"/>
  <c r="I306" i="8" s="1"/>
  <c r="I307" i="8" s="1"/>
  <c r="I308" i="8" s="1"/>
  <c r="I309" i="8" s="1"/>
  <c r="I310" i="8" s="1"/>
  <c r="I311" i="8" s="1"/>
  <c r="I312" i="8" s="1"/>
  <c r="I313" i="8" s="1"/>
  <c r="I314" i="8" s="1"/>
  <c r="I315" i="8" s="1"/>
  <c r="I316" i="8" s="1"/>
  <c r="I317" i="8" s="1"/>
  <c r="I318" i="8" s="1"/>
  <c r="I319" i="8" s="1"/>
  <c r="I320" i="8" s="1"/>
  <c r="I321" i="8" s="1"/>
  <c r="I322" i="8" s="1"/>
  <c r="I323" i="8" s="1"/>
  <c r="I324" i="8" s="1"/>
  <c r="I325" i="8" s="1"/>
  <c r="I326" i="8" s="1"/>
  <c r="I327" i="8" s="1"/>
  <c r="I328" i="8" s="1"/>
  <c r="I329" i="8" s="1"/>
  <c r="I330" i="8" s="1"/>
  <c r="I331" i="8" s="1"/>
  <c r="I332" i="8" s="1"/>
  <c r="I333" i="8" s="1"/>
  <c r="I334" i="8" s="1"/>
  <c r="I335" i="8" s="1"/>
  <c r="I336" i="8" s="1"/>
  <c r="I337" i="8" s="1"/>
  <c r="I338" i="8" s="1"/>
  <c r="I339" i="8" s="1"/>
  <c r="I340" i="8" s="1"/>
  <c r="I341" i="8" s="1"/>
  <c r="I342" i="8" s="1"/>
  <c r="I343" i="8" s="1"/>
  <c r="I344" i="8" s="1"/>
  <c r="I345" i="8" s="1"/>
  <c r="I346" i="8" s="1"/>
  <c r="I347" i="8" s="1"/>
  <c r="I348" i="8" s="1"/>
  <c r="I349" i="8" s="1"/>
  <c r="I350" i="8" s="1"/>
  <c r="I351" i="8" s="1"/>
  <c r="I352" i="8" s="1"/>
  <c r="I353" i="8" s="1"/>
  <c r="I354" i="8" s="1"/>
  <c r="I355" i="8" s="1"/>
  <c r="I356" i="8" s="1"/>
  <c r="I357" i="8" s="1"/>
  <c r="I358" i="8" s="1"/>
  <c r="I359" i="8" s="1"/>
  <c r="I360" i="8" s="1"/>
  <c r="I361" i="8" s="1"/>
  <c r="I362" i="8" s="1"/>
  <c r="I363" i="8" s="1"/>
  <c r="I364" i="8" s="1"/>
  <c r="I365" i="8" s="1"/>
  <c r="I366" i="8" s="1"/>
  <c r="I367" i="8" s="1"/>
  <c r="I368" i="8" s="1"/>
  <c r="I369" i="8" s="1"/>
  <c r="I370" i="8" s="1"/>
  <c r="I371" i="8" s="1"/>
  <c r="I372" i="8" s="1"/>
  <c r="I373" i="8" s="1"/>
  <c r="I374" i="8" s="1"/>
  <c r="I375" i="8" s="1"/>
  <c r="I376" i="8" s="1"/>
  <c r="I377" i="8" s="1"/>
  <c r="I378" i="8" s="1"/>
  <c r="I379" i="8" s="1"/>
  <c r="I380" i="8" s="1"/>
  <c r="I381" i="8" s="1"/>
  <c r="I382" i="8" s="1"/>
  <c r="I383" i="8" s="1"/>
  <c r="I384" i="8" s="1"/>
  <c r="I385" i="8" s="1"/>
  <c r="I386" i="8" s="1"/>
  <c r="I387" i="8" s="1"/>
  <c r="I388" i="8" s="1"/>
  <c r="I389" i="8" s="1"/>
  <c r="I390" i="8" s="1"/>
  <c r="I391" i="8" s="1"/>
  <c r="I392" i="8" s="1"/>
  <c r="I393" i="8" s="1"/>
  <c r="I394" i="8" s="1"/>
  <c r="I395" i="8" s="1"/>
  <c r="I396" i="8" s="1"/>
  <c r="I397" i="8" s="1"/>
  <c r="I398" i="8" s="1"/>
  <c r="I399" i="8" s="1"/>
  <c r="I400" i="8" s="1"/>
  <c r="I401" i="8" s="1"/>
  <c r="I402" i="8" s="1"/>
  <c r="I403" i="8" s="1"/>
  <c r="I404" i="8" s="1"/>
  <c r="I405" i="8" s="1"/>
  <c r="I406" i="8" s="1"/>
  <c r="I407" i="8" s="1"/>
  <c r="I408" i="8" s="1"/>
  <c r="I409" i="8" s="1"/>
  <c r="I410" i="8" s="1"/>
  <c r="I411" i="8" s="1"/>
  <c r="I412" i="8" s="1"/>
  <c r="I413" i="8" s="1"/>
  <c r="I414" i="8" s="1"/>
  <c r="I415" i="8" s="1"/>
  <c r="I416" i="8" s="1"/>
  <c r="I417" i="8" s="1"/>
  <c r="I418" i="8" s="1"/>
  <c r="I419" i="8" s="1"/>
  <c r="I420" i="8" s="1"/>
  <c r="I421" i="8" s="1"/>
  <c r="I422" i="8" s="1"/>
  <c r="I423" i="8" s="1"/>
  <c r="I424" i="8" s="1"/>
  <c r="I425" i="8" s="1"/>
  <c r="I426" i="8" s="1"/>
  <c r="I427" i="8" s="1"/>
  <c r="I428" i="8" s="1"/>
  <c r="I429" i="8" s="1"/>
  <c r="I430" i="8" s="1"/>
  <c r="I431" i="8" s="1"/>
  <c r="I432" i="8" s="1"/>
  <c r="I433" i="8" s="1"/>
  <c r="I434" i="8" s="1"/>
  <c r="I435" i="8" s="1"/>
  <c r="I436" i="8" s="1"/>
  <c r="I437" i="8" s="1"/>
  <c r="I438" i="8" s="1"/>
  <c r="I439" i="8" s="1"/>
  <c r="I440" i="8" s="1"/>
  <c r="I441" i="8" s="1"/>
  <c r="I442" i="8" s="1"/>
  <c r="I443" i="8" s="1"/>
  <c r="I444" i="8" s="1"/>
  <c r="I445" i="8" s="1"/>
  <c r="I446" i="8" s="1"/>
  <c r="I447" i="8" s="1"/>
  <c r="I448" i="8" s="1"/>
  <c r="D22" i="6"/>
  <c r="D33" i="6" s="1"/>
  <c r="D34" i="6"/>
  <c r="D22" i="2"/>
  <c r="O18" i="18" l="1"/>
  <c r="AE23" i="18"/>
  <c r="W24" i="18"/>
  <c r="AD24" i="18" s="1"/>
  <c r="G19" i="18"/>
  <c r="J19" i="18" s="1"/>
  <c r="E23" i="19"/>
  <c r="E34" i="19"/>
  <c r="E36" i="19" s="1"/>
  <c r="AC67" i="21"/>
  <c r="AC59" i="21"/>
  <c r="AC55" i="21"/>
  <c r="AC51" i="21"/>
  <c r="AD51" i="21" s="1"/>
  <c r="AB52" i="21" s="1"/>
  <c r="AC69" i="21"/>
  <c r="AC68" i="21"/>
  <c r="AC62" i="21"/>
  <c r="AC61" i="21"/>
  <c r="AC60" i="21"/>
  <c r="AC58" i="21"/>
  <c r="AC56" i="21"/>
  <c r="AC54" i="21"/>
  <c r="B54" i="21"/>
  <c r="AC65" i="21"/>
  <c r="AC63" i="21"/>
  <c r="AC53" i="21"/>
  <c r="AC66" i="21"/>
  <c r="AC64" i="21"/>
  <c r="AC52" i="21"/>
  <c r="AC57" i="21"/>
  <c r="B38" i="21"/>
  <c r="B40" i="21" s="1"/>
  <c r="F37" i="6"/>
  <c r="E22" i="6" s="1"/>
  <c r="D23" i="6"/>
  <c r="F33" i="6" s="1"/>
  <c r="C37" i="6"/>
  <c r="I8" i="8" s="1"/>
  <c r="AS6" i="1" s="1"/>
  <c r="AR6" i="1" s="1"/>
  <c r="D35" i="6"/>
  <c r="D37" i="6"/>
  <c r="I6" i="8" s="1"/>
  <c r="AU7" i="1" s="1"/>
  <c r="F37" i="2"/>
  <c r="E22" i="2" s="1"/>
  <c r="C37" i="2"/>
  <c r="D23" i="2"/>
  <c r="G37" i="2" s="1"/>
  <c r="D33" i="2"/>
  <c r="AD52" i="21" l="1"/>
  <c r="AB53" i="21" s="1"/>
  <c r="AD53" i="21" s="1"/>
  <c r="AB54" i="21" s="1"/>
  <c r="AD54" i="21" s="1"/>
  <c r="AB55" i="21" s="1"/>
  <c r="AD55" i="21" s="1"/>
  <c r="AB56" i="21" s="1"/>
  <c r="AD56" i="21" s="1"/>
  <c r="AB57" i="21" s="1"/>
  <c r="AD57" i="21" s="1"/>
  <c r="AB58" i="21" s="1"/>
  <c r="AD58" i="21" s="1"/>
  <c r="AB59" i="21" s="1"/>
  <c r="AD59" i="21" s="1"/>
  <c r="AB60" i="21" s="1"/>
  <c r="AD60" i="21" s="1"/>
  <c r="AB61" i="21" s="1"/>
  <c r="AD61" i="21" s="1"/>
  <c r="AB62" i="21" s="1"/>
  <c r="AD62" i="21" s="1"/>
  <c r="AB63" i="21" s="1"/>
  <c r="AD63" i="21" s="1"/>
  <c r="AB64" i="21" s="1"/>
  <c r="AD64" i="21" s="1"/>
  <c r="AB65" i="21" s="1"/>
  <c r="AD65" i="21" s="1"/>
  <c r="AB66" i="21" s="1"/>
  <c r="AD66" i="21" s="1"/>
  <c r="AB67" i="21" s="1"/>
  <c r="AD67" i="21" s="1"/>
  <c r="AB68" i="21" s="1"/>
  <c r="AD68" i="21" s="1"/>
  <c r="AB69" i="21" s="1"/>
  <c r="AD69" i="21" s="1"/>
  <c r="N19" i="18"/>
  <c r="H19" i="18"/>
  <c r="I19" i="18"/>
  <c r="L19" i="18"/>
  <c r="M19" i="18" s="1"/>
  <c r="K20" i="18" s="1"/>
  <c r="AB24" i="18"/>
  <c r="AC24" i="18"/>
  <c r="AA25" i="18" s="1"/>
  <c r="P9" i="16"/>
  <c r="P10" i="16"/>
  <c r="R10" i="16" s="1"/>
  <c r="P12" i="16"/>
  <c r="R12" i="16" s="1"/>
  <c r="P11" i="16"/>
  <c r="R11" i="16" s="1"/>
  <c r="Z24" i="18"/>
  <c r="Y24" i="18" s="1"/>
  <c r="X24" i="18"/>
  <c r="E33" i="6"/>
  <c r="B8" i="8"/>
  <c r="AC6" i="1" s="1"/>
  <c r="AB6" i="1" s="1"/>
  <c r="G37" i="6"/>
  <c r="E34" i="6" s="1"/>
  <c r="E33" i="2"/>
  <c r="E37" i="6"/>
  <c r="I7" i="8" s="1"/>
  <c r="AV7" i="1" s="1"/>
  <c r="E35" i="6"/>
  <c r="D36" i="6"/>
  <c r="F33" i="2"/>
  <c r="B16" i="8"/>
  <c r="B17" i="8" s="1"/>
  <c r="B18" i="8" s="1"/>
  <c r="B19" i="8" s="1"/>
  <c r="B20" i="8" s="1"/>
  <c r="B21" i="8" s="1"/>
  <c r="B22" i="8" s="1"/>
  <c r="B23" i="8" s="1"/>
  <c r="B24" i="8" s="1"/>
  <c r="B25" i="8" s="1"/>
  <c r="B26" i="8" s="1"/>
  <c r="B27" i="8" s="1"/>
  <c r="B28" i="8" s="1"/>
  <c r="B29" i="8" s="1"/>
  <c r="B30" i="8" s="1"/>
  <c r="B31" i="8" s="1"/>
  <c r="B32" i="8" s="1"/>
  <c r="B33" i="8" s="1"/>
  <c r="B34" i="8" s="1"/>
  <c r="B35" i="8" s="1"/>
  <c r="B36" i="8" s="1"/>
  <c r="B37" i="8" s="1"/>
  <c r="B38" i="8" s="1"/>
  <c r="B39" i="8" s="1"/>
  <c r="B40" i="8" s="1"/>
  <c r="B41" i="8" s="1"/>
  <c r="B42" i="8" s="1"/>
  <c r="B43" i="8" s="1"/>
  <c r="B44" i="8" s="1"/>
  <c r="B45" i="8" s="1"/>
  <c r="B46" i="8" s="1"/>
  <c r="B47" i="8" s="1"/>
  <c r="B48" i="8" s="1"/>
  <c r="B49" i="8" s="1"/>
  <c r="B50" i="8" s="1"/>
  <c r="B51" i="8" s="1"/>
  <c r="B52" i="8" s="1"/>
  <c r="B53" i="8" s="1"/>
  <c r="B54" i="8" s="1"/>
  <c r="B55" i="8" s="1"/>
  <c r="B56" i="8" s="1"/>
  <c r="B57" i="8" s="1"/>
  <c r="B58" i="8" s="1"/>
  <c r="B59" i="8" s="1"/>
  <c r="B60" i="8" s="1"/>
  <c r="B61" i="8" s="1"/>
  <c r="B62" i="8" s="1"/>
  <c r="B63" i="8" s="1"/>
  <c r="B64" i="8" s="1"/>
  <c r="B65" i="8" s="1"/>
  <c r="B66" i="8" s="1"/>
  <c r="B67" i="8" s="1"/>
  <c r="B68" i="8" s="1"/>
  <c r="B69" i="8" s="1"/>
  <c r="B70" i="8" s="1"/>
  <c r="B71" i="8" s="1"/>
  <c r="B72" i="8" s="1"/>
  <c r="B73" i="8" s="1"/>
  <c r="B74" i="8" s="1"/>
  <c r="B75" i="8" s="1"/>
  <c r="B76" i="8" s="1"/>
  <c r="B77" i="8" s="1"/>
  <c r="B78" i="8" s="1"/>
  <c r="B79" i="8" s="1"/>
  <c r="B80" i="8" s="1"/>
  <c r="B81" i="8" s="1"/>
  <c r="B82" i="8" s="1"/>
  <c r="B83" i="8" s="1"/>
  <c r="B84" i="8" s="1"/>
  <c r="B85" i="8" s="1"/>
  <c r="B86" i="8" s="1"/>
  <c r="B87" i="8" s="1"/>
  <c r="B88" i="8" s="1"/>
  <c r="B89" i="8" s="1"/>
  <c r="B90" i="8" s="1"/>
  <c r="B91" i="8" s="1"/>
  <c r="B92" i="8" s="1"/>
  <c r="B93" i="8" s="1"/>
  <c r="B94" i="8" s="1"/>
  <c r="B95" i="8" s="1"/>
  <c r="B96" i="8" s="1"/>
  <c r="B97" i="8" s="1"/>
  <c r="B98" i="8" s="1"/>
  <c r="B99" i="8" s="1"/>
  <c r="B100" i="8" s="1"/>
  <c r="B101" i="8" s="1"/>
  <c r="B102" i="8" s="1"/>
  <c r="B103" i="8" s="1"/>
  <c r="B104" i="8" s="1"/>
  <c r="B105" i="8" s="1"/>
  <c r="B106" i="8" s="1"/>
  <c r="B107" i="8" s="1"/>
  <c r="B108" i="8" s="1"/>
  <c r="B109" i="8" s="1"/>
  <c r="B110" i="8" s="1"/>
  <c r="B111" i="8" s="1"/>
  <c r="B112" i="8" s="1"/>
  <c r="B113" i="8" s="1"/>
  <c r="B114" i="8" s="1"/>
  <c r="B115" i="8" s="1"/>
  <c r="B116" i="8" s="1"/>
  <c r="B117" i="8" s="1"/>
  <c r="B118" i="8" s="1"/>
  <c r="B119" i="8" s="1"/>
  <c r="B120" i="8" s="1"/>
  <c r="B121" i="8" s="1"/>
  <c r="B122" i="8" s="1"/>
  <c r="B123" i="8" s="1"/>
  <c r="B124" i="8" s="1"/>
  <c r="B125" i="8" s="1"/>
  <c r="B126" i="8" s="1"/>
  <c r="B127" i="8" s="1"/>
  <c r="B128" i="8" s="1"/>
  <c r="B129" i="8" s="1"/>
  <c r="B130" i="8" s="1"/>
  <c r="B131" i="8" s="1"/>
  <c r="B132" i="8" s="1"/>
  <c r="B133" i="8" s="1"/>
  <c r="B134" i="8" s="1"/>
  <c r="B135" i="8" s="1"/>
  <c r="B136" i="8" s="1"/>
  <c r="B137" i="8" s="1"/>
  <c r="B138" i="8" s="1"/>
  <c r="B139" i="8" s="1"/>
  <c r="B140" i="8" s="1"/>
  <c r="B141" i="8" s="1"/>
  <c r="B142" i="8" s="1"/>
  <c r="B143" i="8" s="1"/>
  <c r="B144" i="8" s="1"/>
  <c r="B145" i="8" s="1"/>
  <c r="B146" i="8" s="1"/>
  <c r="B147" i="8" s="1"/>
  <c r="B148" i="8" s="1"/>
  <c r="B149" i="8" s="1"/>
  <c r="B150" i="8" s="1"/>
  <c r="B151" i="8" s="1"/>
  <c r="B152" i="8" s="1"/>
  <c r="B153" i="8" s="1"/>
  <c r="B154" i="8" s="1"/>
  <c r="B155" i="8" s="1"/>
  <c r="B156" i="8" s="1"/>
  <c r="B157" i="8" s="1"/>
  <c r="B158" i="8" s="1"/>
  <c r="B159" i="8" s="1"/>
  <c r="B160" i="8" s="1"/>
  <c r="B161" i="8" s="1"/>
  <c r="B162" i="8" s="1"/>
  <c r="B163" i="8" s="1"/>
  <c r="B164" i="8" s="1"/>
  <c r="B165" i="8" s="1"/>
  <c r="B166" i="8" s="1"/>
  <c r="B167" i="8" s="1"/>
  <c r="B168" i="8" s="1"/>
  <c r="B169" i="8" s="1"/>
  <c r="B170" i="8" s="1"/>
  <c r="B171" i="8" s="1"/>
  <c r="B172" i="8" s="1"/>
  <c r="B173" i="8" s="1"/>
  <c r="B174" i="8" s="1"/>
  <c r="B175" i="8" s="1"/>
  <c r="B176" i="8" s="1"/>
  <c r="B177" i="8" s="1"/>
  <c r="B178" i="8" s="1"/>
  <c r="B179" i="8" s="1"/>
  <c r="B180" i="8" s="1"/>
  <c r="B181" i="8" s="1"/>
  <c r="B182" i="8" s="1"/>
  <c r="B183" i="8" s="1"/>
  <c r="B184" i="8" s="1"/>
  <c r="B185" i="8" s="1"/>
  <c r="B186" i="8" s="1"/>
  <c r="B187" i="8" s="1"/>
  <c r="B188" i="8" s="1"/>
  <c r="B189" i="8" s="1"/>
  <c r="B190" i="8" s="1"/>
  <c r="B191" i="8" s="1"/>
  <c r="B192" i="8" s="1"/>
  <c r="B193" i="8" s="1"/>
  <c r="B194" i="8" s="1"/>
  <c r="B195" i="8" s="1"/>
  <c r="B196" i="8" s="1"/>
  <c r="B197" i="8" s="1"/>
  <c r="B198" i="8" s="1"/>
  <c r="B199" i="8" s="1"/>
  <c r="B200" i="8" s="1"/>
  <c r="B201" i="8" s="1"/>
  <c r="B202" i="8" s="1"/>
  <c r="B203" i="8" s="1"/>
  <c r="B204" i="8" s="1"/>
  <c r="B205" i="8" s="1"/>
  <c r="B206" i="8" s="1"/>
  <c r="B207" i="8" s="1"/>
  <c r="B208" i="8" s="1"/>
  <c r="B209" i="8" s="1"/>
  <c r="B210" i="8" s="1"/>
  <c r="B211" i="8" s="1"/>
  <c r="B212" i="8" s="1"/>
  <c r="B213" i="8" s="1"/>
  <c r="B214" i="8" s="1"/>
  <c r="B215" i="8" s="1"/>
  <c r="B216" i="8" s="1"/>
  <c r="B217" i="8" s="1"/>
  <c r="B218" i="8" s="1"/>
  <c r="B219" i="8" s="1"/>
  <c r="B220" i="8" s="1"/>
  <c r="B221" i="8" s="1"/>
  <c r="B222" i="8" s="1"/>
  <c r="B223" i="8" s="1"/>
  <c r="B224" i="8" s="1"/>
  <c r="B225" i="8" s="1"/>
  <c r="B226" i="8" s="1"/>
  <c r="B227" i="8" s="1"/>
  <c r="B228" i="8" s="1"/>
  <c r="B229" i="8" s="1"/>
  <c r="B230" i="8" s="1"/>
  <c r="B231" i="8" s="1"/>
  <c r="B232" i="8" s="1"/>
  <c r="B233" i="8" s="1"/>
  <c r="B234" i="8" s="1"/>
  <c r="B235" i="8" s="1"/>
  <c r="B236" i="8" s="1"/>
  <c r="B237" i="8" s="1"/>
  <c r="B238" i="8" s="1"/>
  <c r="B239" i="8" s="1"/>
  <c r="B240" i="8" s="1"/>
  <c r="B241" i="8" s="1"/>
  <c r="B242" i="8" s="1"/>
  <c r="B243" i="8" s="1"/>
  <c r="B244" i="8" s="1"/>
  <c r="B245" i="8" s="1"/>
  <c r="B246" i="8" s="1"/>
  <c r="B247" i="8" s="1"/>
  <c r="B248" i="8" s="1"/>
  <c r="B249" i="8" s="1"/>
  <c r="B250" i="8" s="1"/>
  <c r="B251" i="8" s="1"/>
  <c r="B252" i="8" s="1"/>
  <c r="B253" i="8" s="1"/>
  <c r="B254" i="8" s="1"/>
  <c r="B255" i="8" s="1"/>
  <c r="B256" i="8" s="1"/>
  <c r="B257" i="8" s="1"/>
  <c r="B258" i="8" s="1"/>
  <c r="B259" i="8" s="1"/>
  <c r="B260" i="8" s="1"/>
  <c r="B261" i="8" s="1"/>
  <c r="B262" i="8" s="1"/>
  <c r="B263" i="8" s="1"/>
  <c r="B264" i="8" s="1"/>
  <c r="B265" i="8" s="1"/>
  <c r="B266" i="8" s="1"/>
  <c r="B267" i="8" s="1"/>
  <c r="B268" i="8" s="1"/>
  <c r="B269" i="8" s="1"/>
  <c r="B270" i="8" s="1"/>
  <c r="B271" i="8" s="1"/>
  <c r="B272" i="8" s="1"/>
  <c r="B273" i="8" s="1"/>
  <c r="B274" i="8" s="1"/>
  <c r="B275" i="8" s="1"/>
  <c r="B276" i="8" s="1"/>
  <c r="B277" i="8" s="1"/>
  <c r="B278" i="8" s="1"/>
  <c r="B279" i="8" s="1"/>
  <c r="B280" i="8" s="1"/>
  <c r="B281" i="8" s="1"/>
  <c r="B282" i="8" s="1"/>
  <c r="B283" i="8" s="1"/>
  <c r="B284" i="8" s="1"/>
  <c r="B285" i="8" s="1"/>
  <c r="B286" i="8" s="1"/>
  <c r="B287" i="8" s="1"/>
  <c r="B288" i="8" s="1"/>
  <c r="B289" i="8" s="1"/>
  <c r="B290" i="8" s="1"/>
  <c r="B291" i="8" s="1"/>
  <c r="B292" i="8" s="1"/>
  <c r="B293" i="8" s="1"/>
  <c r="B294" i="8" s="1"/>
  <c r="B295" i="8" s="1"/>
  <c r="B296" i="8" s="1"/>
  <c r="B297" i="8" s="1"/>
  <c r="B298" i="8" s="1"/>
  <c r="B299" i="8" s="1"/>
  <c r="B300" i="8" s="1"/>
  <c r="B301" i="8" s="1"/>
  <c r="B302" i="8" s="1"/>
  <c r="B303" i="8" s="1"/>
  <c r="B304" i="8" s="1"/>
  <c r="B305" i="8" s="1"/>
  <c r="B306" i="8" s="1"/>
  <c r="B307" i="8" s="1"/>
  <c r="B308" i="8" s="1"/>
  <c r="B309" i="8" s="1"/>
  <c r="B310" i="8" s="1"/>
  <c r="B311" i="8" s="1"/>
  <c r="B312" i="8" s="1"/>
  <c r="B313" i="8" s="1"/>
  <c r="B314" i="8" s="1"/>
  <c r="B315" i="8" s="1"/>
  <c r="B316" i="8" s="1"/>
  <c r="B317" i="8" s="1"/>
  <c r="B318" i="8" s="1"/>
  <c r="B319" i="8" s="1"/>
  <c r="B320" i="8" s="1"/>
  <c r="B321" i="8" s="1"/>
  <c r="B322" i="8" s="1"/>
  <c r="B323" i="8" s="1"/>
  <c r="B324" i="8" s="1"/>
  <c r="B325" i="8" s="1"/>
  <c r="B326" i="8" s="1"/>
  <c r="B327" i="8" s="1"/>
  <c r="B328" i="8" s="1"/>
  <c r="B329" i="8" s="1"/>
  <c r="B330" i="8" s="1"/>
  <c r="B331" i="8" s="1"/>
  <c r="B332" i="8" s="1"/>
  <c r="B333" i="8" s="1"/>
  <c r="B334" i="8" s="1"/>
  <c r="B335" i="8" s="1"/>
  <c r="B336" i="8" s="1"/>
  <c r="B337" i="8" s="1"/>
  <c r="B338" i="8" s="1"/>
  <c r="B339" i="8" s="1"/>
  <c r="B340" i="8" s="1"/>
  <c r="B341" i="8" s="1"/>
  <c r="B342" i="8" s="1"/>
  <c r="B343" i="8" s="1"/>
  <c r="B344" i="8" s="1"/>
  <c r="B345" i="8" s="1"/>
  <c r="B346" i="8" s="1"/>
  <c r="B347" i="8" s="1"/>
  <c r="B348" i="8" s="1"/>
  <c r="B349" i="8" s="1"/>
  <c r="B350" i="8" s="1"/>
  <c r="B351" i="8" s="1"/>
  <c r="B352" i="8" s="1"/>
  <c r="B353" i="8" s="1"/>
  <c r="B354" i="8" s="1"/>
  <c r="B355" i="8" s="1"/>
  <c r="B356" i="8" s="1"/>
  <c r="B357" i="8" s="1"/>
  <c r="B358" i="8" s="1"/>
  <c r="B359" i="8" s="1"/>
  <c r="B360" i="8" s="1"/>
  <c r="B361" i="8" s="1"/>
  <c r="B362" i="8" s="1"/>
  <c r="B363" i="8" s="1"/>
  <c r="B364" i="8" s="1"/>
  <c r="B365" i="8" s="1"/>
  <c r="B366" i="8" s="1"/>
  <c r="B367" i="8" s="1"/>
  <c r="B368" i="8" s="1"/>
  <c r="B369" i="8" s="1"/>
  <c r="B370" i="8" s="1"/>
  <c r="B371" i="8" s="1"/>
  <c r="B372" i="8" s="1"/>
  <c r="B373" i="8" s="1"/>
  <c r="B374" i="8" s="1"/>
  <c r="B375" i="8" s="1"/>
  <c r="B376" i="8" s="1"/>
  <c r="B377" i="8" s="1"/>
  <c r="B378" i="8" s="1"/>
  <c r="B379" i="8" s="1"/>
  <c r="B380" i="8" s="1"/>
  <c r="B381" i="8" s="1"/>
  <c r="B382" i="8" s="1"/>
  <c r="B383" i="8" s="1"/>
  <c r="B384" i="8" s="1"/>
  <c r="B385" i="8" s="1"/>
  <c r="B386" i="8" s="1"/>
  <c r="B387" i="8" s="1"/>
  <c r="B388" i="8" s="1"/>
  <c r="B389" i="8" s="1"/>
  <c r="B390" i="8" s="1"/>
  <c r="B391" i="8" s="1"/>
  <c r="B392" i="8" s="1"/>
  <c r="B393" i="8" s="1"/>
  <c r="B394" i="8" s="1"/>
  <c r="B395" i="8" s="1"/>
  <c r="B396" i="8" s="1"/>
  <c r="B397" i="8" s="1"/>
  <c r="B398" i="8" s="1"/>
  <c r="B399" i="8" s="1"/>
  <c r="B400" i="8" s="1"/>
  <c r="B401" i="8" s="1"/>
  <c r="B402" i="8" s="1"/>
  <c r="B403" i="8" s="1"/>
  <c r="B404" i="8" s="1"/>
  <c r="B405" i="8" s="1"/>
  <c r="B406" i="8" s="1"/>
  <c r="B407" i="8" s="1"/>
  <c r="B408" i="8" s="1"/>
  <c r="B409" i="8" s="1"/>
  <c r="B410" i="8" s="1"/>
  <c r="B411" i="8" s="1"/>
  <c r="B412" i="8" s="1"/>
  <c r="B413" i="8" s="1"/>
  <c r="B414" i="8" s="1"/>
  <c r="B415" i="8" s="1"/>
  <c r="B416" i="8" s="1"/>
  <c r="B417" i="8" s="1"/>
  <c r="B418" i="8" s="1"/>
  <c r="B419" i="8" s="1"/>
  <c r="B420" i="8" s="1"/>
  <c r="B421" i="8" s="1"/>
  <c r="B422" i="8" s="1"/>
  <c r="B423" i="8" s="1"/>
  <c r="B424" i="8" s="1"/>
  <c r="B425" i="8" s="1"/>
  <c r="B426" i="8" s="1"/>
  <c r="B427" i="8" s="1"/>
  <c r="B428" i="8" s="1"/>
  <c r="B429" i="8" s="1"/>
  <c r="B430" i="8" s="1"/>
  <c r="B431" i="8" s="1"/>
  <c r="B432" i="8" s="1"/>
  <c r="B433" i="8" s="1"/>
  <c r="B434" i="8" s="1"/>
  <c r="B435" i="8" s="1"/>
  <c r="B436" i="8" s="1"/>
  <c r="B437" i="8" s="1"/>
  <c r="B438" i="8" s="1"/>
  <c r="B439" i="8" s="1"/>
  <c r="B440" i="8" s="1"/>
  <c r="B441" i="8" s="1"/>
  <c r="B442" i="8" s="1"/>
  <c r="B443" i="8" s="1"/>
  <c r="B444" i="8" s="1"/>
  <c r="B445" i="8" s="1"/>
  <c r="B446" i="8" s="1"/>
  <c r="B447" i="8" s="1"/>
  <c r="B448" i="8" s="1"/>
  <c r="D34" i="2"/>
  <c r="D37" i="2" s="1"/>
  <c r="E23" i="2"/>
  <c r="E34" i="2"/>
  <c r="E23" i="6" l="1"/>
  <c r="AT8" i="1"/>
  <c r="AX7" i="1"/>
  <c r="B41" i="21"/>
  <c r="B50" i="21" s="1"/>
  <c r="G20" i="18"/>
  <c r="N20" i="18" s="1"/>
  <c r="W25" i="18"/>
  <c r="Z25" i="18" s="1"/>
  <c r="Y25" i="18" s="1"/>
  <c r="AE24" i="18"/>
  <c r="O19" i="18"/>
  <c r="B6" i="8"/>
  <c r="AE7" i="1" s="1"/>
  <c r="E36" i="6"/>
  <c r="AP8" i="1" l="1"/>
  <c r="B49" i="21"/>
  <c r="B51" i="21" s="1"/>
  <c r="B52" i="21" s="1"/>
  <c r="B55" i="21" s="1"/>
  <c r="B57" i="21" s="1"/>
  <c r="B58" i="21" s="1"/>
  <c r="B59" i="21" s="1"/>
  <c r="B46" i="21"/>
  <c r="B47" i="21" s="1"/>
  <c r="L20" i="18"/>
  <c r="AC25" i="18"/>
  <c r="AA26" i="18" s="1"/>
  <c r="AB25" i="18"/>
  <c r="AD25" i="18"/>
  <c r="H20" i="18"/>
  <c r="X25" i="18"/>
  <c r="J20" i="18"/>
  <c r="J16" i="1"/>
  <c r="AV8" i="1" l="1"/>
  <c r="AU8" i="1"/>
  <c r="AS8" i="1"/>
  <c r="AR8" i="1" s="1"/>
  <c r="AW8" i="1"/>
  <c r="AQ8" i="1"/>
  <c r="AE25" i="18"/>
  <c r="I20" i="18"/>
  <c r="W26" i="18"/>
  <c r="AD26" i="18" s="1"/>
  <c r="M20" i="18"/>
  <c r="K21" i="18" s="1"/>
  <c r="H4" i="12"/>
  <c r="D35" i="2"/>
  <c r="AX8" i="1" l="1"/>
  <c r="AT9" i="1"/>
  <c r="O20" i="18"/>
  <c r="X26" i="18"/>
  <c r="AB26" i="18"/>
  <c r="AC26" i="18"/>
  <c r="AA27" i="18" s="1"/>
  <c r="G21" i="18"/>
  <c r="H21" i="18" s="1"/>
  <c r="Z26" i="18"/>
  <c r="Y26" i="18" s="1"/>
  <c r="E37" i="2"/>
  <c r="E35" i="2"/>
  <c r="E36" i="2" s="1"/>
  <c r="D36" i="2"/>
  <c r="AP9" i="1" l="1"/>
  <c r="AQ9" i="1" s="1"/>
  <c r="L21" i="18"/>
  <c r="J21" i="18"/>
  <c r="AE26" i="18"/>
  <c r="W27" i="18"/>
  <c r="X27" i="18" s="1"/>
  <c r="N21" i="18"/>
  <c r="B7" i="8"/>
  <c r="AF7" i="1" s="1"/>
  <c r="H5" i="12"/>
  <c r="AS9" i="1" l="1"/>
  <c r="AR9" i="1" s="1"/>
  <c r="AW9" i="1"/>
  <c r="AD8" i="1"/>
  <c r="B4" i="12" s="1"/>
  <c r="AH7" i="1"/>
  <c r="J8" i="1" s="1"/>
  <c r="AU9" i="1"/>
  <c r="AV9" i="1"/>
  <c r="Z27" i="18"/>
  <c r="Y27" i="18" s="1"/>
  <c r="I21" i="18"/>
  <c r="AC27" i="18"/>
  <c r="AA28" i="18" s="1"/>
  <c r="AB27" i="18"/>
  <c r="AD27" i="18"/>
  <c r="M21" i="18"/>
  <c r="K22" i="18" s="1"/>
  <c r="AT10" i="1" l="1"/>
  <c r="AX9" i="1"/>
  <c r="Z8" i="1"/>
  <c r="AA8" i="1" s="1"/>
  <c r="W28" i="18"/>
  <c r="AD28" i="18" s="1"/>
  <c r="Z28" i="18"/>
  <c r="Y28" i="18" s="1"/>
  <c r="G22" i="18"/>
  <c r="N22" i="18" s="1"/>
  <c r="O21" i="18"/>
  <c r="AE27" i="18"/>
  <c r="AC8" i="1" l="1"/>
  <c r="AB8" i="1" s="1"/>
  <c r="AP10" i="1"/>
  <c r="AS10" i="1" s="1"/>
  <c r="AR10" i="1" s="1"/>
  <c r="AE8" i="1"/>
  <c r="AG8" i="1"/>
  <c r="H22" i="18"/>
  <c r="AB28" i="18"/>
  <c r="AC28" i="18"/>
  <c r="AA29" i="18" s="1"/>
  <c r="L22" i="18"/>
  <c r="M22" i="18" s="1"/>
  <c r="K23" i="18" s="1"/>
  <c r="J22" i="18"/>
  <c r="X28" i="18"/>
  <c r="AQ10" i="1" l="1"/>
  <c r="AV10" i="1"/>
  <c r="AU10" i="1"/>
  <c r="AF8" i="1"/>
  <c r="AH8" i="1" s="1"/>
  <c r="AW10" i="1"/>
  <c r="I22" i="18"/>
  <c r="AE28" i="18"/>
  <c r="G23" i="18"/>
  <c r="H23" i="18" s="1"/>
  <c r="Z29" i="18"/>
  <c r="Y29" i="18" s="1"/>
  <c r="W29" i="18"/>
  <c r="X29" i="18" s="1"/>
  <c r="O22" i="18"/>
  <c r="H6" i="12"/>
  <c r="AX10" i="1" l="1"/>
  <c r="AT11" i="1"/>
  <c r="AD9" i="1"/>
  <c r="B5" i="12" s="1"/>
  <c r="L23" i="18"/>
  <c r="J23" i="18"/>
  <c r="I23" i="18" s="1"/>
  <c r="AC29" i="18"/>
  <c r="AA30" i="18" s="1"/>
  <c r="AB29" i="18"/>
  <c r="AD29" i="18"/>
  <c r="N23" i="18"/>
  <c r="AP11" i="1" l="1"/>
  <c r="AW11" i="1" s="1"/>
  <c r="Z9" i="1"/>
  <c r="AG9" i="1" s="1"/>
  <c r="W30" i="18"/>
  <c r="Z30" i="18"/>
  <c r="Y30" i="18" s="1"/>
  <c r="AD30" i="18"/>
  <c r="AE29" i="18"/>
  <c r="M23" i="18"/>
  <c r="K24" i="18" s="1"/>
  <c r="AS11" i="1" l="1"/>
  <c r="AR11" i="1" s="1"/>
  <c r="AQ11" i="1"/>
  <c r="AC9" i="1"/>
  <c r="AB9" i="1" s="1"/>
  <c r="AE9" i="1"/>
  <c r="AF9" i="1" s="1"/>
  <c r="AA9" i="1"/>
  <c r="AV11" i="1"/>
  <c r="AU11" i="1"/>
  <c r="G24" i="18"/>
  <c r="H24" i="18" s="1"/>
  <c r="O23" i="18"/>
  <c r="AB30" i="18"/>
  <c r="AC30" i="18"/>
  <c r="AA31" i="18" s="1"/>
  <c r="X30" i="18"/>
  <c r="H7" i="12"/>
  <c r="AX11" i="1" l="1"/>
  <c r="AD10" i="1"/>
  <c r="AT12" i="1"/>
  <c r="AH9" i="1"/>
  <c r="N24" i="18"/>
  <c r="W31" i="18"/>
  <c r="Z31" i="18" s="1"/>
  <c r="Y31" i="18" s="1"/>
  <c r="AE30" i="18"/>
  <c r="L24" i="18"/>
  <c r="J24" i="18"/>
  <c r="I24" i="18" s="1"/>
  <c r="Z10" i="1" l="1"/>
  <c r="AA10" i="1" s="1"/>
  <c r="B6" i="12"/>
  <c r="AP12" i="1"/>
  <c r="X31" i="18"/>
  <c r="M24" i="18"/>
  <c r="K25" i="18" s="1"/>
  <c r="AC31" i="18"/>
  <c r="AA32" i="18" s="1"/>
  <c r="AB31" i="18"/>
  <c r="AD31" i="18"/>
  <c r="AG10" i="1" l="1"/>
  <c r="AV12" i="1"/>
  <c r="AT13" i="1" s="1"/>
  <c r="AU12" i="1"/>
  <c r="AW12" i="1"/>
  <c r="AS12" i="1"/>
  <c r="AR12" i="1" s="1"/>
  <c r="AQ12" i="1"/>
  <c r="AE10" i="1"/>
  <c r="AC10" i="1"/>
  <c r="AB10" i="1" s="1"/>
  <c r="AE31" i="18"/>
  <c r="G25" i="18"/>
  <c r="N25" i="18" s="1"/>
  <c r="W32" i="18"/>
  <c r="AD32" i="18" s="1"/>
  <c r="O24" i="18"/>
  <c r="AX12" i="1" l="1"/>
  <c r="AF10" i="1"/>
  <c r="AH10" i="1" s="1"/>
  <c r="AP13" i="1"/>
  <c r="AQ13" i="1" s="1"/>
  <c r="H25" i="18"/>
  <c r="J25" i="18"/>
  <c r="I25" i="18" s="1"/>
  <c r="AB32" i="18"/>
  <c r="AC32" i="18"/>
  <c r="AA33" i="18" s="1"/>
  <c r="X32" i="18"/>
  <c r="Z32" i="18"/>
  <c r="Y32" i="18" s="1"/>
  <c r="L25" i="18"/>
  <c r="H8" i="12"/>
  <c r="AW13" i="1" l="1"/>
  <c r="AS13" i="1"/>
  <c r="AR13" i="1" s="1"/>
  <c r="AD11" i="1"/>
  <c r="AV13" i="1"/>
  <c r="AT14" i="1" s="1"/>
  <c r="AU13" i="1"/>
  <c r="W33" i="18"/>
  <c r="Z33" i="18" s="1"/>
  <c r="Y33" i="18" s="1"/>
  <c r="M25" i="18"/>
  <c r="K26" i="18" s="1"/>
  <c r="AE32" i="18"/>
  <c r="AX13" i="1" l="1"/>
  <c r="Z11" i="1"/>
  <c r="AA11" i="1" s="1"/>
  <c r="B7" i="12"/>
  <c r="AP14" i="1"/>
  <c r="AW14" i="1" s="1"/>
  <c r="G26" i="18"/>
  <c r="AC33" i="18"/>
  <c r="AA34" i="18" s="1"/>
  <c r="AB33" i="18"/>
  <c r="AD33" i="18"/>
  <c r="X33" i="18"/>
  <c r="O25" i="18"/>
  <c r="H9" i="12"/>
  <c r="AG11" i="1" l="1"/>
  <c r="AC11" i="1"/>
  <c r="AB11" i="1" s="1"/>
  <c r="AV14" i="1"/>
  <c r="AT15" i="1" s="1"/>
  <c r="AU14" i="1"/>
  <c r="AQ14" i="1"/>
  <c r="AE11" i="1"/>
  <c r="AS14" i="1"/>
  <c r="AR14" i="1" s="1"/>
  <c r="L26" i="18"/>
  <c r="AE33" i="18"/>
  <c r="W34" i="18"/>
  <c r="Z34" i="18" s="1"/>
  <c r="Y34" i="18" s="1"/>
  <c r="H26" i="18"/>
  <c r="J26" i="18"/>
  <c r="I26" i="18" s="1"/>
  <c r="N26" i="18"/>
  <c r="AX14" i="1" l="1"/>
  <c r="AF11" i="1"/>
  <c r="AD12" i="1" s="1"/>
  <c r="AP15" i="1"/>
  <c r="AW15" i="1" s="1"/>
  <c r="X34" i="18"/>
  <c r="AD34" i="18"/>
  <c r="AB34" i="18"/>
  <c r="AC34" i="18"/>
  <c r="AA35" i="18" s="1"/>
  <c r="M26" i="18"/>
  <c r="K27" i="18" s="1"/>
  <c r="AV15" i="1" l="1"/>
  <c r="AT16" i="1" s="1"/>
  <c r="AU15" i="1"/>
  <c r="Z12" i="1"/>
  <c r="B8" i="12"/>
  <c r="AQ15" i="1"/>
  <c r="AS15" i="1"/>
  <c r="AR15" i="1" s="1"/>
  <c r="AH11" i="1"/>
  <c r="O26" i="18"/>
  <c r="G27" i="18"/>
  <c r="H27" i="18" s="1"/>
  <c r="W35" i="18"/>
  <c r="Z35" i="18" s="1"/>
  <c r="Y35" i="18" s="1"/>
  <c r="AE34" i="18"/>
  <c r="H10" i="12"/>
  <c r="AX15" i="1" l="1"/>
  <c r="AE12" i="1"/>
  <c r="AF12" i="1" s="1"/>
  <c r="AD13" i="1" s="1"/>
  <c r="AP16" i="1"/>
  <c r="AW16" i="1" s="1"/>
  <c r="AG12" i="1"/>
  <c r="AA12" i="1"/>
  <c r="AC12" i="1"/>
  <c r="AB12" i="1" s="1"/>
  <c r="N27" i="18"/>
  <c r="J27" i="18"/>
  <c r="I27" i="18" s="1"/>
  <c r="AC35" i="18"/>
  <c r="AA36" i="18" s="1"/>
  <c r="AB35" i="18"/>
  <c r="AD35" i="18"/>
  <c r="X35" i="18"/>
  <c r="L27" i="18"/>
  <c r="M27" i="18" s="1"/>
  <c r="K28" i="18" s="1"/>
  <c r="AS16" i="1" l="1"/>
  <c r="AR16" i="1" s="1"/>
  <c r="AQ16" i="1"/>
  <c r="Z13" i="1"/>
  <c r="AG13" i="1" s="1"/>
  <c r="B9" i="12"/>
  <c r="AH12" i="1"/>
  <c r="AV16" i="1"/>
  <c r="AT17" i="1" s="1"/>
  <c r="AU16" i="1"/>
  <c r="O27" i="18"/>
  <c r="AE35" i="18"/>
  <c r="G28" i="18"/>
  <c r="N28" i="18" s="1"/>
  <c r="W36" i="18"/>
  <c r="X36" i="18" s="1"/>
  <c r="H11" i="12"/>
  <c r="AP17" i="1" l="1"/>
  <c r="AS17" i="1" s="1"/>
  <c r="AR17" i="1" s="1"/>
  <c r="AE13" i="1"/>
  <c r="AF13" i="1" s="1"/>
  <c r="AD14" i="1" s="1"/>
  <c r="AX16" i="1"/>
  <c r="AC13" i="1"/>
  <c r="AB13" i="1" s="1"/>
  <c r="AA13" i="1"/>
  <c r="AD36" i="18"/>
  <c r="Z36" i="18"/>
  <c r="Y36" i="18" s="1"/>
  <c r="H28" i="18"/>
  <c r="J28" i="18"/>
  <c r="I28" i="18" s="1"/>
  <c r="AB36" i="18"/>
  <c r="AC36" i="18"/>
  <c r="AA37" i="18" s="1"/>
  <c r="L28" i="18"/>
  <c r="AW17" i="1" l="1"/>
  <c r="Z14" i="1"/>
  <c r="AG14" i="1" s="1"/>
  <c r="B10" i="12"/>
  <c r="AH13" i="1"/>
  <c r="AU17" i="1"/>
  <c r="AV17" i="1"/>
  <c r="AT18" i="1" s="1"/>
  <c r="AQ17" i="1"/>
  <c r="W37" i="18"/>
  <c r="Z37" i="18" s="1"/>
  <c r="Y37" i="18" s="1"/>
  <c r="M28" i="18"/>
  <c r="K29" i="18" s="1"/>
  <c r="AE36" i="18"/>
  <c r="H12" i="12"/>
  <c r="AA14" i="1" l="1"/>
  <c r="AC14" i="1"/>
  <c r="AB14" i="1" s="1"/>
  <c r="AP18" i="1"/>
  <c r="AQ18" i="1" s="1"/>
  <c r="AX17" i="1"/>
  <c r="AE14" i="1"/>
  <c r="AF14" i="1" s="1"/>
  <c r="AD15" i="1" s="1"/>
  <c r="AC37" i="18"/>
  <c r="AA38" i="18" s="1"/>
  <c r="AB37" i="18"/>
  <c r="AD37" i="18"/>
  <c r="G29" i="18"/>
  <c r="H29" i="18" s="1"/>
  <c r="X37" i="18"/>
  <c r="O28" i="18"/>
  <c r="Z15" i="1" l="1"/>
  <c r="AA15" i="1" s="1"/>
  <c r="B11" i="12"/>
  <c r="AV18" i="1"/>
  <c r="AT19" i="1" s="1"/>
  <c r="AU18" i="1"/>
  <c r="AH14" i="1"/>
  <c r="AS18" i="1"/>
  <c r="AR18" i="1" s="1"/>
  <c r="AW18" i="1"/>
  <c r="L29" i="18"/>
  <c r="J29" i="18"/>
  <c r="I29" i="18" s="1"/>
  <c r="AE37" i="18"/>
  <c r="N29" i="18"/>
  <c r="W38" i="18"/>
  <c r="Z38" i="18" s="1"/>
  <c r="Y38" i="18" s="1"/>
  <c r="H13" i="12"/>
  <c r="AC15" i="1" l="1"/>
  <c r="AB15" i="1" s="1"/>
  <c r="AG15" i="1"/>
  <c r="AX18" i="1"/>
  <c r="AP19" i="1"/>
  <c r="AW19" i="1" s="1"/>
  <c r="AE15" i="1"/>
  <c r="AF15" i="1" s="1"/>
  <c r="AD16" i="1" s="1"/>
  <c r="AB38" i="18"/>
  <c r="AC38" i="18"/>
  <c r="AA39" i="18" s="1"/>
  <c r="X38" i="18"/>
  <c r="AD38" i="18"/>
  <c r="M29" i="18"/>
  <c r="K30" i="18" s="1"/>
  <c r="AQ19" i="1" l="1"/>
  <c r="AS19" i="1"/>
  <c r="AR19" i="1" s="1"/>
  <c r="Z16" i="1"/>
  <c r="AC16" i="1" s="1"/>
  <c r="AB16" i="1" s="1"/>
  <c r="B12" i="12"/>
  <c r="AH15" i="1"/>
  <c r="AV19" i="1"/>
  <c r="AT20" i="1" s="1"/>
  <c r="AU19" i="1"/>
  <c r="O29" i="18"/>
  <c r="G30" i="18"/>
  <c r="W39" i="18"/>
  <c r="Z39" i="18" s="1"/>
  <c r="Y39" i="18" s="1"/>
  <c r="AE38" i="18"/>
  <c r="AA16" i="1" l="1"/>
  <c r="AX19" i="1"/>
  <c r="AG16" i="1"/>
  <c r="AP20" i="1"/>
  <c r="AQ20" i="1" s="1"/>
  <c r="AE16" i="1"/>
  <c r="L30" i="18"/>
  <c r="AC39" i="18"/>
  <c r="AA40" i="18" s="1"/>
  <c r="AB39" i="18"/>
  <c r="AD39" i="18"/>
  <c r="H30" i="18"/>
  <c r="J30" i="18"/>
  <c r="I30" i="18" s="1"/>
  <c r="X39" i="18"/>
  <c r="N30" i="18"/>
  <c r="H14" i="12"/>
  <c r="AV20" i="1" l="1"/>
  <c r="AT21" i="1" s="1"/>
  <c r="AU20" i="1"/>
  <c r="AF16" i="1"/>
  <c r="AD17" i="1" s="1"/>
  <c r="AS20" i="1"/>
  <c r="AR20" i="1" s="1"/>
  <c r="AW20" i="1"/>
  <c r="AE39" i="18"/>
  <c r="W40" i="18"/>
  <c r="AD40" i="18" s="1"/>
  <c r="M30" i="18"/>
  <c r="K31" i="18" s="1"/>
  <c r="AX20" i="1" l="1"/>
  <c r="Z17" i="1"/>
  <c r="AA17" i="1" s="1"/>
  <c r="B13" i="12"/>
  <c r="AP21" i="1"/>
  <c r="AW21" i="1" s="1"/>
  <c r="AH16" i="1"/>
  <c r="G31" i="18"/>
  <c r="N31" i="18" s="1"/>
  <c r="O30" i="18"/>
  <c r="AB40" i="18"/>
  <c r="AC40" i="18"/>
  <c r="AA41" i="18" s="1"/>
  <c r="Z40" i="18"/>
  <c r="Y40" i="18" s="1"/>
  <c r="X40" i="18"/>
  <c r="D19" i="1"/>
  <c r="D21" i="1" s="1"/>
  <c r="D30" i="1" s="1"/>
  <c r="AG17" i="1" l="1"/>
  <c r="AQ21" i="1"/>
  <c r="AS21" i="1"/>
  <c r="AR21" i="1" s="1"/>
  <c r="AC17" i="1"/>
  <c r="AB17" i="1" s="1"/>
  <c r="AU21" i="1"/>
  <c r="AV21" i="1"/>
  <c r="AT22" i="1" s="1"/>
  <c r="AE17" i="1"/>
  <c r="H31" i="18"/>
  <c r="J31" i="18"/>
  <c r="I31" i="18" s="1"/>
  <c r="AE40" i="18"/>
  <c r="W41" i="18"/>
  <c r="Z41" i="18" s="1"/>
  <c r="Y41" i="18" s="1"/>
  <c r="L31" i="18"/>
  <c r="D47" i="1"/>
  <c r="D31" i="1"/>
  <c r="H15" i="12"/>
  <c r="D33" i="1" l="1"/>
  <c r="K77" i="1" s="1"/>
  <c r="M77" i="1" s="1"/>
  <c r="K81" i="1"/>
  <c r="K84" i="1"/>
  <c r="K83" i="1"/>
  <c r="K82" i="1"/>
  <c r="AP22" i="1"/>
  <c r="AQ22" i="1" s="1"/>
  <c r="AX21" i="1"/>
  <c r="AF17" i="1"/>
  <c r="AD18" i="1" s="1"/>
  <c r="X41" i="18"/>
  <c r="M31" i="18"/>
  <c r="K32" i="18" s="1"/>
  <c r="AC41" i="18"/>
  <c r="AA42" i="18" s="1"/>
  <c r="AB41" i="18"/>
  <c r="AD41" i="18"/>
  <c r="K74" i="1" l="1"/>
  <c r="K75" i="1"/>
  <c r="M75" i="1" s="1"/>
  <c r="K76" i="1"/>
  <c r="M76" i="1" s="1"/>
  <c r="AS22" i="1"/>
  <c r="AR22" i="1" s="1"/>
  <c r="AW22" i="1"/>
  <c r="AH17" i="1"/>
  <c r="Z18" i="1"/>
  <c r="AG18" i="1" s="1"/>
  <c r="B14" i="12"/>
  <c r="AV22" i="1"/>
  <c r="AT23" i="1" s="1"/>
  <c r="AU22" i="1"/>
  <c r="O31" i="18"/>
  <c r="AE41" i="18"/>
  <c r="W42" i="18"/>
  <c r="Z42" i="18"/>
  <c r="Y42" i="18" s="1"/>
  <c r="G32" i="18"/>
  <c r="H32" i="18" s="1"/>
  <c r="D34" i="1" l="1"/>
  <c r="AX22" i="1"/>
  <c r="AE18" i="1"/>
  <c r="AC18" i="1"/>
  <c r="AB18" i="1" s="1"/>
  <c r="AP23" i="1"/>
  <c r="AW23" i="1" s="1"/>
  <c r="AA18" i="1"/>
  <c r="N32" i="18"/>
  <c r="J32" i="18"/>
  <c r="I32" i="18" s="1"/>
  <c r="AB42" i="18"/>
  <c r="AC42" i="18"/>
  <c r="AA43" i="18" s="1"/>
  <c r="X42" i="18"/>
  <c r="L32" i="18"/>
  <c r="M32" i="18" s="1"/>
  <c r="K33" i="18" s="1"/>
  <c r="AD42" i="18"/>
  <c r="H16" i="12"/>
  <c r="AS23" i="1" l="1"/>
  <c r="AR23" i="1" s="1"/>
  <c r="B19" i="1"/>
  <c r="B21" i="1" s="1"/>
  <c r="B30" i="1" s="1"/>
  <c r="J29" i="1" s="1"/>
  <c r="J49" i="1" s="1"/>
  <c r="AF18" i="1"/>
  <c r="AD19" i="1" s="1"/>
  <c r="AU23" i="1"/>
  <c r="AV23" i="1"/>
  <c r="AT24" i="1" s="1"/>
  <c r="AQ23" i="1"/>
  <c r="Z43" i="18"/>
  <c r="Y43" i="18" s="1"/>
  <c r="W43" i="18"/>
  <c r="X43" i="18" s="1"/>
  <c r="G33" i="18"/>
  <c r="N33" i="18" s="1"/>
  <c r="O32" i="18"/>
  <c r="AE42" i="18"/>
  <c r="AX23" i="1" l="1"/>
  <c r="Z19" i="1"/>
  <c r="AG19" i="1" s="1"/>
  <c r="B15" i="12"/>
  <c r="C7" i="22"/>
  <c r="B31" i="1"/>
  <c r="B47" i="1"/>
  <c r="AP24" i="1"/>
  <c r="AH18" i="1"/>
  <c r="J33" i="18"/>
  <c r="I33" i="18" s="1"/>
  <c r="H33" i="18"/>
  <c r="L33" i="18"/>
  <c r="AC43" i="18"/>
  <c r="AA44" i="18" s="1"/>
  <c r="AB43" i="18"/>
  <c r="AD43" i="18"/>
  <c r="H17" i="12"/>
  <c r="J30" i="1" l="1"/>
  <c r="J32" i="1" s="1"/>
  <c r="M83" i="1"/>
  <c r="M82" i="1"/>
  <c r="M84" i="1"/>
  <c r="J119" i="1"/>
  <c r="B33" i="1"/>
  <c r="K60" i="1" s="1"/>
  <c r="M60" i="1" s="1"/>
  <c r="K67" i="1"/>
  <c r="M67" i="1" s="1"/>
  <c r="K66" i="1"/>
  <c r="M66" i="1" s="1"/>
  <c r="K65" i="1"/>
  <c r="K68" i="1"/>
  <c r="M68" i="1" s="1"/>
  <c r="AV24" i="1"/>
  <c r="AT25" i="1" s="1"/>
  <c r="AU24" i="1"/>
  <c r="AW24" i="1"/>
  <c r="C24" i="22"/>
  <c r="C8" i="22"/>
  <c r="C10" i="22" s="1"/>
  <c r="AS24" i="1"/>
  <c r="AR24" i="1" s="1"/>
  <c r="AQ24" i="1"/>
  <c r="AE19" i="1"/>
  <c r="AF19" i="1" s="1"/>
  <c r="AD20" i="1" s="1"/>
  <c r="AC19" i="1"/>
  <c r="AB19" i="1" s="1"/>
  <c r="AA19" i="1"/>
  <c r="AE43" i="18"/>
  <c r="W44" i="18"/>
  <c r="AD44" i="18"/>
  <c r="Z44" i="18"/>
  <c r="Y44" i="18" s="1"/>
  <c r="M33" i="18"/>
  <c r="K34" i="18" s="1"/>
  <c r="M86" i="1" l="1"/>
  <c r="D39" i="1" s="1"/>
  <c r="D40" i="1" s="1"/>
  <c r="D42" i="1" s="1"/>
  <c r="K107" i="1"/>
  <c r="M107" i="1" s="1"/>
  <c r="K106" i="1"/>
  <c r="K109" i="1"/>
  <c r="M109" i="1" s="1"/>
  <c r="K108" i="1"/>
  <c r="M108" i="1" s="1"/>
  <c r="K115" i="1"/>
  <c r="M115" i="1" s="1"/>
  <c r="K114" i="1"/>
  <c r="K117" i="1"/>
  <c r="M117" i="1" s="1"/>
  <c r="K116" i="1"/>
  <c r="M116" i="1" s="1"/>
  <c r="K59" i="1"/>
  <c r="M59" i="1" s="1"/>
  <c r="K61" i="1"/>
  <c r="M61" i="1" s="1"/>
  <c r="K58" i="1"/>
  <c r="M70" i="1"/>
  <c r="B39" i="1" s="1"/>
  <c r="AX24" i="1"/>
  <c r="AH19" i="1"/>
  <c r="Z20" i="1"/>
  <c r="AC20" i="1" s="1"/>
  <c r="AB20" i="1" s="1"/>
  <c r="B16" i="12"/>
  <c r="K5" i="22"/>
  <c r="M5" i="22" s="1"/>
  <c r="K4" i="22"/>
  <c r="K7" i="22"/>
  <c r="M7" i="22" s="1"/>
  <c r="K6" i="22"/>
  <c r="M6" i="22" s="1"/>
  <c r="AP25" i="1"/>
  <c r="O33" i="18"/>
  <c r="G34" i="18"/>
  <c r="N34" i="18" s="1"/>
  <c r="AB44" i="18"/>
  <c r="AC44" i="18"/>
  <c r="AA45" i="18" s="1"/>
  <c r="X44" i="18"/>
  <c r="M111" i="1" l="1"/>
  <c r="J34" i="1" s="1"/>
  <c r="M119" i="1"/>
  <c r="J39" i="1" s="1"/>
  <c r="J40" i="1" s="1"/>
  <c r="AA20" i="1"/>
  <c r="B34" i="1"/>
  <c r="C11" i="22"/>
  <c r="C16" i="22" s="1"/>
  <c r="C17" i="22" s="1"/>
  <c r="AG20" i="1"/>
  <c r="AV25" i="1"/>
  <c r="AT26" i="1" s="1"/>
  <c r="AU25" i="1"/>
  <c r="B40" i="1"/>
  <c r="AW25" i="1"/>
  <c r="AQ25" i="1"/>
  <c r="AS25" i="1"/>
  <c r="AR25" i="1" s="1"/>
  <c r="AE20" i="1"/>
  <c r="AF20" i="1" s="1"/>
  <c r="AD21" i="1" s="1"/>
  <c r="J34" i="18"/>
  <c r="I34" i="18" s="1"/>
  <c r="Z45" i="18"/>
  <c r="Y45" i="18" s="1"/>
  <c r="W45" i="18"/>
  <c r="X45" i="18" s="1"/>
  <c r="L34" i="18"/>
  <c r="AE44" i="18"/>
  <c r="H34" i="18"/>
  <c r="H18" i="12"/>
  <c r="J35" i="1" l="1"/>
  <c r="J43" i="1"/>
  <c r="J44" i="1" s="1"/>
  <c r="J47" i="1" s="1"/>
  <c r="J51" i="1" s="1"/>
  <c r="B42" i="1"/>
  <c r="D43" i="1" s="1"/>
  <c r="D45" i="1" s="1"/>
  <c r="D48" i="1" s="1"/>
  <c r="D50" i="1" s="1"/>
  <c r="D51" i="1" s="1"/>
  <c r="D52" i="1" s="1"/>
  <c r="B35" i="1"/>
  <c r="C20" i="22"/>
  <c r="C19" i="22"/>
  <c r="C21" i="22" s="1"/>
  <c r="C22" i="22" s="1"/>
  <c r="C25" i="22" s="1"/>
  <c r="C27" i="22" s="1"/>
  <c r="C28" i="22" s="1"/>
  <c r="C29" i="22" s="1"/>
  <c r="C3" i="12" s="1"/>
  <c r="C4" i="12" s="1"/>
  <c r="C5" i="12" s="1"/>
  <c r="C6" i="12" s="1"/>
  <c r="C7" i="12" s="1"/>
  <c r="C8" i="12" s="1"/>
  <c r="C9" i="12" s="1"/>
  <c r="C10" i="12" s="1"/>
  <c r="C11" i="12" s="1"/>
  <c r="C12" i="12" s="1"/>
  <c r="C13" i="12" s="1"/>
  <c r="C14" i="12" s="1"/>
  <c r="C15" i="12" s="1"/>
  <c r="C16" i="12" s="1"/>
  <c r="C17" i="12" s="1"/>
  <c r="C18" i="12" s="1"/>
  <c r="C19" i="12" s="1"/>
  <c r="C20" i="12" s="1"/>
  <c r="C21" i="12" s="1"/>
  <c r="C22" i="12" s="1"/>
  <c r="C23" i="12" s="1"/>
  <c r="C24" i="12" s="1"/>
  <c r="C25" i="12" s="1"/>
  <c r="C26" i="12" s="1"/>
  <c r="C27" i="12" s="1"/>
  <c r="C28" i="12" s="1"/>
  <c r="C29" i="12" s="1"/>
  <c r="C30" i="12" s="1"/>
  <c r="C31" i="12" s="1"/>
  <c r="C32" i="12" s="1"/>
  <c r="C33" i="12" s="1"/>
  <c r="C34" i="12" s="1"/>
  <c r="C35" i="12" s="1"/>
  <c r="C36" i="12" s="1"/>
  <c r="C37" i="12" s="1"/>
  <c r="C38" i="12" s="1"/>
  <c r="C39" i="12" s="1"/>
  <c r="C40" i="12" s="1"/>
  <c r="C41" i="12" s="1"/>
  <c r="C42" i="12" s="1"/>
  <c r="C43" i="12" s="1"/>
  <c r="C44" i="12" s="1"/>
  <c r="C45" i="12" s="1"/>
  <c r="C46" i="12" s="1"/>
  <c r="C47" i="12" s="1"/>
  <c r="C48" i="12" s="1"/>
  <c r="C49" i="12" s="1"/>
  <c r="C50" i="12" s="1"/>
  <c r="C51" i="12" s="1"/>
  <c r="C52" i="12" s="1"/>
  <c r="C53" i="12" s="1"/>
  <c r="C54" i="12" s="1"/>
  <c r="C55" i="12" s="1"/>
  <c r="C56" i="12" s="1"/>
  <c r="C57" i="12" s="1"/>
  <c r="C58" i="12" s="1"/>
  <c r="C59" i="12" s="1"/>
  <c r="C60" i="12" s="1"/>
  <c r="C61" i="12" s="1"/>
  <c r="C62" i="12" s="1"/>
  <c r="C63" i="12" s="1"/>
  <c r="C64" i="12" s="1"/>
  <c r="C65" i="12" s="1"/>
  <c r="C66" i="12" s="1"/>
  <c r="C67" i="12" s="1"/>
  <c r="C68" i="12" s="1"/>
  <c r="C69" i="12" s="1"/>
  <c r="C70" i="12" s="1"/>
  <c r="C71" i="12" s="1"/>
  <c r="C72" i="12" s="1"/>
  <c r="C73" i="12" s="1"/>
  <c r="C74" i="12" s="1"/>
  <c r="C75" i="12" s="1"/>
  <c r="C76" i="12" s="1"/>
  <c r="C77" i="12" s="1"/>
  <c r="C78" i="12" s="1"/>
  <c r="C79" i="12" s="1"/>
  <c r="C80" i="12" s="1"/>
  <c r="C81" i="12" s="1"/>
  <c r="C82" i="12" s="1"/>
  <c r="C83" i="12" s="1"/>
  <c r="C84" i="12" s="1"/>
  <c r="C85" i="12" s="1"/>
  <c r="C86" i="12" s="1"/>
  <c r="C87" i="12" s="1"/>
  <c r="C88" i="12" s="1"/>
  <c r="C89" i="12" s="1"/>
  <c r="C90" i="12" s="1"/>
  <c r="C91" i="12" s="1"/>
  <c r="C92" i="12" s="1"/>
  <c r="C93" i="12" s="1"/>
  <c r="C94" i="12" s="1"/>
  <c r="C95" i="12" s="1"/>
  <c r="C96" i="12" s="1"/>
  <c r="C97" i="12" s="1"/>
  <c r="C98" i="12" s="1"/>
  <c r="C99" i="12" s="1"/>
  <c r="C100" i="12" s="1"/>
  <c r="C101" i="12" s="1"/>
  <c r="C102" i="12" s="1"/>
  <c r="C103" i="12" s="1"/>
  <c r="C104" i="12" s="1"/>
  <c r="C105" i="12" s="1"/>
  <c r="C106" i="12" s="1"/>
  <c r="C107" i="12" s="1"/>
  <c r="C108" i="12" s="1"/>
  <c r="C109" i="12" s="1"/>
  <c r="C110" i="12" s="1"/>
  <c r="C111" i="12" s="1"/>
  <c r="C112" i="12" s="1"/>
  <c r="C113" i="12" s="1"/>
  <c r="C114" i="12" s="1"/>
  <c r="C115" i="12" s="1"/>
  <c r="C116" i="12" s="1"/>
  <c r="C117" i="12" s="1"/>
  <c r="C118" i="12" s="1"/>
  <c r="C119" i="12" s="1"/>
  <c r="C120" i="12" s="1"/>
  <c r="C121" i="12" s="1"/>
  <c r="C122" i="12" s="1"/>
  <c r="C123" i="12" s="1"/>
  <c r="C124" i="12" s="1"/>
  <c r="C125" i="12" s="1"/>
  <c r="C126" i="12" s="1"/>
  <c r="C127" i="12" s="1"/>
  <c r="C128" i="12" s="1"/>
  <c r="C129" i="12" s="1"/>
  <c r="C130" i="12" s="1"/>
  <c r="C131" i="12" s="1"/>
  <c r="C132" i="12" s="1"/>
  <c r="C133" i="12" s="1"/>
  <c r="C134" i="12" s="1"/>
  <c r="C135" i="12" s="1"/>
  <c r="C136" i="12" s="1"/>
  <c r="C137" i="12" s="1"/>
  <c r="C138" i="12" s="1"/>
  <c r="C139" i="12" s="1"/>
  <c r="C140" i="12" s="1"/>
  <c r="C141" i="12" s="1"/>
  <c r="C142" i="12" s="1"/>
  <c r="C143" i="12" s="1"/>
  <c r="C144" i="12" s="1"/>
  <c r="C145" i="12" s="1"/>
  <c r="C146" i="12" s="1"/>
  <c r="C147" i="12" s="1"/>
  <c r="C148" i="12" s="1"/>
  <c r="C149" i="12" s="1"/>
  <c r="C150" i="12" s="1"/>
  <c r="C151" i="12" s="1"/>
  <c r="C152" i="12" s="1"/>
  <c r="C153" i="12" s="1"/>
  <c r="C154" i="12" s="1"/>
  <c r="C155" i="12" s="1"/>
  <c r="C156" i="12" s="1"/>
  <c r="C157" i="12" s="1"/>
  <c r="C158" i="12" s="1"/>
  <c r="C159" i="12" s="1"/>
  <c r="C160" i="12" s="1"/>
  <c r="C161" i="12" s="1"/>
  <c r="C162" i="12" s="1"/>
  <c r="C163" i="12" s="1"/>
  <c r="C164" i="12" s="1"/>
  <c r="C165" i="12" s="1"/>
  <c r="C166" i="12" s="1"/>
  <c r="C167" i="12" s="1"/>
  <c r="C168" i="12" s="1"/>
  <c r="C169" i="12" s="1"/>
  <c r="C170" i="12" s="1"/>
  <c r="C171" i="12" s="1"/>
  <c r="C172" i="12" s="1"/>
  <c r="C173" i="12" s="1"/>
  <c r="C174" i="12" s="1"/>
  <c r="C175" i="12" s="1"/>
  <c r="C176" i="12" s="1"/>
  <c r="C177" i="12" s="1"/>
  <c r="C178" i="12" s="1"/>
  <c r="C179" i="12" s="1"/>
  <c r="C180" i="12" s="1"/>
  <c r="C181" i="12" s="1"/>
  <c r="C182" i="12" s="1"/>
  <c r="C183" i="12" s="1"/>
  <c r="C184" i="12" s="1"/>
  <c r="C185" i="12" s="1"/>
  <c r="Z21" i="1"/>
  <c r="B17" i="12"/>
  <c r="AH20" i="1"/>
  <c r="AX25" i="1"/>
  <c r="AP26" i="1"/>
  <c r="AQ26" i="1" s="1"/>
  <c r="M34" i="18"/>
  <c r="K35" i="18" s="1"/>
  <c r="AC45" i="18"/>
  <c r="AA46" i="18" s="1"/>
  <c r="AB45" i="18"/>
  <c r="AD45" i="18"/>
  <c r="B10" i="1" l="1"/>
  <c r="I3" i="12"/>
  <c r="B43" i="1"/>
  <c r="B45" i="1" s="1"/>
  <c r="B48" i="1" s="1"/>
  <c r="B50" i="1" s="1"/>
  <c r="B51" i="1" s="1"/>
  <c r="B52" i="1" s="1"/>
  <c r="B9" i="1" s="1"/>
  <c r="D3" i="12"/>
  <c r="E3" i="12" s="1"/>
  <c r="E4" i="12" s="1"/>
  <c r="D5" i="12" s="1"/>
  <c r="AW26" i="1"/>
  <c r="AU26" i="1"/>
  <c r="AV26" i="1"/>
  <c r="AT27" i="1" s="1"/>
  <c r="AE21" i="1"/>
  <c r="AS26" i="1"/>
  <c r="AR26" i="1" s="1"/>
  <c r="AC21" i="1"/>
  <c r="AB21" i="1" s="1"/>
  <c r="AA21" i="1"/>
  <c r="AG21" i="1"/>
  <c r="AE45" i="18"/>
  <c r="G35" i="18"/>
  <c r="N35" i="18" s="1"/>
  <c r="W46" i="18"/>
  <c r="Z46" i="18"/>
  <c r="Y46" i="18" s="1"/>
  <c r="O34" i="18"/>
  <c r="H19" i="12"/>
  <c r="J3" i="12" l="1"/>
  <c r="K3" i="12" s="1"/>
  <c r="I4" i="12"/>
  <c r="I5" i="12" s="1"/>
  <c r="I6" i="12" s="1"/>
  <c r="I7" i="12" s="1"/>
  <c r="I8" i="12" s="1"/>
  <c r="I9" i="12" s="1"/>
  <c r="I10" i="12" s="1"/>
  <c r="I11" i="12" s="1"/>
  <c r="I12" i="12" s="1"/>
  <c r="I13" i="12" s="1"/>
  <c r="I14" i="12" s="1"/>
  <c r="I15" i="12" s="1"/>
  <c r="I16" i="12" s="1"/>
  <c r="I17" i="12" s="1"/>
  <c r="I18" i="12" s="1"/>
  <c r="I19" i="12" s="1"/>
  <c r="I20" i="12" s="1"/>
  <c r="I21" i="12" s="1"/>
  <c r="I22" i="12" s="1"/>
  <c r="I23" i="12" s="1"/>
  <c r="I24" i="12" s="1"/>
  <c r="I25" i="12" s="1"/>
  <c r="I26" i="12" s="1"/>
  <c r="I27" i="12" s="1"/>
  <c r="I28" i="12" s="1"/>
  <c r="I29" i="12" s="1"/>
  <c r="I30" i="12" s="1"/>
  <c r="I31" i="12" s="1"/>
  <c r="I32" i="12" s="1"/>
  <c r="I33" i="12" s="1"/>
  <c r="I34" i="12" s="1"/>
  <c r="I35" i="12" s="1"/>
  <c r="I36" i="12" s="1"/>
  <c r="I37" i="12" s="1"/>
  <c r="I38" i="12" s="1"/>
  <c r="I39" i="12" s="1"/>
  <c r="I40" i="12" s="1"/>
  <c r="I41" i="12" s="1"/>
  <c r="I42" i="12" s="1"/>
  <c r="I43" i="12" s="1"/>
  <c r="I44" i="12" s="1"/>
  <c r="I45" i="12" s="1"/>
  <c r="I46" i="12" s="1"/>
  <c r="I47" i="12" s="1"/>
  <c r="I48" i="12" s="1"/>
  <c r="I49" i="12" s="1"/>
  <c r="I50" i="12" s="1"/>
  <c r="I51" i="12" s="1"/>
  <c r="I52" i="12" s="1"/>
  <c r="I53" i="12" s="1"/>
  <c r="I54" i="12" s="1"/>
  <c r="I55" i="12" s="1"/>
  <c r="I56" i="12" s="1"/>
  <c r="I57" i="12" s="1"/>
  <c r="I58" i="12" s="1"/>
  <c r="I59" i="12" s="1"/>
  <c r="I60" i="12" s="1"/>
  <c r="I61" i="12" s="1"/>
  <c r="I62" i="12" s="1"/>
  <c r="I63" i="12" s="1"/>
  <c r="I64" i="12" s="1"/>
  <c r="I65" i="12" s="1"/>
  <c r="I66" i="12" s="1"/>
  <c r="I67" i="12" s="1"/>
  <c r="I68" i="12" s="1"/>
  <c r="I69" i="12" s="1"/>
  <c r="I70" i="12" s="1"/>
  <c r="I71" i="12" s="1"/>
  <c r="I72" i="12" s="1"/>
  <c r="I73" i="12" s="1"/>
  <c r="I74" i="12" s="1"/>
  <c r="I75" i="12" s="1"/>
  <c r="I76" i="12" s="1"/>
  <c r="I77" i="12" s="1"/>
  <c r="I78" i="12" s="1"/>
  <c r="I79" i="12" s="1"/>
  <c r="I80" i="12" s="1"/>
  <c r="I81" i="12" s="1"/>
  <c r="I82" i="12" s="1"/>
  <c r="I83" i="12" s="1"/>
  <c r="I84" i="12" s="1"/>
  <c r="I85" i="12" s="1"/>
  <c r="I86" i="12" s="1"/>
  <c r="I87" i="12" s="1"/>
  <c r="I88" i="12" s="1"/>
  <c r="I89" i="12" s="1"/>
  <c r="I90" i="12" s="1"/>
  <c r="I91" i="12" s="1"/>
  <c r="I92" i="12" s="1"/>
  <c r="I93" i="12" s="1"/>
  <c r="I94" i="12" s="1"/>
  <c r="I95" i="12" s="1"/>
  <c r="I96" i="12" s="1"/>
  <c r="I97" i="12" s="1"/>
  <c r="I98" i="12" s="1"/>
  <c r="I99" i="12" s="1"/>
  <c r="I100" i="12" s="1"/>
  <c r="I101" i="12" s="1"/>
  <c r="I102" i="12" s="1"/>
  <c r="I103" i="12" s="1"/>
  <c r="I104" i="12" s="1"/>
  <c r="I105" i="12" s="1"/>
  <c r="I106" i="12" s="1"/>
  <c r="I107" i="12" s="1"/>
  <c r="I108" i="12" s="1"/>
  <c r="I109" i="12" s="1"/>
  <c r="I110" i="12" s="1"/>
  <c r="I111" i="12" s="1"/>
  <c r="I112" i="12" s="1"/>
  <c r="I113" i="12" s="1"/>
  <c r="I114" i="12" s="1"/>
  <c r="I115" i="12" s="1"/>
  <c r="I116" i="12" s="1"/>
  <c r="I117" i="12" s="1"/>
  <c r="I118" i="12" s="1"/>
  <c r="I119" i="12" s="1"/>
  <c r="I120" i="12" s="1"/>
  <c r="I121" i="12" s="1"/>
  <c r="I122" i="12" s="1"/>
  <c r="I123" i="12" s="1"/>
  <c r="I124" i="12" s="1"/>
  <c r="I125" i="12" s="1"/>
  <c r="I126" i="12" s="1"/>
  <c r="I127" i="12" s="1"/>
  <c r="I128" i="12" s="1"/>
  <c r="I129" i="12" s="1"/>
  <c r="I130" i="12" s="1"/>
  <c r="I131" i="12" s="1"/>
  <c r="I132" i="12" s="1"/>
  <c r="I133" i="12" s="1"/>
  <c r="I134" i="12" s="1"/>
  <c r="I135" i="12" s="1"/>
  <c r="I136" i="12" s="1"/>
  <c r="I137" i="12" s="1"/>
  <c r="I138" i="12" s="1"/>
  <c r="I139" i="12" s="1"/>
  <c r="I140" i="12" s="1"/>
  <c r="I141" i="12" s="1"/>
  <c r="I142" i="12" s="1"/>
  <c r="I143" i="12" s="1"/>
  <c r="I144" i="12" s="1"/>
  <c r="I145" i="12" s="1"/>
  <c r="I146" i="12" s="1"/>
  <c r="I147" i="12" s="1"/>
  <c r="I148" i="12" s="1"/>
  <c r="I149" i="12" s="1"/>
  <c r="I150" i="12" s="1"/>
  <c r="I151" i="12" s="1"/>
  <c r="I152" i="12" s="1"/>
  <c r="I153" i="12" s="1"/>
  <c r="I154" i="12" s="1"/>
  <c r="I155" i="12" s="1"/>
  <c r="I156" i="12" s="1"/>
  <c r="I157" i="12" s="1"/>
  <c r="I158" i="12" s="1"/>
  <c r="I159" i="12" s="1"/>
  <c r="I160" i="12" s="1"/>
  <c r="I161" i="12" s="1"/>
  <c r="E5" i="12"/>
  <c r="D6" i="12" s="1"/>
  <c r="D4" i="12"/>
  <c r="AP27" i="1"/>
  <c r="AS27" i="1" s="1"/>
  <c r="AR27" i="1" s="1"/>
  <c r="AX26" i="1"/>
  <c r="AF21" i="1"/>
  <c r="AD22" i="1" s="1"/>
  <c r="H35" i="18"/>
  <c r="J35" i="18"/>
  <c r="I35" i="18" s="1"/>
  <c r="AB46" i="18"/>
  <c r="AC46" i="18"/>
  <c r="AA47" i="18" s="1"/>
  <c r="X46" i="18"/>
  <c r="AD46" i="18"/>
  <c r="L35" i="18"/>
  <c r="J4" i="12" l="1"/>
  <c r="K4" i="12"/>
  <c r="E6" i="12"/>
  <c r="E7" i="12" s="1"/>
  <c r="AH21" i="1"/>
  <c r="AV27" i="1"/>
  <c r="AT28" i="1" s="1"/>
  <c r="AU27" i="1"/>
  <c r="AW27" i="1"/>
  <c r="Z22" i="1"/>
  <c r="B18" i="12"/>
  <c r="AQ27" i="1"/>
  <c r="W47" i="18"/>
  <c r="Z47" i="18" s="1"/>
  <c r="Y47" i="18" s="1"/>
  <c r="M35" i="18"/>
  <c r="K36" i="18" s="1"/>
  <c r="AE46" i="18"/>
  <c r="J5" i="12" l="1"/>
  <c r="K5" i="12"/>
  <c r="D7" i="12"/>
  <c r="AE22" i="1"/>
  <c r="AC22" i="1"/>
  <c r="AB22" i="1" s="1"/>
  <c r="AA22" i="1"/>
  <c r="AX27" i="1"/>
  <c r="AG22" i="1"/>
  <c r="AP28" i="1"/>
  <c r="AW28" i="1" s="1"/>
  <c r="X47" i="18"/>
  <c r="AC47" i="18"/>
  <c r="AA48" i="18" s="1"/>
  <c r="AB47" i="18"/>
  <c r="AD47" i="18"/>
  <c r="G36" i="18"/>
  <c r="H36" i="18" s="1"/>
  <c r="O35" i="18"/>
  <c r="E8" i="12"/>
  <c r="D8" i="12"/>
  <c r="H20" i="12"/>
  <c r="K6" i="12" l="1"/>
  <c r="J6" i="12"/>
  <c r="AS28" i="1"/>
  <c r="AR28" i="1" s="1"/>
  <c r="AQ28" i="1"/>
  <c r="AF22" i="1"/>
  <c r="AD23" i="1" s="1"/>
  <c r="AV28" i="1"/>
  <c r="AT29" i="1" s="1"/>
  <c r="AU28" i="1"/>
  <c r="J36" i="18"/>
  <c r="I36" i="18" s="1"/>
  <c r="N36" i="18"/>
  <c r="L36" i="18"/>
  <c r="AE47" i="18"/>
  <c r="W48" i="18"/>
  <c r="AD48" i="18" s="1"/>
  <c r="Z48" i="18"/>
  <c r="Y48" i="18" s="1"/>
  <c r="E9" i="12"/>
  <c r="D9" i="12"/>
  <c r="K7" i="12" l="1"/>
  <c r="J7" i="12"/>
  <c r="AX28" i="1"/>
  <c r="AP29" i="1"/>
  <c r="AS29" i="1" s="1"/>
  <c r="AR29" i="1" s="1"/>
  <c r="Z23" i="1"/>
  <c r="AG23" i="1" s="1"/>
  <c r="B19" i="12"/>
  <c r="AH22" i="1"/>
  <c r="X48" i="18"/>
  <c r="AB48" i="18"/>
  <c r="AC48" i="18"/>
  <c r="AA49" i="18" s="1"/>
  <c r="M36" i="18"/>
  <c r="K37" i="18" s="1"/>
  <c r="E10" i="12"/>
  <c r="D10" i="12"/>
  <c r="K8" i="12" l="1"/>
  <c r="J8" i="12"/>
  <c r="AV29" i="1"/>
  <c r="AT30" i="1" s="1"/>
  <c r="AU29" i="1"/>
  <c r="AW29" i="1"/>
  <c r="AQ29" i="1"/>
  <c r="AE23" i="1"/>
  <c r="AF23" i="1" s="1"/>
  <c r="AD24" i="1" s="1"/>
  <c r="B20" i="12" s="1"/>
  <c r="AA23" i="1"/>
  <c r="AC23" i="1"/>
  <c r="AB23" i="1" s="1"/>
  <c r="AE48" i="18"/>
  <c r="G37" i="18"/>
  <c r="H37" i="18" s="1"/>
  <c r="Z49" i="18"/>
  <c r="Y49" i="18" s="1"/>
  <c r="W49" i="18"/>
  <c r="X49" i="18" s="1"/>
  <c r="O36" i="18"/>
  <c r="E11" i="12"/>
  <c r="D11" i="12"/>
  <c r="H21" i="12"/>
  <c r="K9" i="12" l="1"/>
  <c r="J9" i="12"/>
  <c r="AX29" i="1"/>
  <c r="Z24" i="1"/>
  <c r="AG24" i="1" s="1"/>
  <c r="AH23" i="1"/>
  <c r="AP30" i="1"/>
  <c r="AW30" i="1" s="1"/>
  <c r="J37" i="18"/>
  <c r="I37" i="18" s="1"/>
  <c r="N37" i="18"/>
  <c r="L37" i="18"/>
  <c r="AC49" i="18"/>
  <c r="AA50" i="18" s="1"/>
  <c r="AB49" i="18"/>
  <c r="AD49" i="18"/>
  <c r="E12" i="12"/>
  <c r="D12" i="12"/>
  <c r="K10" i="12" l="1"/>
  <c r="J10" i="12"/>
  <c r="AS30" i="1"/>
  <c r="AR30" i="1" s="1"/>
  <c r="AC24" i="1"/>
  <c r="AB24" i="1" s="1"/>
  <c r="AU30" i="1"/>
  <c r="AV30" i="1"/>
  <c r="AT31" i="1" s="1"/>
  <c r="AE24" i="1"/>
  <c r="AF24" i="1" s="1"/>
  <c r="AD25" i="1" s="1"/>
  <c r="B21" i="12" s="1"/>
  <c r="AQ30" i="1"/>
  <c r="AA24" i="1"/>
  <c r="AE49" i="18"/>
  <c r="W50" i="18"/>
  <c r="AD50" i="18" s="1"/>
  <c r="Z50" i="18"/>
  <c r="Y50" i="18" s="1"/>
  <c r="M37" i="18"/>
  <c r="K38" i="18" s="1"/>
  <c r="E13" i="12"/>
  <c r="D13" i="12"/>
  <c r="K11" i="12" l="1"/>
  <c r="J11" i="12"/>
  <c r="AP31" i="1"/>
  <c r="AS31" i="1" s="1"/>
  <c r="AR31" i="1" s="1"/>
  <c r="AX30" i="1"/>
  <c r="Z25" i="1"/>
  <c r="AH24" i="1"/>
  <c r="G38" i="18"/>
  <c r="J38" i="18" s="1"/>
  <c r="I38" i="18" s="1"/>
  <c r="O37" i="18"/>
  <c r="AB50" i="18"/>
  <c r="AC50" i="18"/>
  <c r="AA51" i="18" s="1"/>
  <c r="X50" i="18"/>
  <c r="E14" i="12"/>
  <c r="D14" i="12"/>
  <c r="H22" i="12"/>
  <c r="K12" i="12" l="1"/>
  <c r="J12" i="12"/>
  <c r="AE25" i="1"/>
  <c r="AF25" i="1" s="1"/>
  <c r="AD26" i="1" s="1"/>
  <c r="B22" i="12" s="1"/>
  <c r="AG25" i="1"/>
  <c r="AV31" i="1"/>
  <c r="AT32" i="1" s="1"/>
  <c r="AU31" i="1"/>
  <c r="AC25" i="1"/>
  <c r="AB25" i="1" s="1"/>
  <c r="AW31" i="1"/>
  <c r="AA25" i="1"/>
  <c r="AQ31" i="1"/>
  <c r="L38" i="18"/>
  <c r="H38" i="18"/>
  <c r="W51" i="18"/>
  <c r="AE50" i="18"/>
  <c r="N38" i="18"/>
  <c r="E15" i="12"/>
  <c r="D15" i="12"/>
  <c r="K13" i="12" l="1"/>
  <c r="J13" i="12"/>
  <c r="AX31" i="1"/>
  <c r="Z26" i="1"/>
  <c r="AG26" i="1" s="1"/>
  <c r="AH25" i="1"/>
  <c r="AP32" i="1"/>
  <c r="AQ32" i="1" s="1"/>
  <c r="AC51" i="18"/>
  <c r="AA52" i="18" s="1"/>
  <c r="AB51" i="18"/>
  <c r="AD51" i="18"/>
  <c r="X51" i="18"/>
  <c r="Z51" i="18"/>
  <c r="Y51" i="18" s="1"/>
  <c r="M38" i="18"/>
  <c r="K39" i="18" s="1"/>
  <c r="E16" i="12"/>
  <c r="D16" i="12"/>
  <c r="H23" i="12"/>
  <c r="K14" i="12" l="1"/>
  <c r="J14" i="12"/>
  <c r="AS32" i="1"/>
  <c r="AR32" i="1" s="1"/>
  <c r="AW32" i="1"/>
  <c r="AC26" i="1"/>
  <c r="AB26" i="1" s="1"/>
  <c r="AA26" i="1"/>
  <c r="AV32" i="1"/>
  <c r="AT33" i="1" s="1"/>
  <c r="AU32" i="1"/>
  <c r="AE26" i="1"/>
  <c r="AF26" i="1" s="1"/>
  <c r="AD27" i="1" s="1"/>
  <c r="G39" i="18"/>
  <c r="H39" i="18" s="1"/>
  <c r="AE51" i="18"/>
  <c r="O38" i="18"/>
  <c r="W52" i="18"/>
  <c r="AD52" i="18" s="1"/>
  <c r="E17" i="12"/>
  <c r="D17" i="12"/>
  <c r="K15" i="12" l="1"/>
  <c r="J15" i="12"/>
  <c r="AX32" i="1"/>
  <c r="Z27" i="1"/>
  <c r="AA27" i="1" s="1"/>
  <c r="AH26" i="1"/>
  <c r="AP33" i="1"/>
  <c r="AW33" i="1" s="1"/>
  <c r="J39" i="18"/>
  <c r="I39" i="18" s="1"/>
  <c r="N39" i="18"/>
  <c r="X52" i="18"/>
  <c r="Z52" i="18"/>
  <c r="Y52" i="18" s="1"/>
  <c r="AB52" i="18"/>
  <c r="AC52" i="18"/>
  <c r="AA53" i="18" s="1"/>
  <c r="L39" i="18"/>
  <c r="E18" i="12"/>
  <c r="D18" i="12"/>
  <c r="B23" i="12"/>
  <c r="K16" i="12" l="1"/>
  <c r="J16" i="12"/>
  <c r="AS33" i="1"/>
  <c r="AR33" i="1" s="1"/>
  <c r="AQ33" i="1"/>
  <c r="AG27" i="1"/>
  <c r="AV33" i="1"/>
  <c r="AT34" i="1" s="1"/>
  <c r="AU33" i="1"/>
  <c r="AE27" i="1"/>
  <c r="AC27" i="1"/>
  <c r="AB27" i="1" s="1"/>
  <c r="W53" i="18"/>
  <c r="Z53" i="18" s="1"/>
  <c r="Y53" i="18" s="1"/>
  <c r="M39" i="18"/>
  <c r="K40" i="18" s="1"/>
  <c r="AE52" i="18"/>
  <c r="E19" i="12"/>
  <c r="D19" i="12"/>
  <c r="H24" i="12"/>
  <c r="K17" i="12" l="1"/>
  <c r="J17" i="12"/>
  <c r="AX33" i="1"/>
  <c r="AF27" i="1"/>
  <c r="AD28" i="1" s="1"/>
  <c r="AP34" i="1"/>
  <c r="AS34" i="1" s="1"/>
  <c r="AR34" i="1" s="1"/>
  <c r="X53" i="18"/>
  <c r="G40" i="18"/>
  <c r="N40" i="18" s="1"/>
  <c r="O39" i="18"/>
  <c r="AC53" i="18"/>
  <c r="AA54" i="18" s="1"/>
  <c r="AB53" i="18"/>
  <c r="AD53" i="18"/>
  <c r="E20" i="12"/>
  <c r="D20" i="12"/>
  <c r="K18" i="12" l="1"/>
  <c r="J18" i="12"/>
  <c r="AQ34" i="1"/>
  <c r="AW34" i="1"/>
  <c r="AU34" i="1"/>
  <c r="AV34" i="1"/>
  <c r="AT35" i="1" s="1"/>
  <c r="Z28" i="1"/>
  <c r="AC28" i="1" s="1"/>
  <c r="AB28" i="1" s="1"/>
  <c r="AH27" i="1"/>
  <c r="AE53" i="18"/>
  <c r="W54" i="18"/>
  <c r="AD54" i="18" s="1"/>
  <c r="Z54" i="18"/>
  <c r="Y54" i="18" s="1"/>
  <c r="L40" i="18"/>
  <c r="M40" i="18" s="1"/>
  <c r="K41" i="18" s="1"/>
  <c r="H40" i="18"/>
  <c r="J40" i="18"/>
  <c r="I40" i="18" s="1"/>
  <c r="E21" i="12"/>
  <c r="D21" i="12"/>
  <c r="H25" i="12"/>
  <c r="B24" i="12"/>
  <c r="K19" i="12" l="1"/>
  <c r="J19" i="12"/>
  <c r="AE28" i="1"/>
  <c r="AF28" i="1" s="1"/>
  <c r="AD29" i="1" s="1"/>
  <c r="AA28" i="1"/>
  <c r="AP35" i="1"/>
  <c r="AW35" i="1" s="1"/>
  <c r="AG28" i="1"/>
  <c r="AX34" i="1"/>
  <c r="G41" i="18"/>
  <c r="N41" i="18" s="1"/>
  <c r="AB54" i="18"/>
  <c r="AC54" i="18"/>
  <c r="AA55" i="18" s="1"/>
  <c r="O40" i="18"/>
  <c r="X54" i="18"/>
  <c r="E22" i="12"/>
  <c r="D22" i="12"/>
  <c r="K20" i="12" l="1"/>
  <c r="J20" i="12"/>
  <c r="AS35" i="1"/>
  <c r="AR35" i="1" s="1"/>
  <c r="AQ35" i="1"/>
  <c r="Z29" i="1"/>
  <c r="AG29" i="1" s="1"/>
  <c r="AV35" i="1"/>
  <c r="AT36" i="1" s="1"/>
  <c r="AU35" i="1"/>
  <c r="AH28" i="1"/>
  <c r="H41" i="18"/>
  <c r="J41" i="18"/>
  <c r="I41" i="18" s="1"/>
  <c r="W55" i="18"/>
  <c r="Z55" i="18" s="1"/>
  <c r="Y55" i="18" s="1"/>
  <c r="AE54" i="18"/>
  <c r="L41" i="18"/>
  <c r="E23" i="12"/>
  <c r="D23" i="12"/>
  <c r="B25" i="12"/>
  <c r="K21" i="12" l="1"/>
  <c r="J21" i="12"/>
  <c r="AA29" i="1"/>
  <c r="AC29" i="1"/>
  <c r="AB29" i="1" s="1"/>
  <c r="AP36" i="1"/>
  <c r="AS36" i="1" s="1"/>
  <c r="AR36" i="1" s="1"/>
  <c r="AX35" i="1"/>
  <c r="AE29" i="1"/>
  <c r="X55" i="18"/>
  <c r="M41" i="18"/>
  <c r="K42" i="18" s="1"/>
  <c r="AC55" i="18"/>
  <c r="AA56" i="18" s="1"/>
  <c r="AB55" i="18"/>
  <c r="AD55" i="18"/>
  <c r="E24" i="12"/>
  <c r="D24" i="12"/>
  <c r="H26" i="12"/>
  <c r="K22" i="12" l="1"/>
  <c r="J22" i="12"/>
  <c r="AV36" i="1"/>
  <c r="AT37" i="1" s="1"/>
  <c r="AU36" i="1"/>
  <c r="AW36" i="1"/>
  <c r="AF29" i="1"/>
  <c r="AD30" i="1" s="1"/>
  <c r="AQ36" i="1"/>
  <c r="AE55" i="18"/>
  <c r="G42" i="18"/>
  <c r="J42" i="18" s="1"/>
  <c r="I42" i="18" s="1"/>
  <c r="W56" i="18"/>
  <c r="Z56" i="18" s="1"/>
  <c r="Y56" i="18" s="1"/>
  <c r="O41" i="18"/>
  <c r="E25" i="12"/>
  <c r="D25" i="12"/>
  <c r="K23" i="12" l="1"/>
  <c r="J23" i="12"/>
  <c r="AX36" i="1"/>
  <c r="AP37" i="1"/>
  <c r="AS37" i="1" s="1"/>
  <c r="AR37" i="1" s="1"/>
  <c r="AH29" i="1"/>
  <c r="Z30" i="1"/>
  <c r="AC30" i="1" s="1"/>
  <c r="AB30" i="1" s="1"/>
  <c r="AD56" i="18"/>
  <c r="AB56" i="18"/>
  <c r="AC56" i="18"/>
  <c r="AA57" i="18" s="1"/>
  <c r="L42" i="18"/>
  <c r="X56" i="18"/>
  <c r="H42" i="18"/>
  <c r="N42" i="18"/>
  <c r="E26" i="12"/>
  <c r="D26" i="12"/>
  <c r="H27" i="12"/>
  <c r="B26" i="12"/>
  <c r="K24" i="12" l="1"/>
  <c r="J24" i="12"/>
  <c r="AE30" i="1"/>
  <c r="AF30" i="1" s="1"/>
  <c r="AD31" i="1" s="1"/>
  <c r="AV37" i="1"/>
  <c r="AT38" i="1" s="1"/>
  <c r="AU37" i="1"/>
  <c r="AA30" i="1"/>
  <c r="AW37" i="1"/>
  <c r="AG30" i="1"/>
  <c r="AQ37" i="1"/>
  <c r="AE56" i="18"/>
  <c r="M42" i="18"/>
  <c r="K43" i="18" s="1"/>
  <c r="W57" i="18"/>
  <c r="AD57" i="18" s="1"/>
  <c r="E27" i="12"/>
  <c r="D27" i="12"/>
  <c r="K25" i="12" l="1"/>
  <c r="J25" i="12"/>
  <c r="Z31" i="1"/>
  <c r="AG31" i="1" s="1"/>
  <c r="AH30" i="1"/>
  <c r="AX37" i="1"/>
  <c r="AP38" i="1"/>
  <c r="AQ38" i="1" s="1"/>
  <c r="Z57" i="18"/>
  <c r="Y57" i="18" s="1"/>
  <c r="G43" i="18"/>
  <c r="N43" i="18" s="1"/>
  <c r="AC57" i="18"/>
  <c r="AA58" i="18" s="1"/>
  <c r="AB57" i="18"/>
  <c r="X57" i="18"/>
  <c r="O42" i="18"/>
  <c r="E28" i="12"/>
  <c r="D28" i="12"/>
  <c r="H28" i="12"/>
  <c r="K26" i="12" l="1"/>
  <c r="J26" i="12"/>
  <c r="AS38" i="1"/>
  <c r="AR38" i="1" s="1"/>
  <c r="AW38" i="1"/>
  <c r="AA31" i="1"/>
  <c r="AE31" i="1"/>
  <c r="AC31" i="1"/>
  <c r="AB31" i="1" s="1"/>
  <c r="AU38" i="1"/>
  <c r="AV38" i="1"/>
  <c r="AT39" i="1" s="1"/>
  <c r="H43" i="18"/>
  <c r="J43" i="18"/>
  <c r="I43" i="18" s="1"/>
  <c r="AE57" i="18"/>
  <c r="W58" i="18"/>
  <c r="AD58" i="18" s="1"/>
  <c r="Z58" i="18"/>
  <c r="Y58" i="18" s="1"/>
  <c r="L43" i="18"/>
  <c r="E29" i="12"/>
  <c r="D29" i="12"/>
  <c r="B27" i="12"/>
  <c r="K27" i="12" l="1"/>
  <c r="J27" i="12"/>
  <c r="AP39" i="1"/>
  <c r="AF31" i="1"/>
  <c r="AD32" i="1" s="1"/>
  <c r="AX38" i="1"/>
  <c r="M43" i="18"/>
  <c r="K44" i="18" s="1"/>
  <c r="AB58" i="18"/>
  <c r="AC58" i="18"/>
  <c r="AA59" i="18" s="1"/>
  <c r="X58" i="18"/>
  <c r="E30" i="12"/>
  <c r="D30" i="12"/>
  <c r="K28" i="12" l="1"/>
  <c r="J28" i="12"/>
  <c r="AV39" i="1"/>
  <c r="AT40" i="1" s="1"/>
  <c r="AU39" i="1"/>
  <c r="Z32" i="1"/>
  <c r="AS39" i="1"/>
  <c r="AR39" i="1" s="1"/>
  <c r="AW39" i="1"/>
  <c r="AQ39" i="1"/>
  <c r="AH31" i="1"/>
  <c r="W59" i="18"/>
  <c r="Z59" i="18" s="1"/>
  <c r="Y59" i="18" s="1"/>
  <c r="AE58" i="18"/>
  <c r="G44" i="18"/>
  <c r="H44" i="18" s="1"/>
  <c r="O43" i="18"/>
  <c r="E31" i="12"/>
  <c r="D31" i="12"/>
  <c r="H29" i="12"/>
  <c r="K29" i="12" l="1"/>
  <c r="J29" i="12"/>
  <c r="AX39" i="1"/>
  <c r="AE32" i="1"/>
  <c r="AF32" i="1" s="1"/>
  <c r="AD33" i="1" s="1"/>
  <c r="AP40" i="1"/>
  <c r="AW40" i="1" s="1"/>
  <c r="AC32" i="1"/>
  <c r="AB32" i="1" s="1"/>
  <c r="AG32" i="1"/>
  <c r="AA32" i="1"/>
  <c r="J44" i="18"/>
  <c r="I44" i="18" s="1"/>
  <c r="X59" i="18"/>
  <c r="N44" i="18"/>
  <c r="L44" i="18"/>
  <c r="AC59" i="18"/>
  <c r="AA60" i="18" s="1"/>
  <c r="AB59" i="18"/>
  <c r="AD59" i="18"/>
  <c r="E32" i="12"/>
  <c r="D32" i="12"/>
  <c r="B28" i="12"/>
  <c r="K30" i="12" l="1"/>
  <c r="J30" i="12"/>
  <c r="AQ40" i="1"/>
  <c r="AS40" i="1"/>
  <c r="AR40" i="1" s="1"/>
  <c r="AH32" i="1"/>
  <c r="Z33" i="1"/>
  <c r="AC33" i="1" s="1"/>
  <c r="AB33" i="1" s="1"/>
  <c r="AV40" i="1"/>
  <c r="AT41" i="1" s="1"/>
  <c r="AU40" i="1"/>
  <c r="AE59" i="18"/>
  <c r="W60" i="18"/>
  <c r="AD60" i="18" s="1"/>
  <c r="Z60" i="18"/>
  <c r="Y60" i="18" s="1"/>
  <c r="M44" i="18"/>
  <c r="K45" i="18" s="1"/>
  <c r="E33" i="12"/>
  <c r="D33" i="12"/>
  <c r="K31" i="12" l="1"/>
  <c r="J31" i="12"/>
  <c r="AA33" i="1"/>
  <c r="AX40" i="1"/>
  <c r="AE33" i="1"/>
  <c r="AP41" i="1"/>
  <c r="AQ41" i="1" s="1"/>
  <c r="AG33" i="1"/>
  <c r="G45" i="18"/>
  <c r="N45" i="18" s="1"/>
  <c r="O44" i="18"/>
  <c r="AB60" i="18"/>
  <c r="AC60" i="18"/>
  <c r="AA61" i="18" s="1"/>
  <c r="X60" i="18"/>
  <c r="E34" i="12"/>
  <c r="D34" i="12"/>
  <c r="H30" i="12"/>
  <c r="B29" i="12"/>
  <c r="K32" i="12" l="1"/>
  <c r="J32" i="12"/>
  <c r="AS41" i="1"/>
  <c r="AR41" i="1" s="1"/>
  <c r="AV41" i="1"/>
  <c r="AT42" i="1" s="1"/>
  <c r="AU41" i="1"/>
  <c r="AW41" i="1"/>
  <c r="AF33" i="1"/>
  <c r="AD34" i="1" s="1"/>
  <c r="J45" i="18"/>
  <c r="I45" i="18" s="1"/>
  <c r="H45" i="18"/>
  <c r="W61" i="18"/>
  <c r="AE60" i="18"/>
  <c r="L45" i="18"/>
  <c r="E35" i="12"/>
  <c r="D35" i="12"/>
  <c r="K33" i="12" l="1"/>
  <c r="J33" i="12"/>
  <c r="AX41" i="1"/>
  <c r="AH33" i="1"/>
  <c r="Z34" i="1"/>
  <c r="AC34" i="1" s="1"/>
  <c r="AB34" i="1" s="1"/>
  <c r="AP42" i="1"/>
  <c r="AS42" i="1" s="1"/>
  <c r="AR42" i="1" s="1"/>
  <c r="AC61" i="18"/>
  <c r="AA62" i="18" s="1"/>
  <c r="AB61" i="18"/>
  <c r="AD61" i="18"/>
  <c r="X61" i="18"/>
  <c r="M45" i="18"/>
  <c r="K46" i="18" s="1"/>
  <c r="Z61" i="18"/>
  <c r="Y61" i="18" s="1"/>
  <c r="E36" i="12"/>
  <c r="D36" i="12"/>
  <c r="B30" i="12"/>
  <c r="K34" i="12" l="1"/>
  <c r="J34" i="12"/>
  <c r="AW42" i="1"/>
  <c r="AQ42" i="1"/>
  <c r="AA34" i="1"/>
  <c r="AG34" i="1"/>
  <c r="AU42" i="1"/>
  <c r="AV42" i="1"/>
  <c r="AT43" i="1" s="1"/>
  <c r="AE34" i="1"/>
  <c r="AF34" i="1" s="1"/>
  <c r="AD35" i="1" s="1"/>
  <c r="O45" i="18"/>
  <c r="G46" i="18"/>
  <c r="J46" i="18" s="1"/>
  <c r="I46" i="18" s="1"/>
  <c r="AE61" i="18"/>
  <c r="W62" i="18"/>
  <c r="E37" i="12"/>
  <c r="D37" i="12"/>
  <c r="H31" i="12"/>
  <c r="K35" i="12" l="1"/>
  <c r="J35" i="12"/>
  <c r="AP43" i="1"/>
  <c r="AS43" i="1" s="1"/>
  <c r="AR43" i="1" s="1"/>
  <c r="Z35" i="1"/>
  <c r="AC35" i="1" s="1"/>
  <c r="AB35" i="1" s="1"/>
  <c r="AH34" i="1"/>
  <c r="AX42" i="1"/>
  <c r="AB62" i="18"/>
  <c r="AC62" i="18"/>
  <c r="AA63" i="18" s="1"/>
  <c r="X62" i="18"/>
  <c r="L46" i="18"/>
  <c r="M46" i="18" s="1"/>
  <c r="K47" i="18" s="1"/>
  <c r="AD62" i="18"/>
  <c r="H46" i="18"/>
  <c r="Z62" i="18"/>
  <c r="Y62" i="18" s="1"/>
  <c r="N46" i="18"/>
  <c r="E38" i="12"/>
  <c r="D38" i="12"/>
  <c r="K36" i="12" l="1"/>
  <c r="J36" i="12"/>
  <c r="AW43" i="1"/>
  <c r="AQ43" i="1"/>
  <c r="AE35" i="1"/>
  <c r="AG35" i="1"/>
  <c r="AV43" i="1"/>
  <c r="AT44" i="1" s="1"/>
  <c r="AU43" i="1"/>
  <c r="AA35" i="1"/>
  <c r="G47" i="18"/>
  <c r="H47" i="18" s="1"/>
  <c r="W63" i="18"/>
  <c r="Z63" i="18" s="1"/>
  <c r="Y63" i="18" s="1"/>
  <c r="O46" i="18"/>
  <c r="AE62" i="18"/>
  <c r="E39" i="12"/>
  <c r="D39" i="12"/>
  <c r="B31" i="12"/>
  <c r="K37" i="12" l="1"/>
  <c r="J37" i="12"/>
  <c r="AX43" i="1"/>
  <c r="AP44" i="1"/>
  <c r="AW44" i="1" s="1"/>
  <c r="AF35" i="1"/>
  <c r="AD36" i="1" s="1"/>
  <c r="J47" i="18"/>
  <c r="I47" i="18" s="1"/>
  <c r="N47" i="18"/>
  <c r="AC63" i="18"/>
  <c r="AA64" i="18" s="1"/>
  <c r="AB63" i="18"/>
  <c r="AD63" i="18"/>
  <c r="X63" i="18"/>
  <c r="L47" i="18"/>
  <c r="M47" i="18" s="1"/>
  <c r="K48" i="18" s="1"/>
  <c r="E40" i="12"/>
  <c r="D40" i="12"/>
  <c r="H32" i="12"/>
  <c r="K38" i="12" l="1"/>
  <c r="J38" i="12"/>
  <c r="AV44" i="1"/>
  <c r="AT45" i="1" s="1"/>
  <c r="AU44" i="1"/>
  <c r="Z36" i="1"/>
  <c r="AA36" i="1" s="1"/>
  <c r="AQ44" i="1"/>
  <c r="AS44" i="1"/>
  <c r="AR44" i="1" s="1"/>
  <c r="AH35" i="1"/>
  <c r="G48" i="18"/>
  <c r="N48" i="18" s="1"/>
  <c r="O47" i="18"/>
  <c r="AE63" i="18"/>
  <c r="W64" i="18"/>
  <c r="AD64" i="18" s="1"/>
  <c r="E41" i="12"/>
  <c r="D41" i="12"/>
  <c r="K39" i="12" l="1"/>
  <c r="J39" i="12"/>
  <c r="AX44" i="1"/>
  <c r="AG36" i="1"/>
  <c r="AE36" i="1"/>
  <c r="AF36" i="1" s="1"/>
  <c r="AD37" i="1" s="1"/>
  <c r="AC36" i="1"/>
  <c r="AB36" i="1" s="1"/>
  <c r="AP45" i="1"/>
  <c r="AW45" i="1" s="1"/>
  <c r="X64" i="18"/>
  <c r="Z64" i="18"/>
  <c r="Y64" i="18" s="1"/>
  <c r="L48" i="18"/>
  <c r="H48" i="18"/>
  <c r="AB64" i="18"/>
  <c r="AC64" i="18"/>
  <c r="AA65" i="18" s="1"/>
  <c r="J48" i="18"/>
  <c r="I48" i="18" s="1"/>
  <c r="E42" i="12"/>
  <c r="D42" i="12"/>
  <c r="B32" i="12"/>
  <c r="K40" i="12" l="1"/>
  <c r="J40" i="12"/>
  <c r="AQ45" i="1"/>
  <c r="AH36" i="1"/>
  <c r="Z37" i="1"/>
  <c r="AC37" i="1" s="1"/>
  <c r="AB37" i="1" s="1"/>
  <c r="AV45" i="1"/>
  <c r="AT46" i="1" s="1"/>
  <c r="AU45" i="1"/>
  <c r="AS45" i="1"/>
  <c r="AR45" i="1" s="1"/>
  <c r="AE64" i="18"/>
  <c r="W65" i="18"/>
  <c r="Z65" i="18" s="1"/>
  <c r="Y65" i="18" s="1"/>
  <c r="M48" i="18"/>
  <c r="K49" i="18" s="1"/>
  <c r="E43" i="12"/>
  <c r="D43" i="12"/>
  <c r="H33" i="12"/>
  <c r="K41" i="12" l="1"/>
  <c r="J41" i="12"/>
  <c r="AA37" i="1"/>
  <c r="AX45" i="1"/>
  <c r="AE37" i="1"/>
  <c r="AF37" i="1" s="1"/>
  <c r="AD38" i="1" s="1"/>
  <c r="AP46" i="1"/>
  <c r="AS46" i="1" s="1"/>
  <c r="AR46" i="1" s="1"/>
  <c r="AG37" i="1"/>
  <c r="G49" i="18"/>
  <c r="H49" i="18" s="1"/>
  <c r="AC65" i="18"/>
  <c r="AA66" i="18" s="1"/>
  <c r="AB65" i="18"/>
  <c r="AD65" i="18"/>
  <c r="X65" i="18"/>
  <c r="O48" i="18"/>
  <c r="E44" i="12"/>
  <c r="D44" i="12"/>
  <c r="B33" i="12"/>
  <c r="K42" i="12" l="1"/>
  <c r="J42" i="12"/>
  <c r="AW46" i="1"/>
  <c r="AQ46" i="1"/>
  <c r="Z38" i="1"/>
  <c r="AC38" i="1" s="1"/>
  <c r="AB38" i="1" s="1"/>
  <c r="AV46" i="1"/>
  <c r="AT47" i="1" s="1"/>
  <c r="AU46" i="1"/>
  <c r="AH37" i="1"/>
  <c r="L49" i="18"/>
  <c r="M49" i="18" s="1"/>
  <c r="K50" i="18" s="1"/>
  <c r="AE65" i="18"/>
  <c r="J49" i="18"/>
  <c r="I49" i="18" s="1"/>
  <c r="W66" i="18"/>
  <c r="Z66" i="18" s="1"/>
  <c r="Y66" i="18" s="1"/>
  <c r="N49" i="18"/>
  <c r="E45" i="12"/>
  <c r="D45" i="12"/>
  <c r="K43" i="12" l="1"/>
  <c r="J43" i="12"/>
  <c r="AE38" i="1"/>
  <c r="AF38" i="1" s="1"/>
  <c r="AD39" i="1" s="1"/>
  <c r="AX46" i="1"/>
  <c r="AG38" i="1"/>
  <c r="AP47" i="1"/>
  <c r="AW47" i="1" s="1"/>
  <c r="AA38" i="1"/>
  <c r="X66" i="18"/>
  <c r="AD66" i="18"/>
  <c r="AB66" i="18"/>
  <c r="AC66" i="18"/>
  <c r="AA67" i="18" s="1"/>
  <c r="O49" i="18"/>
  <c r="G50" i="18"/>
  <c r="J50" i="18" s="1"/>
  <c r="I50" i="18" s="1"/>
  <c r="E46" i="12"/>
  <c r="D46" i="12"/>
  <c r="H34" i="12"/>
  <c r="K44" i="12" l="1"/>
  <c r="J44" i="12"/>
  <c r="AS47" i="1"/>
  <c r="AR47" i="1" s="1"/>
  <c r="AV47" i="1"/>
  <c r="AT48" i="1" s="1"/>
  <c r="AU47" i="1"/>
  <c r="Z39" i="1"/>
  <c r="AA39" i="1" s="1"/>
  <c r="AQ47" i="1"/>
  <c r="AH38" i="1"/>
  <c r="N50" i="18"/>
  <c r="W67" i="18"/>
  <c r="X67" i="18" s="1"/>
  <c r="L50" i="18"/>
  <c r="H50" i="18"/>
  <c r="AE66" i="18"/>
  <c r="E47" i="12"/>
  <c r="D47" i="12"/>
  <c r="B34" i="12"/>
  <c r="K45" i="12" l="1"/>
  <c r="J45" i="12"/>
  <c r="AG39" i="1"/>
  <c r="AP48" i="1"/>
  <c r="AW48" i="1" s="1"/>
  <c r="AE39" i="1"/>
  <c r="AC39" i="1"/>
  <c r="AB39" i="1" s="1"/>
  <c r="AX47" i="1"/>
  <c r="Z67" i="18"/>
  <c r="Y67" i="18" s="1"/>
  <c r="M50" i="18"/>
  <c r="K51" i="18" s="1"/>
  <c r="AC67" i="18"/>
  <c r="AA68" i="18" s="1"/>
  <c r="AB67" i="18"/>
  <c r="AD67" i="18"/>
  <c r="E48" i="12"/>
  <c r="D48" i="12"/>
  <c r="H35" i="12"/>
  <c r="K46" i="12" l="1"/>
  <c r="J46" i="12"/>
  <c r="AS48" i="1"/>
  <c r="AR48" i="1" s="1"/>
  <c r="AQ48" i="1"/>
  <c r="AF39" i="1"/>
  <c r="AD40" i="1" s="1"/>
  <c r="AU48" i="1"/>
  <c r="AV48" i="1"/>
  <c r="AT49" i="1" s="1"/>
  <c r="AE67" i="18"/>
  <c r="W68" i="18"/>
  <c r="AD68" i="18"/>
  <c r="Z68" i="18"/>
  <c r="Y68" i="18" s="1"/>
  <c r="G51" i="18"/>
  <c r="N51" i="18" s="1"/>
  <c r="O50" i="18"/>
  <c r="E49" i="12"/>
  <c r="D49" i="12"/>
  <c r="K47" i="12" l="1"/>
  <c r="J47" i="12"/>
  <c r="Z40" i="1"/>
  <c r="AG40" i="1" s="1"/>
  <c r="AH39" i="1"/>
  <c r="AP49" i="1"/>
  <c r="AS49" i="1" s="1"/>
  <c r="AR49" i="1" s="1"/>
  <c r="AX48" i="1"/>
  <c r="H51" i="18"/>
  <c r="J51" i="18"/>
  <c r="I51" i="18" s="1"/>
  <c r="L51" i="18"/>
  <c r="M51" i="18" s="1"/>
  <c r="K52" i="18" s="1"/>
  <c r="AB68" i="18"/>
  <c r="AC68" i="18"/>
  <c r="AA69" i="18" s="1"/>
  <c r="X68" i="18"/>
  <c r="E50" i="12"/>
  <c r="D50" i="12"/>
  <c r="H36" i="12"/>
  <c r="B35" i="12"/>
  <c r="K48" i="12" l="1"/>
  <c r="J48" i="12"/>
  <c r="AV49" i="1"/>
  <c r="AT50" i="1" s="1"/>
  <c r="AU49" i="1"/>
  <c r="AE40" i="1"/>
  <c r="AW49" i="1"/>
  <c r="AC40" i="1"/>
  <c r="AB40" i="1" s="1"/>
  <c r="AA40" i="1"/>
  <c r="AQ49" i="1"/>
  <c r="G52" i="18"/>
  <c r="N52" i="18" s="1"/>
  <c r="W69" i="18"/>
  <c r="Z69" i="18" s="1"/>
  <c r="Y69" i="18" s="1"/>
  <c r="AE68" i="18"/>
  <c r="O51" i="18"/>
  <c r="E51" i="12"/>
  <c r="D51" i="12"/>
  <c r="K49" i="12" l="1"/>
  <c r="J49" i="12"/>
  <c r="AX49" i="1"/>
  <c r="AP50" i="1"/>
  <c r="AW50" i="1" s="1"/>
  <c r="AF40" i="1"/>
  <c r="AD41" i="1" s="1"/>
  <c r="J52" i="18"/>
  <c r="I52" i="18" s="1"/>
  <c r="X69" i="18"/>
  <c r="L52" i="18"/>
  <c r="AC69" i="18"/>
  <c r="AA70" i="18" s="1"/>
  <c r="AB69" i="18"/>
  <c r="AD69" i="18"/>
  <c r="H52" i="18"/>
  <c r="E52" i="12"/>
  <c r="D52" i="12"/>
  <c r="H37" i="12"/>
  <c r="K50" i="12" l="1"/>
  <c r="J50" i="12"/>
  <c r="AH40" i="1"/>
  <c r="AU50" i="1"/>
  <c r="AV50" i="1"/>
  <c r="AT51" i="1" s="1"/>
  <c r="AS50" i="1"/>
  <c r="AR50" i="1" s="1"/>
  <c r="Z41" i="1"/>
  <c r="AA41" i="1" s="1"/>
  <c r="AQ50" i="1"/>
  <c r="AE69" i="18"/>
  <c r="W70" i="18"/>
  <c r="Z70" i="18"/>
  <c r="Y70" i="18" s="1"/>
  <c r="M52" i="18"/>
  <c r="K53" i="18" s="1"/>
  <c r="E53" i="12"/>
  <c r="D53" i="12"/>
  <c r="B36" i="12"/>
  <c r="K51" i="12" l="1"/>
  <c r="J51" i="12"/>
  <c r="AX50" i="1"/>
  <c r="AC41" i="1"/>
  <c r="AB41" i="1" s="1"/>
  <c r="AP51" i="1"/>
  <c r="AQ51" i="1" s="1"/>
  <c r="AE41" i="1"/>
  <c r="AG41" i="1"/>
  <c r="G53" i="18"/>
  <c r="H53" i="18" s="1"/>
  <c r="AB70" i="18"/>
  <c r="AC70" i="18"/>
  <c r="AA71" i="18" s="1"/>
  <c r="X70" i="18"/>
  <c r="AD70" i="18"/>
  <c r="O52" i="18"/>
  <c r="E54" i="12"/>
  <c r="D54" i="12"/>
  <c r="K52" i="12" l="1"/>
  <c r="J52" i="12"/>
  <c r="AS51" i="1"/>
  <c r="AR51" i="1" s="1"/>
  <c r="AW51" i="1"/>
  <c r="AF41" i="1"/>
  <c r="AD42" i="1" s="1"/>
  <c r="AV51" i="1"/>
  <c r="AT52" i="1" s="1"/>
  <c r="AU51" i="1"/>
  <c r="L53" i="18"/>
  <c r="M53" i="18" s="1"/>
  <c r="K54" i="18" s="1"/>
  <c r="W71" i="18"/>
  <c r="Z71" i="18" s="1"/>
  <c r="Y71" i="18" s="1"/>
  <c r="J53" i="18"/>
  <c r="I53" i="18" s="1"/>
  <c r="AE70" i="18"/>
  <c r="N53" i="18"/>
  <c r="E55" i="12"/>
  <c r="D55" i="12"/>
  <c r="H38" i="12"/>
  <c r="B37" i="12"/>
  <c r="K53" i="12" l="1"/>
  <c r="J53" i="12"/>
  <c r="AH41" i="1"/>
  <c r="AX51" i="1"/>
  <c r="AP52" i="1"/>
  <c r="AW52" i="1" s="1"/>
  <c r="Z42" i="1"/>
  <c r="AC71" i="18"/>
  <c r="AA72" i="18" s="1"/>
  <c r="AB71" i="18"/>
  <c r="AD71" i="18"/>
  <c r="X71" i="18"/>
  <c r="O53" i="18"/>
  <c r="G54" i="18"/>
  <c r="E56" i="12"/>
  <c r="D56" i="12"/>
  <c r="K54" i="12" l="1"/>
  <c r="J54" i="12"/>
  <c r="AE42" i="1"/>
  <c r="AF42" i="1" s="1"/>
  <c r="AD43" i="1" s="1"/>
  <c r="AV52" i="1"/>
  <c r="AT53" i="1" s="1"/>
  <c r="AU52" i="1"/>
  <c r="AS52" i="1"/>
  <c r="AR52" i="1" s="1"/>
  <c r="AC42" i="1"/>
  <c r="AB42" i="1" s="1"/>
  <c r="AG42" i="1"/>
  <c r="AA42" i="1"/>
  <c r="AQ52" i="1"/>
  <c r="L54" i="18"/>
  <c r="M54" i="18" s="1"/>
  <c r="K55" i="18" s="1"/>
  <c r="H54" i="18"/>
  <c r="N54" i="18"/>
  <c r="AE71" i="18"/>
  <c r="J54" i="18"/>
  <c r="I54" i="18" s="1"/>
  <c r="W72" i="18"/>
  <c r="AD72" i="18" s="1"/>
  <c r="E57" i="12"/>
  <c r="D57" i="12"/>
  <c r="B38" i="12"/>
  <c r="K55" i="12" l="1"/>
  <c r="J55" i="12"/>
  <c r="AX52" i="1"/>
  <c r="Z43" i="1"/>
  <c r="AG43" i="1" s="1"/>
  <c r="AH42" i="1"/>
  <c r="AP53" i="1"/>
  <c r="AW53" i="1" s="1"/>
  <c r="G55" i="18"/>
  <c r="N55" i="18" s="1"/>
  <c r="AB72" i="18"/>
  <c r="AC72" i="18"/>
  <c r="AA73" i="18" s="1"/>
  <c r="Z72" i="18"/>
  <c r="Y72" i="18" s="1"/>
  <c r="X72" i="18"/>
  <c r="O54" i="18"/>
  <c r="E58" i="12"/>
  <c r="D58" i="12"/>
  <c r="H39" i="12"/>
  <c r="K56" i="12" l="1"/>
  <c r="J56" i="12"/>
  <c r="AQ53" i="1"/>
  <c r="AA43" i="1"/>
  <c r="AV53" i="1"/>
  <c r="AT54" i="1" s="1"/>
  <c r="AU53" i="1"/>
  <c r="AE43" i="1"/>
  <c r="AF43" i="1" s="1"/>
  <c r="AD44" i="1" s="1"/>
  <c r="AC43" i="1"/>
  <c r="AB43" i="1" s="1"/>
  <c r="AS53" i="1"/>
  <c r="AR53" i="1" s="1"/>
  <c r="J55" i="18"/>
  <c r="I55" i="18" s="1"/>
  <c r="H55" i="18"/>
  <c r="AE72" i="18"/>
  <c r="W73" i="18"/>
  <c r="Z73" i="18" s="1"/>
  <c r="Y73" i="18" s="1"/>
  <c r="L55" i="18"/>
  <c r="E59" i="12"/>
  <c r="D59" i="12"/>
  <c r="K57" i="12" l="1"/>
  <c r="J57" i="12"/>
  <c r="AX53" i="1"/>
  <c r="Z44" i="1"/>
  <c r="AA44" i="1" s="1"/>
  <c r="AP54" i="1"/>
  <c r="AH43" i="1"/>
  <c r="AC73" i="18"/>
  <c r="AA74" i="18" s="1"/>
  <c r="AB73" i="18"/>
  <c r="AD73" i="18"/>
  <c r="M55" i="18"/>
  <c r="K56" i="18" s="1"/>
  <c r="X73" i="18"/>
  <c r="E60" i="12"/>
  <c r="D60" i="12"/>
  <c r="H40" i="12"/>
  <c r="B39" i="12"/>
  <c r="K58" i="12" l="1"/>
  <c r="J58" i="12"/>
  <c r="AG44" i="1"/>
  <c r="AC44" i="1"/>
  <c r="AB44" i="1" s="1"/>
  <c r="AV54" i="1"/>
  <c r="AT55" i="1" s="1"/>
  <c r="AU54" i="1"/>
  <c r="AS54" i="1"/>
  <c r="AR54" i="1" s="1"/>
  <c r="AQ54" i="1"/>
  <c r="AW54" i="1"/>
  <c r="AE44" i="1"/>
  <c r="O55" i="18"/>
  <c r="AE73" i="18"/>
  <c r="G56" i="18"/>
  <c r="J56" i="18" s="1"/>
  <c r="I56" i="18" s="1"/>
  <c r="W74" i="18"/>
  <c r="AD74" i="18" s="1"/>
  <c r="E61" i="12"/>
  <c r="D61" i="12"/>
  <c r="K59" i="12" l="1"/>
  <c r="J59" i="12"/>
  <c r="AX54" i="1"/>
  <c r="AP55" i="1"/>
  <c r="AQ55" i="1" s="1"/>
  <c r="AF44" i="1"/>
  <c r="AD45" i="1" s="1"/>
  <c r="H56" i="18"/>
  <c r="AB74" i="18"/>
  <c r="AC74" i="18"/>
  <c r="AA75" i="18" s="1"/>
  <c r="L56" i="18"/>
  <c r="M56" i="18" s="1"/>
  <c r="K57" i="18" s="1"/>
  <c r="X74" i="18"/>
  <c r="Z74" i="18"/>
  <c r="Y74" i="18" s="1"/>
  <c r="N56" i="18"/>
  <c r="E62" i="12"/>
  <c r="D62" i="12"/>
  <c r="H41" i="12"/>
  <c r="K60" i="12" l="1"/>
  <c r="J60" i="12"/>
  <c r="AS55" i="1"/>
  <c r="AR55" i="1" s="1"/>
  <c r="AH44" i="1"/>
  <c r="AU55" i="1"/>
  <c r="AV55" i="1"/>
  <c r="AT56" i="1" s="1"/>
  <c r="Z45" i="1"/>
  <c r="AG45" i="1" s="1"/>
  <c r="AW55" i="1"/>
  <c r="G57" i="18"/>
  <c r="H57" i="18" s="1"/>
  <c r="W75" i="18"/>
  <c r="Z75" i="18" s="1"/>
  <c r="Y75" i="18" s="1"/>
  <c r="AE74" i="18"/>
  <c r="O56" i="18"/>
  <c r="E63" i="12"/>
  <c r="D63" i="12"/>
  <c r="B40" i="12"/>
  <c r="K61" i="12" l="1"/>
  <c r="J61" i="12"/>
  <c r="AC45" i="1"/>
  <c r="AB45" i="1" s="1"/>
  <c r="AP56" i="1"/>
  <c r="AQ56" i="1" s="1"/>
  <c r="AE45" i="1"/>
  <c r="AA45" i="1"/>
  <c r="AX55" i="1"/>
  <c r="X75" i="18"/>
  <c r="L57" i="18"/>
  <c r="M57" i="18" s="1"/>
  <c r="K58" i="18" s="1"/>
  <c r="J57" i="18"/>
  <c r="I57" i="18" s="1"/>
  <c r="AC75" i="18"/>
  <c r="AA76" i="18" s="1"/>
  <c r="AB75" i="18"/>
  <c r="AD75" i="18"/>
  <c r="N57" i="18"/>
  <c r="E64" i="12"/>
  <c r="D64" i="12"/>
  <c r="K62" i="12" l="1"/>
  <c r="J62" i="12"/>
  <c r="AW56" i="1"/>
  <c r="AS56" i="1"/>
  <c r="AR56" i="1" s="1"/>
  <c r="AF45" i="1"/>
  <c r="AD46" i="1" s="1"/>
  <c r="AU56" i="1"/>
  <c r="AV56" i="1"/>
  <c r="AT57" i="1" s="1"/>
  <c r="O57" i="18"/>
  <c r="W76" i="18"/>
  <c r="AD76" i="18"/>
  <c r="AE75" i="18"/>
  <c r="G58" i="18"/>
  <c r="N58" i="18" s="1"/>
  <c r="E65" i="12"/>
  <c r="D65" i="12"/>
  <c r="H42" i="12"/>
  <c r="B41" i="12"/>
  <c r="K63" i="12" l="1"/>
  <c r="J63" i="12"/>
  <c r="Z46" i="1"/>
  <c r="AG46" i="1" s="1"/>
  <c r="AP57" i="1"/>
  <c r="AQ57" i="1" s="1"/>
  <c r="AX56" i="1"/>
  <c r="AH45" i="1"/>
  <c r="J58" i="18"/>
  <c r="I58" i="18" s="1"/>
  <c r="AB76" i="18"/>
  <c r="AC76" i="18"/>
  <c r="AA77" i="18" s="1"/>
  <c r="L58" i="18"/>
  <c r="X76" i="18"/>
  <c r="H58" i="18"/>
  <c r="Z76" i="18"/>
  <c r="Y76" i="18" s="1"/>
  <c r="E66" i="12"/>
  <c r="D66" i="12"/>
  <c r="K64" i="12" l="1"/>
  <c r="J64" i="12"/>
  <c r="AW57" i="1"/>
  <c r="AU57" i="1"/>
  <c r="AV57" i="1"/>
  <c r="AT58" i="1" s="1"/>
  <c r="AS57" i="1"/>
  <c r="AR57" i="1" s="1"/>
  <c r="AE46" i="1"/>
  <c r="AC46" i="1"/>
  <c r="AB46" i="1" s="1"/>
  <c r="AA46" i="1"/>
  <c r="M58" i="18"/>
  <c r="K59" i="18" s="1"/>
  <c r="W77" i="18"/>
  <c r="Z77" i="18" s="1"/>
  <c r="Y77" i="18" s="1"/>
  <c r="AE76" i="18"/>
  <c r="E67" i="12"/>
  <c r="D67" i="12"/>
  <c r="K65" i="12" l="1"/>
  <c r="J65" i="12"/>
  <c r="AP58" i="1"/>
  <c r="AS58" i="1" s="1"/>
  <c r="AR58" i="1" s="1"/>
  <c r="AF46" i="1"/>
  <c r="AD47" i="1" s="1"/>
  <c r="AX57" i="1"/>
  <c r="AC77" i="18"/>
  <c r="AA78" i="18" s="1"/>
  <c r="AB77" i="18"/>
  <c r="AD77" i="18"/>
  <c r="X77" i="18"/>
  <c r="G59" i="18"/>
  <c r="H59" i="18" s="1"/>
  <c r="O58" i="18"/>
  <c r="E68" i="12"/>
  <c r="D68" i="12"/>
  <c r="H43" i="12"/>
  <c r="B42" i="12"/>
  <c r="K66" i="12" l="1"/>
  <c r="J66" i="12"/>
  <c r="AV58" i="1"/>
  <c r="AT59" i="1" s="1"/>
  <c r="AU58" i="1"/>
  <c r="AQ58" i="1"/>
  <c r="Z47" i="1"/>
  <c r="AA47" i="1" s="1"/>
  <c r="AW58" i="1"/>
  <c r="AH46" i="1"/>
  <c r="L59" i="18"/>
  <c r="M59" i="18" s="1"/>
  <c r="K60" i="18" s="1"/>
  <c r="W78" i="18"/>
  <c r="J59" i="18"/>
  <c r="I59" i="18" s="1"/>
  <c r="N59" i="18"/>
  <c r="AE77" i="18"/>
  <c r="E69" i="12"/>
  <c r="D69" i="12"/>
  <c r="K67" i="12" l="1"/>
  <c r="J67" i="12"/>
  <c r="AX58" i="1"/>
  <c r="AE47" i="1"/>
  <c r="AC47" i="1"/>
  <c r="AB47" i="1" s="1"/>
  <c r="AG47" i="1"/>
  <c r="AP59" i="1"/>
  <c r="AS59" i="1" s="1"/>
  <c r="AR59" i="1" s="1"/>
  <c r="AB78" i="18"/>
  <c r="AC78" i="18"/>
  <c r="AA79" i="18" s="1"/>
  <c r="X78" i="18"/>
  <c r="AD78" i="18"/>
  <c r="O59" i="18"/>
  <c r="Z78" i="18"/>
  <c r="Y78" i="18" s="1"/>
  <c r="G60" i="18"/>
  <c r="N60" i="18" s="1"/>
  <c r="E70" i="12"/>
  <c r="D70" i="12"/>
  <c r="H44" i="12"/>
  <c r="K68" i="12" l="1"/>
  <c r="J68" i="12"/>
  <c r="AW59" i="1"/>
  <c r="AU59" i="1"/>
  <c r="AV59" i="1"/>
  <c r="AT60" i="1" s="1"/>
  <c r="AQ59" i="1"/>
  <c r="AF47" i="1"/>
  <c r="AD48" i="1" s="1"/>
  <c r="H60" i="18"/>
  <c r="J60" i="18"/>
  <c r="I60" i="18" s="1"/>
  <c r="W79" i="18"/>
  <c r="L60" i="18"/>
  <c r="AE78" i="18"/>
  <c r="E71" i="12"/>
  <c r="D71" i="12"/>
  <c r="B43" i="12"/>
  <c r="K69" i="12" l="1"/>
  <c r="J69" i="12"/>
  <c r="Z48" i="1"/>
  <c r="AA48" i="1" s="1"/>
  <c r="AH47" i="1"/>
  <c r="AP60" i="1"/>
  <c r="AQ60" i="1" s="1"/>
  <c r="AX59" i="1"/>
  <c r="AC79" i="18"/>
  <c r="AA80" i="18" s="1"/>
  <c r="AB79" i="18"/>
  <c r="AD79" i="18"/>
  <c r="X79" i="18"/>
  <c r="M60" i="18"/>
  <c r="K61" i="18" s="1"/>
  <c r="Z79" i="18"/>
  <c r="Y79" i="18" s="1"/>
  <c r="E72" i="12"/>
  <c r="D72" i="12"/>
  <c r="K70" i="12" l="1"/>
  <c r="J70" i="12"/>
  <c r="AG48" i="1"/>
  <c r="AV60" i="1"/>
  <c r="AT61" i="1" s="1"/>
  <c r="AU60" i="1"/>
  <c r="AE48" i="1"/>
  <c r="AF48" i="1" s="1"/>
  <c r="AD49" i="1" s="1"/>
  <c r="AW60" i="1"/>
  <c r="AS60" i="1"/>
  <c r="AR60" i="1" s="1"/>
  <c r="AC48" i="1"/>
  <c r="AB48" i="1" s="1"/>
  <c r="G61" i="18"/>
  <c r="N61" i="18" s="1"/>
  <c r="AE79" i="18"/>
  <c r="O60" i="18"/>
  <c r="W80" i="18"/>
  <c r="X80" i="18" s="1"/>
  <c r="AD80" i="18"/>
  <c r="Z80" i="18"/>
  <c r="Y80" i="18" s="1"/>
  <c r="E73" i="12"/>
  <c r="D73" i="12"/>
  <c r="H45" i="12"/>
  <c r="K71" i="12" l="1"/>
  <c r="J71" i="12"/>
  <c r="AX60" i="1"/>
  <c r="Z49" i="1"/>
  <c r="AG49" i="1" s="1"/>
  <c r="AH48" i="1"/>
  <c r="AP61" i="1"/>
  <c r="J61" i="18"/>
  <c r="I61" i="18" s="1"/>
  <c r="H61" i="18"/>
  <c r="AB80" i="18"/>
  <c r="AC80" i="18"/>
  <c r="AA81" i="18" s="1"/>
  <c r="L61" i="18"/>
  <c r="E74" i="12"/>
  <c r="D74" i="12"/>
  <c r="B44" i="12"/>
  <c r="K72" i="12" l="1"/>
  <c r="J72" i="12"/>
  <c r="AA49" i="1"/>
  <c r="AU61" i="1"/>
  <c r="AV61" i="1"/>
  <c r="AT62" i="1" s="1"/>
  <c r="AW61" i="1"/>
  <c r="AS61" i="1"/>
  <c r="AR61" i="1" s="1"/>
  <c r="AQ61" i="1"/>
  <c r="AE49" i="1"/>
  <c r="AF49" i="1" s="1"/>
  <c r="AD50" i="1" s="1"/>
  <c r="AC49" i="1"/>
  <c r="AB49" i="1" s="1"/>
  <c r="AE80" i="18"/>
  <c r="M61" i="18"/>
  <c r="K62" i="18" s="1"/>
  <c r="W81" i="18"/>
  <c r="X81" i="18" s="1"/>
  <c r="E75" i="12"/>
  <c r="D75" i="12"/>
  <c r="K73" i="12" l="1"/>
  <c r="J73" i="12"/>
  <c r="AP62" i="1"/>
  <c r="AS62" i="1" s="1"/>
  <c r="AR62" i="1" s="1"/>
  <c r="Z50" i="1"/>
  <c r="AG50" i="1" s="1"/>
  <c r="AH49" i="1"/>
  <c r="AX61" i="1"/>
  <c r="Z81" i="18"/>
  <c r="Y81" i="18" s="1"/>
  <c r="G62" i="18"/>
  <c r="J62" i="18" s="1"/>
  <c r="I62" i="18" s="1"/>
  <c r="AC81" i="18"/>
  <c r="AA82" i="18" s="1"/>
  <c r="AB81" i="18"/>
  <c r="AD81" i="18"/>
  <c r="O61" i="18"/>
  <c r="E76" i="12"/>
  <c r="D76" i="12"/>
  <c r="H46" i="12"/>
  <c r="B45" i="12"/>
  <c r="K74" i="12" l="1"/>
  <c r="J74" i="12"/>
  <c r="AQ62" i="1"/>
  <c r="AW62" i="1"/>
  <c r="AA50" i="1"/>
  <c r="AE50" i="1"/>
  <c r="AF50" i="1" s="1"/>
  <c r="AD51" i="1" s="1"/>
  <c r="AC50" i="1"/>
  <c r="AB50" i="1" s="1"/>
  <c r="AV62" i="1"/>
  <c r="AT63" i="1" s="1"/>
  <c r="AU62" i="1"/>
  <c r="L62" i="18"/>
  <c r="AE81" i="18"/>
  <c r="W82" i="18"/>
  <c r="Z82" i="18" s="1"/>
  <c r="Y82" i="18" s="1"/>
  <c r="H62" i="18"/>
  <c r="N62" i="18"/>
  <c r="E77" i="12"/>
  <c r="D77" i="12"/>
  <c r="K75" i="12" l="1"/>
  <c r="J75" i="12"/>
  <c r="AP63" i="1"/>
  <c r="AS63" i="1" s="1"/>
  <c r="AR63" i="1" s="1"/>
  <c r="Z51" i="1"/>
  <c r="AG51" i="1" s="1"/>
  <c r="AX62" i="1"/>
  <c r="AH50" i="1"/>
  <c r="X82" i="18"/>
  <c r="AD82" i="18"/>
  <c r="AB82" i="18"/>
  <c r="AC82" i="18"/>
  <c r="AA83" i="18" s="1"/>
  <c r="M62" i="18"/>
  <c r="K63" i="18" s="1"/>
  <c r="E78" i="12"/>
  <c r="D78" i="12"/>
  <c r="B46" i="12"/>
  <c r="K76" i="12" l="1"/>
  <c r="J76" i="12"/>
  <c r="AW63" i="1"/>
  <c r="AC51" i="1"/>
  <c r="AB51" i="1" s="1"/>
  <c r="AA51" i="1"/>
  <c r="AE51" i="1"/>
  <c r="AU63" i="1"/>
  <c r="AV63" i="1"/>
  <c r="AT64" i="1" s="1"/>
  <c r="AQ63" i="1"/>
  <c r="O62" i="18"/>
  <c r="G63" i="18"/>
  <c r="H63" i="18" s="1"/>
  <c r="Z83" i="18"/>
  <c r="Y83" i="18" s="1"/>
  <c r="W83" i="18"/>
  <c r="AE82" i="18"/>
  <c r="E79" i="12"/>
  <c r="D79" i="12"/>
  <c r="H47" i="12"/>
  <c r="K77" i="12" l="1"/>
  <c r="J77" i="12"/>
  <c r="AP64" i="1"/>
  <c r="AS64" i="1" s="1"/>
  <c r="AR64" i="1" s="1"/>
  <c r="AX63" i="1"/>
  <c r="AF51" i="1"/>
  <c r="AD52" i="1" s="1"/>
  <c r="J63" i="18"/>
  <c r="I63" i="18" s="1"/>
  <c r="N63" i="18"/>
  <c r="AC83" i="18"/>
  <c r="AA84" i="18" s="1"/>
  <c r="AB83" i="18"/>
  <c r="AD83" i="18"/>
  <c r="X83" i="18"/>
  <c r="L63" i="18"/>
  <c r="E80" i="12"/>
  <c r="D80" i="12"/>
  <c r="K78" i="12" l="1"/>
  <c r="J78" i="12"/>
  <c r="AQ64" i="1"/>
  <c r="AW64" i="1"/>
  <c r="Z52" i="1"/>
  <c r="AC52" i="1" s="1"/>
  <c r="AB52" i="1" s="1"/>
  <c r="AH51" i="1"/>
  <c r="AU64" i="1"/>
  <c r="AV64" i="1"/>
  <c r="AT65" i="1" s="1"/>
  <c r="AE83" i="18"/>
  <c r="M63" i="18"/>
  <c r="K64" i="18" s="1"/>
  <c r="W84" i="18"/>
  <c r="AD84" i="18" s="1"/>
  <c r="Z84" i="18"/>
  <c r="Y84" i="18" s="1"/>
  <c r="E81" i="12"/>
  <c r="D81" i="12"/>
  <c r="B47" i="12"/>
  <c r="K79" i="12" l="1"/>
  <c r="J79" i="12"/>
  <c r="AG52" i="1"/>
  <c r="AP65" i="1"/>
  <c r="AW65" i="1" s="1"/>
  <c r="AX64" i="1"/>
  <c r="AE52" i="1"/>
  <c r="AF52" i="1" s="1"/>
  <c r="AD53" i="1" s="1"/>
  <c r="AA52" i="1"/>
  <c r="X84" i="18"/>
  <c r="G64" i="18"/>
  <c r="N64" i="18" s="1"/>
  <c r="O63" i="18"/>
  <c r="AB84" i="18"/>
  <c r="AC84" i="18"/>
  <c r="AA85" i="18" s="1"/>
  <c r="E82" i="12"/>
  <c r="D82" i="12"/>
  <c r="H48" i="12"/>
  <c r="K80" i="12" l="1"/>
  <c r="J80" i="12"/>
  <c r="AQ65" i="1"/>
  <c r="AS65" i="1"/>
  <c r="AR65" i="1" s="1"/>
  <c r="Z53" i="1"/>
  <c r="AG53" i="1" s="1"/>
  <c r="AH52" i="1"/>
  <c r="AU65" i="1"/>
  <c r="AV65" i="1"/>
  <c r="AT66" i="1" s="1"/>
  <c r="W85" i="18"/>
  <c r="Z85" i="18" s="1"/>
  <c r="Y85" i="18" s="1"/>
  <c r="AE84" i="18"/>
  <c r="L64" i="18"/>
  <c r="H64" i="18"/>
  <c r="J64" i="18"/>
  <c r="I64" i="18" s="1"/>
  <c r="E83" i="12"/>
  <c r="D83" i="12"/>
  <c r="K81" i="12" l="1"/>
  <c r="J81" i="12"/>
  <c r="AP66" i="1"/>
  <c r="AW66" i="1" s="1"/>
  <c r="AE53" i="1"/>
  <c r="AF53" i="1" s="1"/>
  <c r="AD54" i="1" s="1"/>
  <c r="AX65" i="1"/>
  <c r="AA53" i="1"/>
  <c r="AC53" i="1"/>
  <c r="AB53" i="1" s="1"/>
  <c r="X85" i="18"/>
  <c r="M64" i="18"/>
  <c r="K65" i="18" s="1"/>
  <c r="AC85" i="18"/>
  <c r="AA86" i="18" s="1"/>
  <c r="AB85" i="18"/>
  <c r="AD85" i="18"/>
  <c r="E84" i="12"/>
  <c r="D84" i="12"/>
  <c r="B48" i="12"/>
  <c r="K82" i="12" l="1"/>
  <c r="J82" i="12"/>
  <c r="AQ66" i="1"/>
  <c r="Z54" i="1"/>
  <c r="AC54" i="1" s="1"/>
  <c r="AB54" i="1" s="1"/>
  <c r="AH53" i="1"/>
  <c r="AV66" i="1"/>
  <c r="AT67" i="1" s="1"/>
  <c r="AU66" i="1"/>
  <c r="AS66" i="1"/>
  <c r="AR66" i="1" s="1"/>
  <c r="W86" i="18"/>
  <c r="Z86" i="18" s="1"/>
  <c r="Y86" i="18" s="1"/>
  <c r="G65" i="18"/>
  <c r="N65" i="18" s="1"/>
  <c r="AE85" i="18"/>
  <c r="O64" i="18"/>
  <c r="E85" i="12"/>
  <c r="D85" i="12"/>
  <c r="H49" i="12"/>
  <c r="K83" i="12" l="1"/>
  <c r="J83" i="12"/>
  <c r="AG54" i="1"/>
  <c r="AX66" i="1"/>
  <c r="AA54" i="1"/>
  <c r="AP67" i="1"/>
  <c r="AS67" i="1" s="1"/>
  <c r="AR67" i="1" s="1"/>
  <c r="AE54" i="1"/>
  <c r="AF54" i="1" s="1"/>
  <c r="AD55" i="1" s="1"/>
  <c r="AD86" i="18"/>
  <c r="J65" i="18"/>
  <c r="I65" i="18" s="1"/>
  <c r="H65" i="18"/>
  <c r="L65" i="18"/>
  <c r="AB86" i="18"/>
  <c r="AC86" i="18"/>
  <c r="AA87" i="18" s="1"/>
  <c r="X86" i="18"/>
  <c r="E86" i="12"/>
  <c r="D86" i="12"/>
  <c r="B49" i="12"/>
  <c r="K84" i="12" l="1"/>
  <c r="J84" i="12"/>
  <c r="AH54" i="1"/>
  <c r="AU67" i="1"/>
  <c r="AV67" i="1"/>
  <c r="AT68" i="1" s="1"/>
  <c r="Z55" i="1"/>
  <c r="AG55" i="1" s="1"/>
  <c r="AW67" i="1"/>
  <c r="AQ67" i="1"/>
  <c r="W87" i="18"/>
  <c r="Z87" i="18" s="1"/>
  <c r="Y87" i="18" s="1"/>
  <c r="AE86" i="18"/>
  <c r="M65" i="18"/>
  <c r="K66" i="18" s="1"/>
  <c r="E87" i="12"/>
  <c r="D87" i="12"/>
  <c r="K85" i="12" l="1"/>
  <c r="J85" i="12"/>
  <c r="AA55" i="1"/>
  <c r="AC55" i="1"/>
  <c r="AB55" i="1" s="1"/>
  <c r="AX67" i="1"/>
  <c r="AP68" i="1"/>
  <c r="AQ68" i="1" s="1"/>
  <c r="AE55" i="1"/>
  <c r="AF55" i="1" s="1"/>
  <c r="AD56" i="1" s="1"/>
  <c r="X87" i="18"/>
  <c r="G66" i="18"/>
  <c r="H66" i="18" s="1"/>
  <c r="O65" i="18"/>
  <c r="AC87" i="18"/>
  <c r="AA88" i="18" s="1"/>
  <c r="AB87" i="18"/>
  <c r="AD87" i="18"/>
  <c r="E88" i="12"/>
  <c r="D88" i="12"/>
  <c r="H50" i="12"/>
  <c r="K86" i="12" l="1"/>
  <c r="J86" i="12"/>
  <c r="AW68" i="1"/>
  <c r="AU68" i="1"/>
  <c r="AV68" i="1"/>
  <c r="AT69" i="1" s="1"/>
  <c r="AH55" i="1"/>
  <c r="Z56" i="1"/>
  <c r="AG56" i="1" s="1"/>
  <c r="AS68" i="1"/>
  <c r="AR68" i="1" s="1"/>
  <c r="AE87" i="18"/>
  <c r="J66" i="18"/>
  <c r="I66" i="18" s="1"/>
  <c r="L66" i="18"/>
  <c r="W88" i="18"/>
  <c r="AD88" i="18" s="1"/>
  <c r="N66" i="18"/>
  <c r="E89" i="12"/>
  <c r="D89" i="12"/>
  <c r="B50" i="12"/>
  <c r="K87" i="12" l="1"/>
  <c r="J87" i="12"/>
  <c r="AA56" i="1"/>
  <c r="AC56" i="1"/>
  <c r="AB56" i="1" s="1"/>
  <c r="AE56" i="1"/>
  <c r="AP69" i="1"/>
  <c r="AX68" i="1"/>
  <c r="X88" i="18"/>
  <c r="Z88" i="18"/>
  <c r="Y88" i="18" s="1"/>
  <c r="M66" i="18"/>
  <c r="K67" i="18" s="1"/>
  <c r="AB88" i="18"/>
  <c r="AC88" i="18"/>
  <c r="AA89" i="18" s="1"/>
  <c r="E90" i="12"/>
  <c r="D90" i="12"/>
  <c r="H51" i="12"/>
  <c r="K88" i="12" l="1"/>
  <c r="J88" i="12"/>
  <c r="AU69" i="1"/>
  <c r="AV69" i="1"/>
  <c r="AT70" i="1" s="1"/>
  <c r="AW69" i="1"/>
  <c r="AQ69" i="1"/>
  <c r="AS69" i="1"/>
  <c r="AR69" i="1" s="1"/>
  <c r="AF56" i="1"/>
  <c r="AD57" i="1" s="1"/>
  <c r="W89" i="18"/>
  <c r="Z89" i="18" s="1"/>
  <c r="Y89" i="18" s="1"/>
  <c r="G67" i="18"/>
  <c r="N67" i="18" s="1"/>
  <c r="AE88" i="18"/>
  <c r="O66" i="18"/>
  <c r="E91" i="12"/>
  <c r="D91" i="12"/>
  <c r="K89" i="12" l="1"/>
  <c r="J89" i="12"/>
  <c r="AP70" i="1"/>
  <c r="AW70" i="1" s="1"/>
  <c r="AX69" i="1"/>
  <c r="Z57" i="1"/>
  <c r="AG57" i="1" s="1"/>
  <c r="AH56" i="1"/>
  <c r="X89" i="18"/>
  <c r="H67" i="18"/>
  <c r="J67" i="18"/>
  <c r="I67" i="18" s="1"/>
  <c r="L67" i="18"/>
  <c r="M67" i="18" s="1"/>
  <c r="K68" i="18" s="1"/>
  <c r="AC89" i="18"/>
  <c r="AA90" i="18" s="1"/>
  <c r="AB89" i="18"/>
  <c r="AD89" i="18"/>
  <c r="E92" i="12"/>
  <c r="D92" i="12"/>
  <c r="B51" i="12"/>
  <c r="K90" i="12" l="1"/>
  <c r="J90" i="12"/>
  <c r="AQ70" i="1"/>
  <c r="AS70" i="1"/>
  <c r="AR70" i="1" s="1"/>
  <c r="AA57" i="1"/>
  <c r="AC57" i="1"/>
  <c r="AB57" i="1" s="1"/>
  <c r="AE57" i="1"/>
  <c r="AU70" i="1"/>
  <c r="AV70" i="1"/>
  <c r="AT71" i="1" s="1"/>
  <c r="G68" i="18"/>
  <c r="N68" i="18" s="1"/>
  <c r="AE89" i="18"/>
  <c r="W90" i="18"/>
  <c r="Z90" i="18"/>
  <c r="Y90" i="18" s="1"/>
  <c r="O67" i="18"/>
  <c r="E93" i="12"/>
  <c r="D93" i="12"/>
  <c r="H52" i="12"/>
  <c r="K91" i="12" l="1"/>
  <c r="J91" i="12"/>
  <c r="AP71" i="1"/>
  <c r="AX70" i="1"/>
  <c r="AF57" i="1"/>
  <c r="AD58" i="1" s="1"/>
  <c r="J68" i="18"/>
  <c r="I68" i="18" s="1"/>
  <c r="AB90" i="18"/>
  <c r="AC90" i="18"/>
  <c r="AA91" i="18" s="1"/>
  <c r="X90" i="18"/>
  <c r="L68" i="18"/>
  <c r="AD90" i="18"/>
  <c r="H68" i="18"/>
  <c r="E94" i="12"/>
  <c r="D94" i="12"/>
  <c r="K92" i="12" l="1"/>
  <c r="J92" i="12"/>
  <c r="Z58" i="1"/>
  <c r="AG58" i="1" s="1"/>
  <c r="AU71" i="1"/>
  <c r="AV71" i="1"/>
  <c r="AT72" i="1" s="1"/>
  <c r="AH57" i="1"/>
  <c r="AW71" i="1"/>
  <c r="AS71" i="1"/>
  <c r="AR71" i="1" s="1"/>
  <c r="AQ71" i="1"/>
  <c r="AE90" i="18"/>
  <c r="M68" i="18"/>
  <c r="K69" i="18" s="1"/>
  <c r="W91" i="18"/>
  <c r="Z91" i="18" s="1"/>
  <c r="Y91" i="18" s="1"/>
  <c r="E95" i="12"/>
  <c r="D95" i="12"/>
  <c r="B52" i="12"/>
  <c r="K93" i="12" l="1"/>
  <c r="J93" i="12"/>
  <c r="AC58" i="1"/>
  <c r="AB58" i="1" s="1"/>
  <c r="AA58" i="1"/>
  <c r="AP72" i="1"/>
  <c r="AW72" i="1" s="1"/>
  <c r="AX71" i="1"/>
  <c r="AE58" i="1"/>
  <c r="AF58" i="1" s="1"/>
  <c r="AD59" i="1" s="1"/>
  <c r="X91" i="18"/>
  <c r="AC91" i="18"/>
  <c r="AA92" i="18" s="1"/>
  <c r="AB91" i="18"/>
  <c r="AD91" i="18"/>
  <c r="G69" i="18"/>
  <c r="H69" i="18" s="1"/>
  <c r="O68" i="18"/>
  <c r="E96" i="12"/>
  <c r="D96" i="12"/>
  <c r="H53" i="12"/>
  <c r="K94" i="12" l="1"/>
  <c r="J94" i="12"/>
  <c r="AS72" i="1"/>
  <c r="AR72" i="1" s="1"/>
  <c r="AQ72" i="1"/>
  <c r="Z59" i="1"/>
  <c r="AC59" i="1" s="1"/>
  <c r="AB59" i="1" s="1"/>
  <c r="AH58" i="1"/>
  <c r="AU72" i="1"/>
  <c r="AV72" i="1"/>
  <c r="AT73" i="1" s="1"/>
  <c r="L69" i="18"/>
  <c r="M69" i="18" s="1"/>
  <c r="K70" i="18" s="1"/>
  <c r="J69" i="18"/>
  <c r="I69" i="18" s="1"/>
  <c r="AE91" i="18"/>
  <c r="N69" i="18"/>
  <c r="W92" i="18"/>
  <c r="AD92" i="18" s="1"/>
  <c r="E97" i="12"/>
  <c r="D97" i="12"/>
  <c r="B53" i="12"/>
  <c r="K95" i="12" l="1"/>
  <c r="J95" i="12"/>
  <c r="AP73" i="1"/>
  <c r="AS73" i="1" s="1"/>
  <c r="AR73" i="1" s="1"/>
  <c r="AE59" i="1"/>
  <c r="AF59" i="1" s="1"/>
  <c r="AD60" i="1" s="1"/>
  <c r="AX72" i="1"/>
  <c r="AA59" i="1"/>
  <c r="AG59" i="1"/>
  <c r="G70" i="18"/>
  <c r="H70" i="18" s="1"/>
  <c r="AB92" i="18"/>
  <c r="AC92" i="18"/>
  <c r="AA93" i="18" s="1"/>
  <c r="Z92" i="18"/>
  <c r="Y92" i="18" s="1"/>
  <c r="X92" i="18"/>
  <c r="O69" i="18"/>
  <c r="E98" i="12"/>
  <c r="D98" i="12"/>
  <c r="K96" i="12" l="1"/>
  <c r="J96" i="12"/>
  <c r="AW73" i="1"/>
  <c r="AQ73" i="1"/>
  <c r="Z60" i="1"/>
  <c r="AG60" i="1" s="1"/>
  <c r="AH59" i="1"/>
  <c r="AU73" i="1"/>
  <c r="AV73" i="1"/>
  <c r="AT74" i="1" s="1"/>
  <c r="W93" i="18"/>
  <c r="Z93" i="18" s="1"/>
  <c r="Y93" i="18" s="1"/>
  <c r="J70" i="18"/>
  <c r="I70" i="18" s="1"/>
  <c r="AE92" i="18"/>
  <c r="L70" i="18"/>
  <c r="M70" i="18" s="1"/>
  <c r="K71" i="18" s="1"/>
  <c r="N70" i="18"/>
  <c r="E99" i="12"/>
  <c r="D99" i="12"/>
  <c r="H54" i="12"/>
  <c r="B54" i="12"/>
  <c r="K97" i="12" l="1"/>
  <c r="J97" i="12"/>
  <c r="AA60" i="1"/>
  <c r="AC60" i="1"/>
  <c r="AB60" i="1" s="1"/>
  <c r="AP74" i="1"/>
  <c r="AQ74" i="1" s="1"/>
  <c r="AX73" i="1"/>
  <c r="AE60" i="1"/>
  <c r="X93" i="18"/>
  <c r="G71" i="18"/>
  <c r="N71" i="18" s="1"/>
  <c r="O70" i="18"/>
  <c r="AC93" i="18"/>
  <c r="AA94" i="18" s="1"/>
  <c r="AB93" i="18"/>
  <c r="AD93" i="18"/>
  <c r="E100" i="12"/>
  <c r="D100" i="12"/>
  <c r="K98" i="12" l="1"/>
  <c r="J98" i="12"/>
  <c r="AW74" i="1"/>
  <c r="AF60" i="1"/>
  <c r="AD61" i="1" s="1"/>
  <c r="AV74" i="1"/>
  <c r="AT75" i="1" s="1"/>
  <c r="AU74" i="1"/>
  <c r="AS74" i="1"/>
  <c r="AR74" i="1" s="1"/>
  <c r="J71" i="18"/>
  <c r="I71" i="18" s="1"/>
  <c r="H71" i="18"/>
  <c r="AE93" i="18"/>
  <c r="W94" i="18"/>
  <c r="AD94" i="18" s="1"/>
  <c r="L71" i="18"/>
  <c r="M71" i="18" s="1"/>
  <c r="K72" i="18" s="1"/>
  <c r="E101" i="12"/>
  <c r="D101" i="12"/>
  <c r="H55" i="12"/>
  <c r="K99" i="12" l="1"/>
  <c r="J99" i="12"/>
  <c r="AX74" i="1"/>
  <c r="Z61" i="1"/>
  <c r="AG61" i="1" s="1"/>
  <c r="AP75" i="1"/>
  <c r="AQ75" i="1" s="1"/>
  <c r="AH60" i="1"/>
  <c r="Z94" i="18"/>
  <c r="Y94" i="18" s="1"/>
  <c r="O71" i="18"/>
  <c r="G72" i="18"/>
  <c r="J72" i="18" s="1"/>
  <c r="I72" i="18" s="1"/>
  <c r="AB94" i="18"/>
  <c r="AC94" i="18"/>
  <c r="AA95" i="18" s="1"/>
  <c r="X94" i="18"/>
  <c r="E102" i="12"/>
  <c r="D102" i="12"/>
  <c r="B55" i="12"/>
  <c r="K100" i="12" l="1"/>
  <c r="J100" i="12"/>
  <c r="AW75" i="1"/>
  <c r="AE61" i="1"/>
  <c r="AU75" i="1"/>
  <c r="AV75" i="1"/>
  <c r="AT76" i="1" s="1"/>
  <c r="AC61" i="1"/>
  <c r="AB61" i="1" s="1"/>
  <c r="AS75" i="1"/>
  <c r="AR75" i="1" s="1"/>
  <c r="AA61" i="1"/>
  <c r="AE94" i="18"/>
  <c r="H72" i="18"/>
  <c r="W95" i="18"/>
  <c r="Z95" i="18" s="1"/>
  <c r="Y95" i="18" s="1"/>
  <c r="L72" i="18"/>
  <c r="M72" i="18" s="1"/>
  <c r="K73" i="18" s="1"/>
  <c r="N72" i="18"/>
  <c r="E103" i="12"/>
  <c r="D103" i="12"/>
  <c r="K101" i="12" l="1"/>
  <c r="J101" i="12"/>
  <c r="AP76" i="1"/>
  <c r="AW76" i="1" s="1"/>
  <c r="AX75" i="1"/>
  <c r="AF61" i="1"/>
  <c r="AD62" i="1" s="1"/>
  <c r="G73" i="18"/>
  <c r="N73" i="18" s="1"/>
  <c r="AC95" i="18"/>
  <c r="AA96" i="18" s="1"/>
  <c r="AB95" i="18"/>
  <c r="AD95" i="18"/>
  <c r="X95" i="18"/>
  <c r="O72" i="18"/>
  <c r="E104" i="12"/>
  <c r="D104" i="12"/>
  <c r="H56" i="12"/>
  <c r="K102" i="12" l="1"/>
  <c r="J102" i="12"/>
  <c r="AU76" i="1"/>
  <c r="AV76" i="1"/>
  <c r="AT77" i="1" s="1"/>
  <c r="Z62" i="1"/>
  <c r="AC62" i="1" s="1"/>
  <c r="AB62" i="1" s="1"/>
  <c r="AH61" i="1"/>
  <c r="AQ76" i="1"/>
  <c r="AS76" i="1"/>
  <c r="AR76" i="1" s="1"/>
  <c r="J73" i="18"/>
  <c r="I73" i="18" s="1"/>
  <c r="H73" i="18"/>
  <c r="W96" i="18"/>
  <c r="AD96" i="18" s="1"/>
  <c r="AE95" i="18"/>
  <c r="L73" i="18"/>
  <c r="E105" i="12"/>
  <c r="D105" i="12"/>
  <c r="B56" i="12"/>
  <c r="K103" i="12" l="1"/>
  <c r="J103" i="12"/>
  <c r="AG62" i="1"/>
  <c r="AE62" i="1"/>
  <c r="AP77" i="1"/>
  <c r="AS77" i="1" s="1"/>
  <c r="AR77" i="1" s="1"/>
  <c r="AA62" i="1"/>
  <c r="AX76" i="1"/>
  <c r="M73" i="18"/>
  <c r="K74" i="18" s="1"/>
  <c r="AB96" i="18"/>
  <c r="AC96" i="18"/>
  <c r="AA97" i="18" s="1"/>
  <c r="Z96" i="18"/>
  <c r="Y96" i="18" s="1"/>
  <c r="X96" i="18"/>
  <c r="E106" i="12"/>
  <c r="D106" i="12"/>
  <c r="H57" i="12"/>
  <c r="K104" i="12" l="1"/>
  <c r="J104" i="12"/>
  <c r="AU77" i="1"/>
  <c r="AV77" i="1"/>
  <c r="AT78" i="1" s="1"/>
  <c r="AQ77" i="1"/>
  <c r="AW77" i="1"/>
  <c r="AF62" i="1"/>
  <c r="AD63" i="1" s="1"/>
  <c r="W97" i="18"/>
  <c r="Z97" i="18" s="1"/>
  <c r="Y97" i="18" s="1"/>
  <c r="AE96" i="18"/>
  <c r="G74" i="18"/>
  <c r="H74" i="18" s="1"/>
  <c r="O73" i="18"/>
  <c r="E107" i="12"/>
  <c r="D107" i="12"/>
  <c r="B57" i="12"/>
  <c r="K105" i="12" l="1"/>
  <c r="J105" i="12"/>
  <c r="AX77" i="1"/>
  <c r="Z63" i="1"/>
  <c r="AG63" i="1" s="1"/>
  <c r="AP78" i="1"/>
  <c r="AW78" i="1" s="1"/>
  <c r="AH62" i="1"/>
  <c r="N74" i="18"/>
  <c r="X97" i="18"/>
  <c r="L74" i="18"/>
  <c r="J74" i="18"/>
  <c r="I74" i="18" s="1"/>
  <c r="AC97" i="18"/>
  <c r="AA98" i="18" s="1"/>
  <c r="AB97" i="18"/>
  <c r="AD97" i="18"/>
  <c r="E108" i="12"/>
  <c r="D108" i="12"/>
  <c r="K106" i="12" l="1"/>
  <c r="J106" i="12"/>
  <c r="AA63" i="1"/>
  <c r="AU78" i="1"/>
  <c r="AV78" i="1"/>
  <c r="AT79" i="1" s="1"/>
  <c r="AS78" i="1"/>
  <c r="AR78" i="1" s="1"/>
  <c r="AE63" i="1"/>
  <c r="AQ78" i="1"/>
  <c r="AC63" i="1"/>
  <c r="AB63" i="1" s="1"/>
  <c r="W98" i="18"/>
  <c r="Z98" i="18"/>
  <c r="Y98" i="18" s="1"/>
  <c r="AD98" i="18"/>
  <c r="AE97" i="18"/>
  <c r="M74" i="18"/>
  <c r="K75" i="18" s="1"/>
  <c r="E109" i="12"/>
  <c r="D109" i="12"/>
  <c r="H58" i="12"/>
  <c r="K107" i="12" l="1"/>
  <c r="J107" i="12"/>
  <c r="AX78" i="1"/>
  <c r="AP79" i="1"/>
  <c r="AW79" i="1" s="1"/>
  <c r="AF63" i="1"/>
  <c r="AD64" i="1" s="1"/>
  <c r="G75" i="18"/>
  <c r="J75" i="18" s="1"/>
  <c r="I75" i="18" s="1"/>
  <c r="O74" i="18"/>
  <c r="AB98" i="18"/>
  <c r="AC98" i="18"/>
  <c r="AA99" i="18" s="1"/>
  <c r="X98" i="18"/>
  <c r="E110" i="12"/>
  <c r="D110" i="12"/>
  <c r="B58" i="12"/>
  <c r="K108" i="12" l="1"/>
  <c r="J108" i="12"/>
  <c r="AS79" i="1"/>
  <c r="AR79" i="1" s="1"/>
  <c r="AQ79" i="1"/>
  <c r="Z64" i="1"/>
  <c r="AC64" i="1" s="1"/>
  <c r="AB64" i="1" s="1"/>
  <c r="AU79" i="1"/>
  <c r="AV79" i="1"/>
  <c r="AT80" i="1" s="1"/>
  <c r="AH63" i="1"/>
  <c r="N75" i="18"/>
  <c r="H75" i="18"/>
  <c r="W99" i="18"/>
  <c r="Z99" i="18" s="1"/>
  <c r="Y99" i="18" s="1"/>
  <c r="AE98" i="18"/>
  <c r="L75" i="18"/>
  <c r="M75" i="18" s="1"/>
  <c r="K76" i="18" s="1"/>
  <c r="E111" i="12"/>
  <c r="D111" i="12"/>
  <c r="H59" i="12"/>
  <c r="K109" i="12" l="1"/>
  <c r="J109" i="12"/>
  <c r="AG64" i="1"/>
  <c r="AA64" i="1"/>
  <c r="AP80" i="1"/>
  <c r="AS80" i="1" s="1"/>
  <c r="AR80" i="1" s="1"/>
  <c r="AX79" i="1"/>
  <c r="AE64" i="1"/>
  <c r="AF64" i="1" s="1"/>
  <c r="AD65" i="1" s="1"/>
  <c r="X99" i="18"/>
  <c r="O75" i="18"/>
  <c r="G76" i="18"/>
  <c r="AC99" i="18"/>
  <c r="AA100" i="18" s="1"/>
  <c r="AB99" i="18"/>
  <c r="AD99" i="18"/>
  <c r="E112" i="12"/>
  <c r="D112" i="12"/>
  <c r="K110" i="12" l="1"/>
  <c r="J110" i="12"/>
  <c r="AQ80" i="1"/>
  <c r="AW80" i="1"/>
  <c r="Z65" i="1"/>
  <c r="AA65" i="1" s="1"/>
  <c r="AH64" i="1"/>
  <c r="AU80" i="1"/>
  <c r="AV80" i="1"/>
  <c r="AT81" i="1" s="1"/>
  <c r="AE99" i="18"/>
  <c r="L76" i="18"/>
  <c r="M76" i="18" s="1"/>
  <c r="K77" i="18" s="1"/>
  <c r="W100" i="18"/>
  <c r="AD100" i="18" s="1"/>
  <c r="J76" i="18"/>
  <c r="I76" i="18" s="1"/>
  <c r="H76" i="18"/>
  <c r="N76" i="18"/>
  <c r="E113" i="12"/>
  <c r="D113" i="12"/>
  <c r="H60" i="12"/>
  <c r="B59" i="12"/>
  <c r="K111" i="12" l="1"/>
  <c r="J111" i="12"/>
  <c r="AP81" i="1"/>
  <c r="AS81" i="1" s="1"/>
  <c r="AR81" i="1" s="1"/>
  <c r="AE65" i="1"/>
  <c r="AF65" i="1" s="1"/>
  <c r="AD66" i="1" s="1"/>
  <c r="AX80" i="1"/>
  <c r="AG65" i="1"/>
  <c r="AC65" i="1"/>
  <c r="AB65" i="1" s="1"/>
  <c r="G77" i="18"/>
  <c r="J77" i="18" s="1"/>
  <c r="I77" i="18" s="1"/>
  <c r="AB100" i="18"/>
  <c r="AC100" i="18"/>
  <c r="AA101" i="18" s="1"/>
  <c r="X100" i="18"/>
  <c r="Z100" i="18"/>
  <c r="Y100" i="18" s="1"/>
  <c r="O76" i="18"/>
  <c r="E114" i="12"/>
  <c r="D114" i="12"/>
  <c r="K112" i="12" l="1"/>
  <c r="J112" i="12"/>
  <c r="AW81" i="1"/>
  <c r="Z66" i="1"/>
  <c r="AG66" i="1" s="1"/>
  <c r="AH65" i="1"/>
  <c r="AU81" i="1"/>
  <c r="AV81" i="1"/>
  <c r="AT82" i="1" s="1"/>
  <c r="AQ81" i="1"/>
  <c r="N77" i="18"/>
  <c r="H77" i="18"/>
  <c r="W101" i="18"/>
  <c r="AE100" i="18"/>
  <c r="L77" i="18"/>
  <c r="E115" i="12"/>
  <c r="D115" i="12"/>
  <c r="K113" i="12" l="1"/>
  <c r="J113" i="12"/>
  <c r="AC66" i="1"/>
  <c r="AB66" i="1" s="1"/>
  <c r="AA66" i="1"/>
  <c r="AP82" i="1"/>
  <c r="AQ82" i="1" s="1"/>
  <c r="AX81" i="1"/>
  <c r="AE66" i="1"/>
  <c r="AF66" i="1" s="1"/>
  <c r="AD67" i="1" s="1"/>
  <c r="AC101" i="18"/>
  <c r="AA102" i="18" s="1"/>
  <c r="AB101" i="18"/>
  <c r="AD101" i="18"/>
  <c r="X101" i="18"/>
  <c r="M77" i="18"/>
  <c r="K78" i="18" s="1"/>
  <c r="Z101" i="18"/>
  <c r="Y101" i="18" s="1"/>
  <c r="E116" i="12"/>
  <c r="D116" i="12"/>
  <c r="H61" i="12"/>
  <c r="B60" i="12"/>
  <c r="K114" i="12" l="1"/>
  <c r="J114" i="12"/>
  <c r="AH66" i="1"/>
  <c r="AU82" i="1"/>
  <c r="AV82" i="1"/>
  <c r="AT83" i="1" s="1"/>
  <c r="AW82" i="1"/>
  <c r="Z67" i="1"/>
  <c r="AC67" i="1" s="1"/>
  <c r="AB67" i="1" s="1"/>
  <c r="AS82" i="1"/>
  <c r="AR82" i="1" s="1"/>
  <c r="O77" i="18"/>
  <c r="G78" i="18"/>
  <c r="N78" i="18" s="1"/>
  <c r="AE101" i="18"/>
  <c r="W102" i="18"/>
  <c r="Z102" i="18"/>
  <c r="Y102" i="18" s="1"/>
  <c r="E117" i="12"/>
  <c r="D117" i="12"/>
  <c r="K115" i="12" l="1"/>
  <c r="J115" i="12"/>
  <c r="AX82" i="1"/>
  <c r="AA67" i="1"/>
  <c r="AG67" i="1"/>
  <c r="AP83" i="1"/>
  <c r="AW83" i="1" s="1"/>
  <c r="AE67" i="1"/>
  <c r="AF67" i="1" s="1"/>
  <c r="AD68" i="1" s="1"/>
  <c r="J78" i="18"/>
  <c r="I78" i="18" s="1"/>
  <c r="AB102" i="18"/>
  <c r="AC102" i="18"/>
  <c r="AA103" i="18" s="1"/>
  <c r="X102" i="18"/>
  <c r="L78" i="18"/>
  <c r="AD102" i="18"/>
  <c r="H78" i="18"/>
  <c r="E118" i="12"/>
  <c r="D118" i="12"/>
  <c r="B61" i="12"/>
  <c r="K116" i="12" l="1"/>
  <c r="J116" i="12"/>
  <c r="AS83" i="1"/>
  <c r="AR83" i="1" s="1"/>
  <c r="AQ83" i="1"/>
  <c r="AH67" i="1"/>
  <c r="AU83" i="1"/>
  <c r="AV83" i="1"/>
  <c r="AT84" i="1" s="1"/>
  <c r="Z68" i="1"/>
  <c r="AC68" i="1" s="1"/>
  <c r="AB68" i="1" s="1"/>
  <c r="AE102" i="18"/>
  <c r="M78" i="18"/>
  <c r="K79" i="18" s="1"/>
  <c r="W103" i="18"/>
  <c r="Z103" i="18" s="1"/>
  <c r="Y103" i="18" s="1"/>
  <c r="E119" i="12"/>
  <c r="D119" i="12"/>
  <c r="H62" i="12"/>
  <c r="K117" i="12" l="1"/>
  <c r="J117" i="12"/>
  <c r="AX83" i="1"/>
  <c r="AE68" i="1"/>
  <c r="AG68" i="1"/>
  <c r="AP84" i="1"/>
  <c r="AQ84" i="1" s="1"/>
  <c r="AA68" i="1"/>
  <c r="G79" i="18"/>
  <c r="H79" i="18" s="1"/>
  <c r="AC103" i="18"/>
  <c r="AA104" i="18" s="1"/>
  <c r="AB103" i="18"/>
  <c r="AD103" i="18"/>
  <c r="X103" i="18"/>
  <c r="O78" i="18"/>
  <c r="E120" i="12"/>
  <c r="D120" i="12"/>
  <c r="B62" i="12"/>
  <c r="K118" i="12" l="1"/>
  <c r="J118" i="12"/>
  <c r="AV84" i="1"/>
  <c r="AT85" i="1" s="1"/>
  <c r="AU84" i="1"/>
  <c r="AS84" i="1"/>
  <c r="AR84" i="1" s="1"/>
  <c r="AW84" i="1"/>
  <c r="AF68" i="1"/>
  <c r="AD69" i="1" s="1"/>
  <c r="J79" i="18"/>
  <c r="I79" i="18" s="1"/>
  <c r="N79" i="18"/>
  <c r="AE103" i="18"/>
  <c r="W104" i="18"/>
  <c r="X104" i="18" s="1"/>
  <c r="L79" i="18"/>
  <c r="E121" i="12"/>
  <c r="D121" i="12"/>
  <c r="H63" i="12"/>
  <c r="K119" i="12" l="1"/>
  <c r="J119" i="12"/>
  <c r="AX84" i="1"/>
  <c r="AP85" i="1"/>
  <c r="Z69" i="1"/>
  <c r="AH68" i="1"/>
  <c r="AD104" i="18"/>
  <c r="M79" i="18"/>
  <c r="K80" i="18" s="1"/>
  <c r="AB104" i="18"/>
  <c r="AC104" i="18"/>
  <c r="AA105" i="18" s="1"/>
  <c r="Z104" i="18"/>
  <c r="Y104" i="18" s="1"/>
  <c r="E122" i="12"/>
  <c r="D122" i="12"/>
  <c r="K120" i="12" l="1"/>
  <c r="J120" i="12"/>
  <c r="AU85" i="1"/>
  <c r="AV85" i="1"/>
  <c r="AT86" i="1" s="1"/>
  <c r="AS85" i="1"/>
  <c r="AR85" i="1" s="1"/>
  <c r="AE69" i="1"/>
  <c r="AF69" i="1" s="1"/>
  <c r="AD70" i="1" s="1"/>
  <c r="AC69" i="1"/>
  <c r="AB69" i="1" s="1"/>
  <c r="AA69" i="1"/>
  <c r="AG69" i="1"/>
  <c r="AW85" i="1"/>
  <c r="AQ85" i="1"/>
  <c r="W105" i="18"/>
  <c r="Z105" i="18" s="1"/>
  <c r="Y105" i="18" s="1"/>
  <c r="AE104" i="18"/>
  <c r="G80" i="18"/>
  <c r="H80" i="18" s="1"/>
  <c r="O79" i="18"/>
  <c r="E123" i="12"/>
  <c r="D123" i="12"/>
  <c r="B63" i="12"/>
  <c r="K121" i="12" l="1"/>
  <c r="J121" i="12"/>
  <c r="AP86" i="1"/>
  <c r="AW86" i="1" s="1"/>
  <c r="Z70" i="1"/>
  <c r="AC70" i="1" s="1"/>
  <c r="AB70" i="1" s="1"/>
  <c r="AH69" i="1"/>
  <c r="AX85" i="1"/>
  <c r="N80" i="18"/>
  <c r="X105" i="18"/>
  <c r="J80" i="18"/>
  <c r="I80" i="18" s="1"/>
  <c r="L80" i="18"/>
  <c r="AC105" i="18"/>
  <c r="AA106" i="18" s="1"/>
  <c r="AB105" i="18"/>
  <c r="AD105" i="18"/>
  <c r="E124" i="12"/>
  <c r="D124" i="12"/>
  <c r="H64" i="12"/>
  <c r="K122" i="12" l="1"/>
  <c r="J122" i="12"/>
  <c r="AG70" i="1"/>
  <c r="AQ86" i="1"/>
  <c r="AA70" i="1"/>
  <c r="AE70" i="1"/>
  <c r="AU86" i="1"/>
  <c r="AV86" i="1"/>
  <c r="AT87" i="1" s="1"/>
  <c r="AS86" i="1"/>
  <c r="AR86" i="1" s="1"/>
  <c r="AE105" i="18"/>
  <c r="W106" i="18"/>
  <c r="Z106" i="18"/>
  <c r="Y106" i="18" s="1"/>
  <c r="M80" i="18"/>
  <c r="K81" i="18" s="1"/>
  <c r="E125" i="12"/>
  <c r="D125" i="12"/>
  <c r="K123" i="12" l="1"/>
  <c r="J123" i="12"/>
  <c r="AX86" i="1"/>
  <c r="AP87" i="1"/>
  <c r="AS87" i="1" s="1"/>
  <c r="AR87" i="1" s="1"/>
  <c r="AF70" i="1"/>
  <c r="AD71" i="1" s="1"/>
  <c r="G81" i="18"/>
  <c r="H81" i="18" s="1"/>
  <c r="AB106" i="18"/>
  <c r="AC106" i="18"/>
  <c r="AA107" i="18" s="1"/>
  <c r="X106" i="18"/>
  <c r="AD106" i="18"/>
  <c r="O80" i="18"/>
  <c r="E126" i="12"/>
  <c r="D126" i="12"/>
  <c r="B64" i="12"/>
  <c r="K124" i="12" l="1"/>
  <c r="J124" i="12"/>
  <c r="Z71" i="1"/>
  <c r="AG71" i="1" s="1"/>
  <c r="AH70" i="1"/>
  <c r="AU87" i="1"/>
  <c r="AV87" i="1"/>
  <c r="AT88" i="1" s="1"/>
  <c r="AW87" i="1"/>
  <c r="AQ87" i="1"/>
  <c r="J81" i="18"/>
  <c r="I81" i="18" s="1"/>
  <c r="N81" i="18"/>
  <c r="AE106" i="18"/>
  <c r="W107" i="18"/>
  <c r="X107" i="18" s="1"/>
  <c r="L81" i="18"/>
  <c r="E127" i="12"/>
  <c r="D127" i="12"/>
  <c r="H65" i="12"/>
  <c r="K125" i="12" l="1"/>
  <c r="J125" i="12"/>
  <c r="AC71" i="1"/>
  <c r="AB71" i="1" s="1"/>
  <c r="AX87" i="1"/>
  <c r="AE71" i="1"/>
  <c r="AF71" i="1" s="1"/>
  <c r="AD72" i="1" s="1"/>
  <c r="AP88" i="1"/>
  <c r="AS88" i="1" s="1"/>
  <c r="AR88" i="1" s="1"/>
  <c r="AA71" i="1"/>
  <c r="Z107" i="18"/>
  <c r="Y107" i="18" s="1"/>
  <c r="M81" i="18"/>
  <c r="K82" i="18" s="1"/>
  <c r="AC107" i="18"/>
  <c r="AA108" i="18" s="1"/>
  <c r="AB107" i="18"/>
  <c r="AD107" i="18"/>
  <c r="E128" i="12"/>
  <c r="D128" i="12"/>
  <c r="B65" i="12"/>
  <c r="K126" i="12" l="1"/>
  <c r="J126" i="12"/>
  <c r="AQ88" i="1"/>
  <c r="AH71" i="1"/>
  <c r="AU88" i="1"/>
  <c r="AV88" i="1"/>
  <c r="AT89" i="1" s="1"/>
  <c r="Z72" i="1"/>
  <c r="AG72" i="1" s="1"/>
  <c r="AW88" i="1"/>
  <c r="AE107" i="18"/>
  <c r="W108" i="18"/>
  <c r="AD108" i="18"/>
  <c r="Z108" i="18"/>
  <c r="Y108" i="18" s="1"/>
  <c r="G82" i="18"/>
  <c r="O81" i="18"/>
  <c r="E129" i="12"/>
  <c r="D129" i="12"/>
  <c r="K127" i="12" l="1"/>
  <c r="J127" i="12"/>
  <c r="AA72" i="1"/>
  <c r="AC72" i="1"/>
  <c r="AB72" i="1" s="1"/>
  <c r="AP89" i="1"/>
  <c r="AS89" i="1" s="1"/>
  <c r="AR89" i="1" s="1"/>
  <c r="AX88" i="1"/>
  <c r="AE72" i="1"/>
  <c r="L82" i="18"/>
  <c r="M82" i="18" s="1"/>
  <c r="K83" i="18" s="1"/>
  <c r="H82" i="18"/>
  <c r="N82" i="18"/>
  <c r="AB108" i="18"/>
  <c r="AC108" i="18"/>
  <c r="AA109" i="18" s="1"/>
  <c r="J82" i="18"/>
  <c r="I82" i="18" s="1"/>
  <c r="X108" i="18"/>
  <c r="E130" i="12"/>
  <c r="D130" i="12"/>
  <c r="H66" i="12"/>
  <c r="K128" i="12" l="1"/>
  <c r="J128" i="12"/>
  <c r="AQ89" i="1"/>
  <c r="AW89" i="1"/>
  <c r="AF72" i="1"/>
  <c r="AD73" i="1" s="1"/>
  <c r="AU89" i="1"/>
  <c r="AV89" i="1"/>
  <c r="AT90" i="1" s="1"/>
  <c r="AE108" i="18"/>
  <c r="G83" i="18"/>
  <c r="N83" i="18" s="1"/>
  <c r="Z109" i="18"/>
  <c r="Y109" i="18" s="1"/>
  <c r="W109" i="18"/>
  <c r="O82" i="18"/>
  <c r="E131" i="12"/>
  <c r="D131" i="12"/>
  <c r="B66" i="12"/>
  <c r="K129" i="12" l="1"/>
  <c r="J129" i="12"/>
  <c r="AP90" i="1"/>
  <c r="AQ90" i="1" s="1"/>
  <c r="AX89" i="1"/>
  <c r="Z73" i="1"/>
  <c r="AA73" i="1" s="1"/>
  <c r="AH72" i="1"/>
  <c r="H83" i="18"/>
  <c r="J83" i="18"/>
  <c r="I83" i="18" s="1"/>
  <c r="AC109" i="18"/>
  <c r="AA110" i="18" s="1"/>
  <c r="AB109" i="18"/>
  <c r="AD109" i="18"/>
  <c r="X109" i="18"/>
  <c r="L83" i="18"/>
  <c r="M83" i="18" s="1"/>
  <c r="K84" i="18" s="1"/>
  <c r="E132" i="12"/>
  <c r="D132" i="12"/>
  <c r="H67" i="12"/>
  <c r="K130" i="12" l="1"/>
  <c r="J130" i="12"/>
  <c r="AE73" i="1"/>
  <c r="AU90" i="1"/>
  <c r="AV90" i="1"/>
  <c r="AT91" i="1" s="1"/>
  <c r="AC73" i="1"/>
  <c r="AB73" i="1" s="1"/>
  <c r="AW90" i="1"/>
  <c r="AG73" i="1"/>
  <c r="AS90" i="1"/>
  <c r="AR90" i="1" s="1"/>
  <c r="W110" i="18"/>
  <c r="G84" i="18"/>
  <c r="N84" i="18" s="1"/>
  <c r="O83" i="18"/>
  <c r="AE109" i="18"/>
  <c r="E133" i="12"/>
  <c r="D133" i="12"/>
  <c r="K131" i="12" l="1"/>
  <c r="J131" i="12"/>
  <c r="AP91" i="1"/>
  <c r="AQ91" i="1" s="1"/>
  <c r="AX90" i="1"/>
  <c r="AF73" i="1"/>
  <c r="AD74" i="1" s="1"/>
  <c r="J84" i="18"/>
  <c r="I84" i="18" s="1"/>
  <c r="H84" i="18"/>
  <c r="AB110" i="18"/>
  <c r="AC110" i="18"/>
  <c r="AA111" i="18" s="1"/>
  <c r="X110" i="18"/>
  <c r="L84" i="18"/>
  <c r="AD110" i="18"/>
  <c r="Z110" i="18"/>
  <c r="Y110" i="18" s="1"/>
  <c r="E134" i="12"/>
  <c r="D134" i="12"/>
  <c r="B67" i="12"/>
  <c r="K132" i="12" l="1"/>
  <c r="J132" i="12"/>
  <c r="Z74" i="1"/>
  <c r="AC74" i="1" s="1"/>
  <c r="AB74" i="1" s="1"/>
  <c r="AU91" i="1"/>
  <c r="AV91" i="1"/>
  <c r="AT92" i="1" s="1"/>
  <c r="AS91" i="1"/>
  <c r="AR91" i="1" s="1"/>
  <c r="AW91" i="1"/>
  <c r="AH73" i="1"/>
  <c r="AE110" i="18"/>
  <c r="M84" i="18"/>
  <c r="K85" i="18" s="1"/>
  <c r="Z111" i="18"/>
  <c r="Y111" i="18" s="1"/>
  <c r="X111" i="18"/>
  <c r="W111" i="18"/>
  <c r="E135" i="12"/>
  <c r="D135" i="12"/>
  <c r="H68" i="12"/>
  <c r="K133" i="12" l="1"/>
  <c r="J133" i="12"/>
  <c r="AA74" i="1"/>
  <c r="AG74" i="1"/>
  <c r="AX91" i="1"/>
  <c r="AP92" i="1"/>
  <c r="AE74" i="1"/>
  <c r="AF74" i="1" s="1"/>
  <c r="AD75" i="1" s="1"/>
  <c r="O84" i="18"/>
  <c r="AC111" i="18"/>
  <c r="AA112" i="18" s="1"/>
  <c r="AB111" i="18"/>
  <c r="AD111" i="18"/>
  <c r="G85" i="18"/>
  <c r="H85" i="18" s="1"/>
  <c r="E136" i="12"/>
  <c r="D136" i="12"/>
  <c r="K134" i="12" l="1"/>
  <c r="J134" i="12"/>
  <c r="AV92" i="1"/>
  <c r="AT93" i="1" s="1"/>
  <c r="AU92" i="1"/>
  <c r="Z75" i="1"/>
  <c r="AG75" i="1" s="1"/>
  <c r="AQ92" i="1"/>
  <c r="AH74" i="1"/>
  <c r="AW92" i="1"/>
  <c r="AS92" i="1"/>
  <c r="AR92" i="1" s="1"/>
  <c r="L85" i="18"/>
  <c r="M85" i="18" s="1"/>
  <c r="K86" i="18" s="1"/>
  <c r="J85" i="18"/>
  <c r="I85" i="18" s="1"/>
  <c r="AE111" i="18"/>
  <c r="N85" i="18"/>
  <c r="W112" i="18"/>
  <c r="AD112" i="18" s="1"/>
  <c r="Z112" i="18"/>
  <c r="Y112" i="18" s="1"/>
  <c r="E137" i="12"/>
  <c r="D137" i="12"/>
  <c r="B68" i="12"/>
  <c r="K135" i="12" l="1"/>
  <c r="J135" i="12"/>
  <c r="AC75" i="1"/>
  <c r="AB75" i="1" s="1"/>
  <c r="AE75" i="1"/>
  <c r="AX92" i="1"/>
  <c r="AA75" i="1"/>
  <c r="AP93" i="1"/>
  <c r="AW93" i="1" s="1"/>
  <c r="AB112" i="18"/>
  <c r="AC112" i="18"/>
  <c r="AA113" i="18" s="1"/>
  <c r="X112" i="18"/>
  <c r="O85" i="18"/>
  <c r="G86" i="18"/>
  <c r="J86" i="18" s="1"/>
  <c r="I86" i="18" s="1"/>
  <c r="E138" i="12"/>
  <c r="D138" i="12"/>
  <c r="H69" i="12"/>
  <c r="K136" i="12" l="1"/>
  <c r="J136" i="12"/>
  <c r="AS93" i="1"/>
  <c r="AR93" i="1" s="1"/>
  <c r="AU93" i="1"/>
  <c r="AV93" i="1"/>
  <c r="AT94" i="1" s="1"/>
  <c r="AQ93" i="1"/>
  <c r="AF75" i="1"/>
  <c r="AD76" i="1" s="1"/>
  <c r="AE112" i="18"/>
  <c r="L86" i="18"/>
  <c r="H86" i="18"/>
  <c r="W113" i="18"/>
  <c r="N86" i="18"/>
  <c r="E139" i="12"/>
  <c r="D139" i="12"/>
  <c r="K137" i="12" l="1"/>
  <c r="J137" i="12"/>
  <c r="AP94" i="1"/>
  <c r="AS94" i="1" s="1"/>
  <c r="AR94" i="1" s="1"/>
  <c r="AX93" i="1"/>
  <c r="Z76" i="1"/>
  <c r="AA76" i="1" s="1"/>
  <c r="AH75" i="1"/>
  <c r="AC113" i="18"/>
  <c r="AA114" i="18" s="1"/>
  <c r="AB113" i="18"/>
  <c r="AD113" i="18"/>
  <c r="X113" i="18"/>
  <c r="Z113" i="18"/>
  <c r="Y113" i="18" s="1"/>
  <c r="M86" i="18"/>
  <c r="K87" i="18" s="1"/>
  <c r="E140" i="12"/>
  <c r="D140" i="12"/>
  <c r="B69" i="12"/>
  <c r="K138" i="12" l="1"/>
  <c r="J138" i="12"/>
  <c r="AW94" i="1"/>
  <c r="AG76" i="1"/>
  <c r="AC76" i="1"/>
  <c r="AB76" i="1" s="1"/>
  <c r="AU94" i="1"/>
  <c r="AV94" i="1"/>
  <c r="AT95" i="1" s="1"/>
  <c r="AE76" i="1"/>
  <c r="AQ94" i="1"/>
  <c r="G87" i="18"/>
  <c r="N87" i="18" s="1"/>
  <c r="AE113" i="18"/>
  <c r="O86" i="18"/>
  <c r="W114" i="18"/>
  <c r="AD114" i="18" s="1"/>
  <c r="Z114" i="18"/>
  <c r="Y114" i="18" s="1"/>
  <c r="E141" i="12"/>
  <c r="D141" i="12"/>
  <c r="H70" i="12"/>
  <c r="K139" i="12" l="1"/>
  <c r="J139" i="12"/>
  <c r="AP95" i="1"/>
  <c r="AW95" i="1" s="1"/>
  <c r="AF76" i="1"/>
  <c r="AD77" i="1" s="1"/>
  <c r="AX94" i="1"/>
  <c r="J87" i="18"/>
  <c r="I87" i="18" s="1"/>
  <c r="H87" i="18"/>
  <c r="X114" i="18"/>
  <c r="AB114" i="18"/>
  <c r="AC114" i="18"/>
  <c r="AA115" i="18" s="1"/>
  <c r="L87" i="18"/>
  <c r="E142" i="12"/>
  <c r="D142" i="12"/>
  <c r="K140" i="12" l="1"/>
  <c r="J140" i="12"/>
  <c r="Z77" i="1"/>
  <c r="AG77" i="1" s="1"/>
  <c r="AH76" i="1"/>
  <c r="AU95" i="1"/>
  <c r="AV95" i="1"/>
  <c r="AT96" i="1" s="1"/>
  <c r="AS95" i="1"/>
  <c r="AR95" i="1" s="1"/>
  <c r="AQ95" i="1"/>
  <c r="AE114" i="18"/>
  <c r="M87" i="18"/>
  <c r="K88" i="18" s="1"/>
  <c r="W115" i="18"/>
  <c r="Z115" i="18" s="1"/>
  <c r="Y115" i="18" s="1"/>
  <c r="E143" i="12"/>
  <c r="D143" i="12"/>
  <c r="H71" i="12"/>
  <c r="B70" i="12"/>
  <c r="K141" i="12" l="1"/>
  <c r="J141" i="12"/>
  <c r="AC77" i="1"/>
  <c r="AB77" i="1" s="1"/>
  <c r="AA77" i="1"/>
  <c r="AP96" i="1"/>
  <c r="AW96" i="1" s="1"/>
  <c r="AX95" i="1"/>
  <c r="AE77" i="1"/>
  <c r="AC115" i="18"/>
  <c r="AA116" i="18" s="1"/>
  <c r="AB115" i="18"/>
  <c r="X115" i="18"/>
  <c r="G88" i="18"/>
  <c r="N88" i="18" s="1"/>
  <c r="AD115" i="18"/>
  <c r="O87" i="18"/>
  <c r="E144" i="12"/>
  <c r="D144" i="12"/>
  <c r="K142" i="12" l="1"/>
  <c r="J142" i="12"/>
  <c r="AQ96" i="1"/>
  <c r="AU96" i="1"/>
  <c r="AV96" i="1"/>
  <c r="AT97" i="1" s="1"/>
  <c r="AF77" i="1"/>
  <c r="AD78" i="1" s="1"/>
  <c r="AS96" i="1"/>
  <c r="AR96" i="1" s="1"/>
  <c r="H88" i="18"/>
  <c r="J88" i="18"/>
  <c r="I88" i="18" s="1"/>
  <c r="L88" i="18"/>
  <c r="M88" i="18" s="1"/>
  <c r="K89" i="18" s="1"/>
  <c r="AE115" i="18"/>
  <c r="W116" i="18"/>
  <c r="AD116" i="18" s="1"/>
  <c r="E145" i="12"/>
  <c r="D145" i="12"/>
  <c r="B71" i="12"/>
  <c r="K143" i="12" l="1"/>
  <c r="J143" i="12"/>
  <c r="AX96" i="1"/>
  <c r="Z78" i="1"/>
  <c r="AC78" i="1" s="1"/>
  <c r="AB78" i="1" s="1"/>
  <c r="AP97" i="1"/>
  <c r="AQ97" i="1" s="1"/>
  <c r="AH77" i="1"/>
  <c r="X116" i="18"/>
  <c r="Z116" i="18"/>
  <c r="Y116" i="18" s="1"/>
  <c r="O88" i="18"/>
  <c r="AB116" i="18"/>
  <c r="AC116" i="18"/>
  <c r="AA117" i="18" s="1"/>
  <c r="G89" i="18"/>
  <c r="H89" i="18" s="1"/>
  <c r="E146" i="12"/>
  <c r="D146" i="12"/>
  <c r="H72" i="12"/>
  <c r="K144" i="12" l="1"/>
  <c r="J144" i="12"/>
  <c r="AS97" i="1"/>
  <c r="AR97" i="1" s="1"/>
  <c r="AA78" i="1"/>
  <c r="AG78" i="1"/>
  <c r="AU97" i="1"/>
  <c r="AV97" i="1"/>
  <c r="AT98" i="1" s="1"/>
  <c r="AW97" i="1"/>
  <c r="AE78" i="1"/>
  <c r="L89" i="18"/>
  <c r="W117" i="18"/>
  <c r="Z117" i="18" s="1"/>
  <c r="Y117" i="18" s="1"/>
  <c r="J89" i="18"/>
  <c r="I89" i="18" s="1"/>
  <c r="AE116" i="18"/>
  <c r="N89" i="18"/>
  <c r="E147" i="12"/>
  <c r="D147" i="12"/>
  <c r="B72" i="12"/>
  <c r="K145" i="12" l="1"/>
  <c r="J145" i="12"/>
  <c r="AP98" i="1"/>
  <c r="AW98" i="1" s="1"/>
  <c r="AF78" i="1"/>
  <c r="AD79" i="1" s="1"/>
  <c r="AX97" i="1"/>
  <c r="AC117" i="18"/>
  <c r="AA118" i="18" s="1"/>
  <c r="AB117" i="18"/>
  <c r="AD117" i="18"/>
  <c r="X117" i="18"/>
  <c r="M89" i="18"/>
  <c r="K90" i="18" s="1"/>
  <c r="E148" i="12"/>
  <c r="D148" i="12"/>
  <c r="H73" i="12"/>
  <c r="K146" i="12" l="1"/>
  <c r="J146" i="12"/>
  <c r="AQ98" i="1"/>
  <c r="AS98" i="1"/>
  <c r="AR98" i="1" s="1"/>
  <c r="AH78" i="1"/>
  <c r="Z79" i="1"/>
  <c r="AA79" i="1" s="1"/>
  <c r="AU98" i="1"/>
  <c r="AV98" i="1"/>
  <c r="AT99" i="1" s="1"/>
  <c r="O89" i="18"/>
  <c r="G90" i="18"/>
  <c r="H90" i="18" s="1"/>
  <c r="AE117" i="18"/>
  <c r="W118" i="18"/>
  <c r="E149" i="12"/>
  <c r="D149" i="12"/>
  <c r="B73" i="12"/>
  <c r="K147" i="12" l="1"/>
  <c r="J147" i="12"/>
  <c r="AX98" i="1"/>
  <c r="AC79" i="1"/>
  <c r="AB79" i="1" s="1"/>
  <c r="AP99" i="1"/>
  <c r="AQ99" i="1" s="1"/>
  <c r="AE79" i="1"/>
  <c r="AF79" i="1" s="1"/>
  <c r="AD80" i="1" s="1"/>
  <c r="AG79" i="1"/>
  <c r="AB118" i="18"/>
  <c r="AC118" i="18"/>
  <c r="AA119" i="18" s="1"/>
  <c r="X118" i="18"/>
  <c r="J90" i="18"/>
  <c r="I90" i="18" s="1"/>
  <c r="AD118" i="18"/>
  <c r="L90" i="18"/>
  <c r="Z118" i="18"/>
  <c r="Y118" i="18" s="1"/>
  <c r="N90" i="18"/>
  <c r="E150" i="12"/>
  <c r="D150" i="12"/>
  <c r="K148" i="12" l="1"/>
  <c r="J148" i="12"/>
  <c r="AS99" i="1"/>
  <c r="AR99" i="1" s="1"/>
  <c r="Z80" i="1"/>
  <c r="AA80" i="1" s="1"/>
  <c r="AU99" i="1"/>
  <c r="AV99" i="1"/>
  <c r="AT100" i="1" s="1"/>
  <c r="AH79" i="1"/>
  <c r="AW99" i="1"/>
  <c r="M90" i="18"/>
  <c r="K91" i="18" s="1"/>
  <c r="Z119" i="18"/>
  <c r="Y119" i="18" s="1"/>
  <c r="W119" i="18"/>
  <c r="AE118" i="18"/>
  <c r="E151" i="12"/>
  <c r="D151" i="12"/>
  <c r="H74" i="12"/>
  <c r="K149" i="12" l="1"/>
  <c r="J149" i="12"/>
  <c r="AC80" i="1"/>
  <c r="AB80" i="1" s="1"/>
  <c r="AG80" i="1"/>
  <c r="AX99" i="1"/>
  <c r="AP100" i="1"/>
  <c r="AQ100" i="1" s="1"/>
  <c r="AE80" i="1"/>
  <c r="AF80" i="1" s="1"/>
  <c r="AD81" i="1" s="1"/>
  <c r="AC119" i="18"/>
  <c r="AA120" i="18" s="1"/>
  <c r="AB119" i="18"/>
  <c r="AD119" i="18"/>
  <c r="X119" i="18"/>
  <c r="G91" i="18"/>
  <c r="H91" i="18" s="1"/>
  <c r="O90" i="18"/>
  <c r="E152" i="12"/>
  <c r="D152" i="12"/>
  <c r="B74" i="12"/>
  <c r="K150" i="12" l="1"/>
  <c r="J150" i="12"/>
  <c r="AW100" i="1"/>
  <c r="Z81" i="1"/>
  <c r="AG81" i="1" s="1"/>
  <c r="AH80" i="1"/>
  <c r="AV100" i="1"/>
  <c r="AT101" i="1" s="1"/>
  <c r="AU100" i="1"/>
  <c r="AS100" i="1"/>
  <c r="AR100" i="1" s="1"/>
  <c r="L91" i="18"/>
  <c r="W120" i="18"/>
  <c r="J91" i="18"/>
  <c r="I91" i="18" s="1"/>
  <c r="N91" i="18"/>
  <c r="AE119" i="18"/>
  <c r="E153" i="12"/>
  <c r="D153" i="12"/>
  <c r="H75" i="12"/>
  <c r="K151" i="12" l="1"/>
  <c r="J151" i="12"/>
  <c r="AX100" i="1"/>
  <c r="AA81" i="1"/>
  <c r="AE81" i="1"/>
  <c r="AP101" i="1"/>
  <c r="AW101" i="1" s="1"/>
  <c r="AC81" i="1"/>
  <c r="AB81" i="1" s="1"/>
  <c r="AB120" i="18"/>
  <c r="AC120" i="18"/>
  <c r="AA121" i="18" s="1"/>
  <c r="X120" i="18"/>
  <c r="Z120" i="18"/>
  <c r="Y120" i="18" s="1"/>
  <c r="AD120" i="18"/>
  <c r="M91" i="18"/>
  <c r="K92" i="18" s="1"/>
  <c r="E154" i="12"/>
  <c r="D154" i="12"/>
  <c r="B75" i="12"/>
  <c r="K152" i="12" l="1"/>
  <c r="J152" i="12"/>
  <c r="AU101" i="1"/>
  <c r="AV101" i="1"/>
  <c r="AT102" i="1" s="1"/>
  <c r="AQ101" i="1"/>
  <c r="AS101" i="1"/>
  <c r="AR101" i="1" s="1"/>
  <c r="AF81" i="1"/>
  <c r="AD82" i="1" s="1"/>
  <c r="G92" i="18"/>
  <c r="N92" i="18" s="1"/>
  <c r="W121" i="18"/>
  <c r="Z121" i="18" s="1"/>
  <c r="Y121" i="18" s="1"/>
  <c r="O91" i="18"/>
  <c r="AE120" i="18"/>
  <c r="E155" i="12"/>
  <c r="D155" i="12"/>
  <c r="H76" i="12"/>
  <c r="K153" i="12" l="1"/>
  <c r="J153" i="12"/>
  <c r="AX101" i="1"/>
  <c r="AP102" i="1"/>
  <c r="AW102" i="1" s="1"/>
  <c r="Z82" i="1"/>
  <c r="AA82" i="1" s="1"/>
  <c r="AH81" i="1"/>
  <c r="J92" i="18"/>
  <c r="I92" i="18" s="1"/>
  <c r="X121" i="18"/>
  <c r="L92" i="18"/>
  <c r="M92" i="18" s="1"/>
  <c r="K93" i="18" s="1"/>
  <c r="AC121" i="18"/>
  <c r="AA122" i="18" s="1"/>
  <c r="AB121" i="18"/>
  <c r="AD121" i="18"/>
  <c r="H92" i="18"/>
  <c r="E156" i="12"/>
  <c r="D156" i="12"/>
  <c r="B76" i="12"/>
  <c r="K154" i="12" l="1"/>
  <c r="J154" i="12"/>
  <c r="AC82" i="1"/>
  <c r="AB82" i="1" s="1"/>
  <c r="AQ102" i="1"/>
  <c r="AE82" i="1"/>
  <c r="AF82" i="1" s="1"/>
  <c r="AD83" i="1" s="1"/>
  <c r="AG82" i="1"/>
  <c r="AU102" i="1"/>
  <c r="AV102" i="1"/>
  <c r="AT103" i="1" s="1"/>
  <c r="AS102" i="1"/>
  <c r="AR102" i="1" s="1"/>
  <c r="AE121" i="18"/>
  <c r="W122" i="18"/>
  <c r="AD122" i="18" s="1"/>
  <c r="Z122" i="18"/>
  <c r="Y122" i="18" s="1"/>
  <c r="O92" i="18"/>
  <c r="G93" i="18"/>
  <c r="N93" i="18" s="1"/>
  <c r="E157" i="12"/>
  <c r="D157" i="12"/>
  <c r="K155" i="12" l="1"/>
  <c r="J155" i="12"/>
  <c r="AX102" i="1"/>
  <c r="Z83" i="1"/>
  <c r="AA83" i="1" s="1"/>
  <c r="AP103" i="1"/>
  <c r="AQ103" i="1" s="1"/>
  <c r="AH82" i="1"/>
  <c r="H93" i="18"/>
  <c r="X122" i="18"/>
  <c r="L93" i="18"/>
  <c r="AB122" i="18"/>
  <c r="AC122" i="18"/>
  <c r="AA123" i="18" s="1"/>
  <c r="J93" i="18"/>
  <c r="I93" i="18" s="1"/>
  <c r="E158" i="12"/>
  <c r="D158" i="12"/>
  <c r="H77" i="12"/>
  <c r="K156" i="12" l="1"/>
  <c r="J156" i="12"/>
  <c r="AS103" i="1"/>
  <c r="AR103" i="1" s="1"/>
  <c r="AW103" i="1"/>
  <c r="AC83" i="1"/>
  <c r="AB83" i="1" s="1"/>
  <c r="AE83" i="1"/>
  <c r="AU103" i="1"/>
  <c r="AV103" i="1"/>
  <c r="AT104" i="1" s="1"/>
  <c r="AG83" i="1"/>
  <c r="W123" i="18"/>
  <c r="AE122" i="18"/>
  <c r="M93" i="18"/>
  <c r="K94" i="18" s="1"/>
  <c r="E159" i="12"/>
  <c r="D159" i="12"/>
  <c r="B77" i="12"/>
  <c r="K157" i="12" l="1"/>
  <c r="J157" i="12"/>
  <c r="AP104" i="1"/>
  <c r="AQ104" i="1" s="1"/>
  <c r="AX103" i="1"/>
  <c r="AF83" i="1"/>
  <c r="AD84" i="1" s="1"/>
  <c r="O93" i="18"/>
  <c r="AC123" i="18"/>
  <c r="AA124" i="18" s="1"/>
  <c r="AB123" i="18"/>
  <c r="AD123" i="18"/>
  <c r="G94" i="18"/>
  <c r="J94" i="18" s="1"/>
  <c r="I94" i="18" s="1"/>
  <c r="X123" i="18"/>
  <c r="Z123" i="18"/>
  <c r="Y123" i="18" s="1"/>
  <c r="E160" i="12"/>
  <c r="D160" i="12"/>
  <c r="K158" i="12" l="1"/>
  <c r="J158" i="12"/>
  <c r="AW104" i="1"/>
  <c r="AH83" i="1"/>
  <c r="Z84" i="1"/>
  <c r="AG84" i="1" s="1"/>
  <c r="AU104" i="1"/>
  <c r="AV104" i="1"/>
  <c r="AT105" i="1" s="1"/>
  <c r="AS104" i="1"/>
  <c r="AR104" i="1" s="1"/>
  <c r="AE123" i="18"/>
  <c r="H94" i="18"/>
  <c r="W124" i="18"/>
  <c r="AD124" i="18" s="1"/>
  <c r="Z124" i="18"/>
  <c r="Y124" i="18" s="1"/>
  <c r="N94" i="18"/>
  <c r="L94" i="18"/>
  <c r="M94" i="18" s="1"/>
  <c r="K95" i="18" s="1"/>
  <c r="E161" i="12"/>
  <c r="D161" i="12"/>
  <c r="H78" i="12"/>
  <c r="K159" i="12" l="1"/>
  <c r="J159" i="12"/>
  <c r="AX104" i="1"/>
  <c r="AC84" i="1"/>
  <c r="AB84" i="1" s="1"/>
  <c r="AA84" i="1"/>
  <c r="AP105" i="1"/>
  <c r="AW105" i="1" s="1"/>
  <c r="AE84" i="1"/>
  <c r="X124" i="18"/>
  <c r="G95" i="18"/>
  <c r="N95" i="18" s="1"/>
  <c r="AB124" i="18"/>
  <c r="AC124" i="18"/>
  <c r="AA125" i="18" s="1"/>
  <c r="O94" i="18"/>
  <c r="E162" i="12"/>
  <c r="D162" i="12"/>
  <c r="B78" i="12"/>
  <c r="K160" i="12" l="1"/>
  <c r="J160" i="12"/>
  <c r="AS105" i="1"/>
  <c r="AR105" i="1" s="1"/>
  <c r="AF84" i="1"/>
  <c r="AD85" i="1" s="1"/>
  <c r="AU105" i="1"/>
  <c r="AV105" i="1"/>
  <c r="AT106" i="1" s="1"/>
  <c r="AQ105" i="1"/>
  <c r="H95" i="18"/>
  <c r="J95" i="18"/>
  <c r="I95" i="18" s="1"/>
  <c r="AE124" i="18"/>
  <c r="W125" i="18"/>
  <c r="Z125" i="18" s="1"/>
  <c r="Y125" i="18" s="1"/>
  <c r="L95" i="18"/>
  <c r="E163" i="12"/>
  <c r="D163" i="12"/>
  <c r="H79" i="12"/>
  <c r="K161" i="12" l="1"/>
  <c r="J161" i="12"/>
  <c r="AX105" i="1"/>
  <c r="AP106" i="1"/>
  <c r="AW106" i="1" s="1"/>
  <c r="Z85" i="1"/>
  <c r="AH84" i="1"/>
  <c r="X125" i="18"/>
  <c r="M95" i="18"/>
  <c r="K96" i="18" s="1"/>
  <c r="AC125" i="18"/>
  <c r="AA126" i="18" s="1"/>
  <c r="AB125" i="18"/>
  <c r="AE125" i="18" s="1"/>
  <c r="AD125" i="18"/>
  <c r="E164" i="12"/>
  <c r="D164" i="12"/>
  <c r="B79" i="12"/>
  <c r="AS106" i="1" l="1"/>
  <c r="AR106" i="1" s="1"/>
  <c r="AE85" i="1"/>
  <c r="AA85" i="1"/>
  <c r="AC85" i="1"/>
  <c r="AB85" i="1" s="1"/>
  <c r="AV106" i="1"/>
  <c r="AT107" i="1" s="1"/>
  <c r="AU106" i="1"/>
  <c r="AG85" i="1"/>
  <c r="AQ106" i="1"/>
  <c r="W126" i="18"/>
  <c r="X126" i="18" s="1"/>
  <c r="Z126" i="18"/>
  <c r="Y126" i="18" s="1"/>
  <c r="AD126" i="18"/>
  <c r="G96" i="18"/>
  <c r="O95" i="18"/>
  <c r="E165" i="12"/>
  <c r="D165" i="12"/>
  <c r="AX106" i="1" l="1"/>
  <c r="AP107" i="1"/>
  <c r="AW107" i="1" s="1"/>
  <c r="AF85" i="1"/>
  <c r="AD86" i="1" s="1"/>
  <c r="L96" i="18"/>
  <c r="M96" i="18" s="1"/>
  <c r="K97" i="18" s="1"/>
  <c r="H96" i="18"/>
  <c r="J96" i="18"/>
  <c r="I96" i="18" s="1"/>
  <c r="AB126" i="18"/>
  <c r="AC126" i="18"/>
  <c r="AA127" i="18" s="1"/>
  <c r="N96" i="18"/>
  <c r="E166" i="12"/>
  <c r="D166" i="12"/>
  <c r="H80" i="12"/>
  <c r="AQ107" i="1" l="1"/>
  <c r="Z86" i="1"/>
  <c r="AA86" i="1" s="1"/>
  <c r="AU107" i="1"/>
  <c r="AV107" i="1"/>
  <c r="AT108" i="1" s="1"/>
  <c r="AS107" i="1"/>
  <c r="AR107" i="1" s="1"/>
  <c r="AH85" i="1"/>
  <c r="AE126" i="18"/>
  <c r="W127" i="18"/>
  <c r="Z127" i="18" s="1"/>
  <c r="Y127" i="18" s="1"/>
  <c r="O96" i="18"/>
  <c r="G97" i="18"/>
  <c r="H97" i="18" s="1"/>
  <c r="E167" i="12"/>
  <c r="D167" i="12"/>
  <c r="B80" i="12"/>
  <c r="AC86" i="1" l="1"/>
  <c r="AB86" i="1" s="1"/>
  <c r="AE86" i="1"/>
  <c r="AP108" i="1"/>
  <c r="AS108" i="1" s="1"/>
  <c r="AR108" i="1" s="1"/>
  <c r="AX107" i="1"/>
  <c r="AG86" i="1"/>
  <c r="N97" i="18"/>
  <c r="X127" i="18"/>
  <c r="L97" i="18"/>
  <c r="J97" i="18"/>
  <c r="I97" i="18" s="1"/>
  <c r="AC127" i="18"/>
  <c r="AA128" i="18" s="1"/>
  <c r="AB127" i="18"/>
  <c r="AD127" i="18"/>
  <c r="E168" i="12"/>
  <c r="D168" i="12"/>
  <c r="H81" i="12"/>
  <c r="AQ108" i="1" l="1"/>
  <c r="AV108" i="1"/>
  <c r="AT109" i="1" s="1"/>
  <c r="AU108" i="1"/>
  <c r="AW108" i="1"/>
  <c r="AF86" i="1"/>
  <c r="AD87" i="1" s="1"/>
  <c r="W128" i="18"/>
  <c r="X128" i="18" s="1"/>
  <c r="AE127" i="18"/>
  <c r="M97" i="18"/>
  <c r="K98" i="18" s="1"/>
  <c r="E169" i="12"/>
  <c r="D169" i="12"/>
  <c r="AP109" i="1" l="1"/>
  <c r="AS109" i="1" s="1"/>
  <c r="AR109" i="1" s="1"/>
  <c r="Z87" i="1"/>
  <c r="AG87" i="1" s="1"/>
  <c r="AX108" i="1"/>
  <c r="AH86" i="1"/>
  <c r="Z128" i="18"/>
  <c r="Y128" i="18" s="1"/>
  <c r="AD128" i="18"/>
  <c r="G98" i="18"/>
  <c r="J98" i="18" s="1"/>
  <c r="I98" i="18" s="1"/>
  <c r="O97" i="18"/>
  <c r="AB128" i="18"/>
  <c r="AC128" i="18"/>
  <c r="AA129" i="18" s="1"/>
  <c r="E170" i="12"/>
  <c r="D170" i="12"/>
  <c r="B81" i="12"/>
  <c r="AW109" i="1" l="1"/>
  <c r="AQ109" i="1"/>
  <c r="AE87" i="1"/>
  <c r="AC87" i="1"/>
  <c r="AB87" i="1" s="1"/>
  <c r="AA87" i="1"/>
  <c r="AU109" i="1"/>
  <c r="AV109" i="1"/>
  <c r="AT110" i="1" s="1"/>
  <c r="AE128" i="18"/>
  <c r="L98" i="18"/>
  <c r="M98" i="18" s="1"/>
  <c r="K99" i="18" s="1"/>
  <c r="H98" i="18"/>
  <c r="Z129" i="18"/>
  <c r="Y129" i="18" s="1"/>
  <c r="W129" i="18"/>
  <c r="X129" i="18" s="1"/>
  <c r="N98" i="18"/>
  <c r="E171" i="12"/>
  <c r="D171" i="12"/>
  <c r="H82" i="12"/>
  <c r="AP110" i="1" l="1"/>
  <c r="AQ110" i="1" s="1"/>
  <c r="AX109" i="1"/>
  <c r="AF87" i="1"/>
  <c r="AD88" i="1" s="1"/>
  <c r="G99" i="18"/>
  <c r="H99" i="18" s="1"/>
  <c r="O98" i="18"/>
  <c r="AC129" i="18"/>
  <c r="AA130" i="18" s="1"/>
  <c r="AB129" i="18"/>
  <c r="AD129" i="18"/>
  <c r="E172" i="12"/>
  <c r="D172" i="12"/>
  <c r="AH87" i="1" l="1"/>
  <c r="AS110" i="1"/>
  <c r="AR110" i="1" s="1"/>
  <c r="Z88" i="1"/>
  <c r="AA88" i="1" s="1"/>
  <c r="AV110" i="1"/>
  <c r="AT111" i="1" s="1"/>
  <c r="AU110" i="1"/>
  <c r="AW110" i="1"/>
  <c r="N99" i="18"/>
  <c r="J99" i="18"/>
  <c r="I99" i="18" s="1"/>
  <c r="AE129" i="18"/>
  <c r="W130" i="18"/>
  <c r="Z130" i="18"/>
  <c r="Y130" i="18" s="1"/>
  <c r="AD130" i="18"/>
  <c r="L99" i="18"/>
  <c r="E173" i="12"/>
  <c r="D173" i="12"/>
  <c r="H83" i="12"/>
  <c r="B82" i="12"/>
  <c r="AG88" i="1" l="1"/>
  <c r="AC88" i="1"/>
  <c r="AB88" i="1" s="1"/>
  <c r="AX110" i="1"/>
  <c r="AP111" i="1"/>
  <c r="AQ111" i="1" s="1"/>
  <c r="AE88" i="1"/>
  <c r="M99" i="18"/>
  <c r="K100" i="18" s="1"/>
  <c r="AB130" i="18"/>
  <c r="AC130" i="18"/>
  <c r="AA131" i="18" s="1"/>
  <c r="X130" i="18"/>
  <c r="E174" i="12"/>
  <c r="D174" i="12"/>
  <c r="AU111" i="1" l="1"/>
  <c r="AV111" i="1"/>
  <c r="AT112" i="1" s="1"/>
  <c r="AW111" i="1"/>
  <c r="AF88" i="1"/>
  <c r="AD89" i="1" s="1"/>
  <c r="AS111" i="1"/>
  <c r="AR111" i="1" s="1"/>
  <c r="AE130" i="18"/>
  <c r="O99" i="18"/>
  <c r="W131" i="18"/>
  <c r="G100" i="18"/>
  <c r="N100" i="18" s="1"/>
  <c r="E175" i="12"/>
  <c r="D175" i="12"/>
  <c r="B83" i="12"/>
  <c r="AP112" i="1" l="1"/>
  <c r="AW112" i="1" s="1"/>
  <c r="AH88" i="1"/>
  <c r="Z89" i="1"/>
  <c r="AG89" i="1" s="1"/>
  <c r="AX111" i="1"/>
  <c r="AC131" i="18"/>
  <c r="AA132" i="18" s="1"/>
  <c r="AB131" i="18"/>
  <c r="AD131" i="18"/>
  <c r="L100" i="18"/>
  <c r="X131" i="18"/>
  <c r="H100" i="18"/>
  <c r="J100" i="18"/>
  <c r="I100" i="18" s="1"/>
  <c r="Z131" i="18"/>
  <c r="Y131" i="18" s="1"/>
  <c r="E176" i="12"/>
  <c r="D176" i="12"/>
  <c r="H84" i="12"/>
  <c r="AS112" i="1" l="1"/>
  <c r="AR112" i="1" s="1"/>
  <c r="AQ112" i="1"/>
  <c r="AE89" i="1"/>
  <c r="AA89" i="1"/>
  <c r="AV112" i="1"/>
  <c r="AT113" i="1" s="1"/>
  <c r="AU112" i="1"/>
  <c r="AC89" i="1"/>
  <c r="AB89" i="1" s="1"/>
  <c r="W132" i="18"/>
  <c r="AD132" i="18" s="1"/>
  <c r="Z132" i="18"/>
  <c r="Y132" i="18" s="1"/>
  <c r="M100" i="18"/>
  <c r="K101" i="18" s="1"/>
  <c r="AE131" i="18"/>
  <c r="E177" i="12"/>
  <c r="D177" i="12"/>
  <c r="AX112" i="1" l="1"/>
  <c r="AP113" i="1"/>
  <c r="AW113" i="1" s="1"/>
  <c r="AF89" i="1"/>
  <c r="AD90" i="1" s="1"/>
  <c r="O100" i="18"/>
  <c r="G101" i="18"/>
  <c r="H101" i="18" s="1"/>
  <c r="AB132" i="18"/>
  <c r="AC132" i="18"/>
  <c r="AA133" i="18" s="1"/>
  <c r="X132" i="18"/>
  <c r="E178" i="12"/>
  <c r="D178" i="12"/>
  <c r="H85" i="12"/>
  <c r="B84" i="12"/>
  <c r="AV113" i="1" l="1"/>
  <c r="AT114" i="1" s="1"/>
  <c r="AU113" i="1"/>
  <c r="Z90" i="1"/>
  <c r="AG90" i="1" s="1"/>
  <c r="AQ113" i="1"/>
  <c r="AS113" i="1"/>
  <c r="AR113" i="1" s="1"/>
  <c r="AH89" i="1"/>
  <c r="L101" i="18"/>
  <c r="M101" i="18" s="1"/>
  <c r="K102" i="18" s="1"/>
  <c r="W133" i="18"/>
  <c r="AD133" i="18" s="1"/>
  <c r="X133" i="18"/>
  <c r="J101" i="18"/>
  <c r="I101" i="18" s="1"/>
  <c r="AE132" i="18"/>
  <c r="N101" i="18"/>
  <c r="E179" i="12"/>
  <c r="D179" i="12"/>
  <c r="AC90" i="1" l="1"/>
  <c r="AB90" i="1" s="1"/>
  <c r="AX113" i="1"/>
  <c r="AA90" i="1"/>
  <c r="AE90" i="1"/>
  <c r="AP114" i="1"/>
  <c r="AW114" i="1" s="1"/>
  <c r="Z133" i="18"/>
  <c r="Y133" i="18" s="1"/>
  <c r="G102" i="18"/>
  <c r="J102" i="18" s="1"/>
  <c r="I102" i="18" s="1"/>
  <c r="AC133" i="18"/>
  <c r="AA134" i="18" s="1"/>
  <c r="AB133" i="18"/>
  <c r="O101" i="18"/>
  <c r="E180" i="12"/>
  <c r="D180" i="12"/>
  <c r="B85" i="12"/>
  <c r="AS114" i="1" l="1"/>
  <c r="AR114" i="1" s="1"/>
  <c r="AV114" i="1"/>
  <c r="AT115" i="1" s="1"/>
  <c r="AU114" i="1"/>
  <c r="AQ114" i="1"/>
  <c r="AF90" i="1"/>
  <c r="AD91" i="1" s="1"/>
  <c r="AE133" i="18"/>
  <c r="N102" i="18"/>
  <c r="H102" i="18"/>
  <c r="W134" i="18"/>
  <c r="AD134" i="18" s="1"/>
  <c r="Z134" i="18"/>
  <c r="Y134" i="18" s="1"/>
  <c r="L102" i="18"/>
  <c r="M102" i="18" s="1"/>
  <c r="K103" i="18" s="1"/>
  <c r="E181" i="12"/>
  <c r="D181" i="12"/>
  <c r="H86" i="12"/>
  <c r="AX114" i="1" l="1"/>
  <c r="AP115" i="1"/>
  <c r="AQ115" i="1" s="1"/>
  <c r="Z91" i="1"/>
  <c r="AC91" i="1" s="1"/>
  <c r="AB91" i="1" s="1"/>
  <c r="AH90" i="1"/>
  <c r="X134" i="18"/>
  <c r="G103" i="18"/>
  <c r="N103" i="18" s="1"/>
  <c r="AB134" i="18"/>
  <c r="AC134" i="18"/>
  <c r="AA135" i="18" s="1"/>
  <c r="O102" i="18"/>
  <c r="E182" i="12"/>
  <c r="D182" i="12"/>
  <c r="AS115" i="1" l="1"/>
  <c r="AR115" i="1" s="1"/>
  <c r="AW115" i="1"/>
  <c r="AA91" i="1"/>
  <c r="AU115" i="1"/>
  <c r="AV115" i="1"/>
  <c r="AT116" i="1" s="1"/>
  <c r="AE91" i="1"/>
  <c r="AG91" i="1"/>
  <c r="H103" i="18"/>
  <c r="J103" i="18"/>
  <c r="I103" i="18" s="1"/>
  <c r="W135" i="18"/>
  <c r="Z135" i="18" s="1"/>
  <c r="Y135" i="18" s="1"/>
  <c r="AE134" i="18"/>
  <c r="L103" i="18"/>
  <c r="E183" i="12"/>
  <c r="D183" i="12"/>
  <c r="H87" i="12"/>
  <c r="B86" i="12"/>
  <c r="AP116" i="1" l="1"/>
  <c r="AS116" i="1" s="1"/>
  <c r="AR116" i="1" s="1"/>
  <c r="AF91" i="1"/>
  <c r="AD92" i="1" s="1"/>
  <c r="AX115" i="1"/>
  <c r="X135" i="18"/>
  <c r="M103" i="18"/>
  <c r="K104" i="18" s="1"/>
  <c r="AC135" i="18"/>
  <c r="AA136" i="18" s="1"/>
  <c r="AB135" i="18"/>
  <c r="AD135" i="18"/>
  <c r="E184" i="12"/>
  <c r="D184" i="12"/>
  <c r="AW116" i="1" l="1"/>
  <c r="Z92" i="1"/>
  <c r="AA92" i="1" s="1"/>
  <c r="AV116" i="1"/>
  <c r="AT117" i="1" s="1"/>
  <c r="AU116" i="1"/>
  <c r="AQ116" i="1"/>
  <c r="AH91" i="1"/>
  <c r="W136" i="18"/>
  <c r="X136" i="18" s="1"/>
  <c r="Z136" i="18"/>
  <c r="Y136" i="18" s="1"/>
  <c r="G104" i="18"/>
  <c r="H104" i="18" s="1"/>
  <c r="AE135" i="18"/>
  <c r="O103" i="18"/>
  <c r="E185" i="12"/>
  <c r="D185" i="12"/>
  <c r="B87" i="12"/>
  <c r="AX116" i="1" l="1"/>
  <c r="AG92" i="1"/>
  <c r="AC92" i="1"/>
  <c r="AB92" i="1" s="1"/>
  <c r="AP117" i="1"/>
  <c r="AW117" i="1" s="1"/>
  <c r="AE92" i="1"/>
  <c r="AF92" i="1" s="1"/>
  <c r="AD93" i="1" s="1"/>
  <c r="AD136" i="18"/>
  <c r="N104" i="18"/>
  <c r="L104" i="18"/>
  <c r="J104" i="18"/>
  <c r="I104" i="18" s="1"/>
  <c r="AB136" i="18"/>
  <c r="AC136" i="18"/>
  <c r="AA137" i="18" s="1"/>
  <c r="H88" i="12"/>
  <c r="AQ117" i="1" l="1"/>
  <c r="AS117" i="1"/>
  <c r="AR117" i="1" s="1"/>
  <c r="Z93" i="1"/>
  <c r="AG93" i="1" s="1"/>
  <c r="AH92" i="1"/>
  <c r="AU117" i="1"/>
  <c r="AV117" i="1"/>
  <c r="AT118" i="1" s="1"/>
  <c r="AE136" i="18"/>
  <c r="W137" i="18"/>
  <c r="Z137" i="18" s="1"/>
  <c r="Y137" i="18" s="1"/>
  <c r="M104" i="18"/>
  <c r="K105" i="18" s="1"/>
  <c r="AC93" i="1" l="1"/>
  <c r="AB93" i="1" s="1"/>
  <c r="AP118" i="1"/>
  <c r="AW118" i="1" s="1"/>
  <c r="AE93" i="1"/>
  <c r="AF93" i="1" s="1"/>
  <c r="AD94" i="1" s="1"/>
  <c r="AX117" i="1"/>
  <c r="AA93" i="1"/>
  <c r="X137" i="18"/>
  <c r="G105" i="18"/>
  <c r="N105" i="18" s="1"/>
  <c r="AC137" i="18"/>
  <c r="AA138" i="18" s="1"/>
  <c r="AB137" i="18"/>
  <c r="AD137" i="18"/>
  <c r="O104" i="18"/>
  <c r="H89" i="12"/>
  <c r="B88" i="12"/>
  <c r="AS118" i="1" l="1"/>
  <c r="AR118" i="1" s="1"/>
  <c r="AQ118" i="1"/>
  <c r="AH93" i="1"/>
  <c r="Z94" i="1"/>
  <c r="AA94" i="1" s="1"/>
  <c r="AV118" i="1"/>
  <c r="AT119" i="1" s="1"/>
  <c r="AU118" i="1"/>
  <c r="H105" i="18"/>
  <c r="J105" i="18"/>
  <c r="I105" i="18" s="1"/>
  <c r="AE137" i="18"/>
  <c r="Z138" i="18"/>
  <c r="Y138" i="18" s="1"/>
  <c r="W138" i="18"/>
  <c r="X138" i="18" s="1"/>
  <c r="L105" i="18"/>
  <c r="M105" i="18" s="1"/>
  <c r="K106" i="18" s="1"/>
  <c r="AX118" i="1" l="1"/>
  <c r="AG94" i="1"/>
  <c r="AP119" i="1"/>
  <c r="AS119" i="1" s="1"/>
  <c r="AR119" i="1" s="1"/>
  <c r="AE94" i="1"/>
  <c r="AC94" i="1"/>
  <c r="AB94" i="1" s="1"/>
  <c r="G106" i="18"/>
  <c r="H106" i="18" s="1"/>
  <c r="AC138" i="18"/>
  <c r="AA139" i="18" s="1"/>
  <c r="AB138" i="18"/>
  <c r="AD138" i="18"/>
  <c r="O105" i="18"/>
  <c r="B89" i="12"/>
  <c r="AW119" i="1" l="1"/>
  <c r="AF94" i="1"/>
  <c r="AD95" i="1" s="1"/>
  <c r="AU119" i="1"/>
  <c r="AV119" i="1"/>
  <c r="AT120" i="1" s="1"/>
  <c r="AQ119" i="1"/>
  <c r="J106" i="18"/>
  <c r="I106" i="18" s="1"/>
  <c r="AE138" i="18"/>
  <c r="L106" i="18"/>
  <c r="W139" i="18"/>
  <c r="AD139" i="18" s="1"/>
  <c r="N106" i="18"/>
  <c r="H90" i="12"/>
  <c r="AP120" i="1" l="1"/>
  <c r="AQ120" i="1" s="1"/>
  <c r="AX119" i="1"/>
  <c r="Z95" i="1"/>
  <c r="AA95" i="1" s="1"/>
  <c r="AH94" i="1"/>
  <c r="AC139" i="18"/>
  <c r="AA140" i="18" s="1"/>
  <c r="AB139" i="18"/>
  <c r="Z139" i="18"/>
  <c r="Y139" i="18" s="1"/>
  <c r="M106" i="18"/>
  <c r="K107" i="18" s="1"/>
  <c r="X139" i="18"/>
  <c r="AS120" i="1" l="1"/>
  <c r="AR120" i="1" s="1"/>
  <c r="AE95" i="1"/>
  <c r="AV120" i="1"/>
  <c r="AT121" i="1" s="1"/>
  <c r="AU120" i="1"/>
  <c r="AG95" i="1"/>
  <c r="AC95" i="1"/>
  <c r="AB95" i="1" s="1"/>
  <c r="AW120" i="1"/>
  <c r="O106" i="18"/>
  <c r="AE139" i="18"/>
  <c r="G107" i="18"/>
  <c r="J107" i="18" s="1"/>
  <c r="I107" i="18" s="1"/>
  <c r="W140" i="18"/>
  <c r="X140" i="18" s="1"/>
  <c r="H91" i="12"/>
  <c r="B90" i="12"/>
  <c r="AX120" i="1" l="1"/>
  <c r="AP121" i="1"/>
  <c r="AS121" i="1" s="1"/>
  <c r="AR121" i="1" s="1"/>
  <c r="AF95" i="1"/>
  <c r="AD96" i="1" s="1"/>
  <c r="AD140" i="18"/>
  <c r="N107" i="18"/>
  <c r="H107" i="18"/>
  <c r="L107" i="18"/>
  <c r="M107" i="18" s="1"/>
  <c r="K108" i="18" s="1"/>
  <c r="AB140" i="18"/>
  <c r="AC140" i="18"/>
  <c r="AA141" i="18" s="1"/>
  <c r="Z140" i="18"/>
  <c r="Y140" i="18" s="1"/>
  <c r="AW121" i="1" l="1"/>
  <c r="AQ121" i="1"/>
  <c r="AH95" i="1"/>
  <c r="Z96" i="1"/>
  <c r="AG96" i="1" s="1"/>
  <c r="AV121" i="1"/>
  <c r="AT122" i="1" s="1"/>
  <c r="AU121" i="1"/>
  <c r="AE140" i="18"/>
  <c r="W141" i="18"/>
  <c r="AD141" i="18" s="1"/>
  <c r="O107" i="18"/>
  <c r="G108" i="18"/>
  <c r="N108" i="18" s="1"/>
  <c r="H92" i="12"/>
  <c r="B91" i="12"/>
  <c r="AC96" i="1" l="1"/>
  <c r="AB96" i="1" s="1"/>
  <c r="AA96" i="1"/>
  <c r="AX121" i="1"/>
  <c r="AP122" i="1"/>
  <c r="AE96" i="1"/>
  <c r="AF96" i="1" s="1"/>
  <c r="AD97" i="1" s="1"/>
  <c r="J108" i="18"/>
  <c r="I108" i="18" s="1"/>
  <c r="H108" i="18"/>
  <c r="AC141" i="18"/>
  <c r="AA142" i="18" s="1"/>
  <c r="AB141" i="18"/>
  <c r="AE141" i="18" s="1"/>
  <c r="X141" i="18"/>
  <c r="L108" i="18"/>
  <c r="Z141" i="18"/>
  <c r="Y141" i="18" s="1"/>
  <c r="AV122" i="1" l="1"/>
  <c r="AT123" i="1" s="1"/>
  <c r="AU122" i="1"/>
  <c r="AS122" i="1"/>
  <c r="AR122" i="1" s="1"/>
  <c r="Z97" i="1"/>
  <c r="AC97" i="1" s="1"/>
  <c r="AB97" i="1" s="1"/>
  <c r="AH96" i="1"/>
  <c r="AW122" i="1"/>
  <c r="AQ122" i="1"/>
  <c r="W142" i="18"/>
  <c r="AD142" i="18" s="1"/>
  <c r="Z142" i="18"/>
  <c r="Y142" i="18" s="1"/>
  <c r="X142" i="18"/>
  <c r="M108" i="18"/>
  <c r="K109" i="18" s="1"/>
  <c r="B92" i="12"/>
  <c r="AA97" i="1" l="1"/>
  <c r="AG97" i="1"/>
  <c r="AX122" i="1"/>
  <c r="AE97" i="1"/>
  <c r="AF97" i="1" s="1"/>
  <c r="AD98" i="1" s="1"/>
  <c r="AP123" i="1"/>
  <c r="AS123" i="1" s="1"/>
  <c r="AR123" i="1" s="1"/>
  <c r="G109" i="18"/>
  <c r="N109" i="18" s="1"/>
  <c r="AC142" i="18"/>
  <c r="AA143" i="18" s="1"/>
  <c r="AB142" i="18"/>
  <c r="O108" i="18"/>
  <c r="H93" i="12"/>
  <c r="Z98" i="1" l="1"/>
  <c r="AA98" i="1" s="1"/>
  <c r="AV123" i="1"/>
  <c r="AT124" i="1" s="1"/>
  <c r="AU123" i="1"/>
  <c r="AH97" i="1"/>
  <c r="AQ123" i="1"/>
  <c r="AW123" i="1"/>
  <c r="H109" i="18"/>
  <c r="J109" i="18"/>
  <c r="I109" i="18" s="1"/>
  <c r="AE142" i="18"/>
  <c r="W143" i="18"/>
  <c r="X143" i="18" s="1"/>
  <c r="L109" i="18"/>
  <c r="AC98" i="1" l="1"/>
  <c r="AB98" i="1" s="1"/>
  <c r="AX123" i="1"/>
  <c r="AG98" i="1"/>
  <c r="AP124" i="1"/>
  <c r="AQ124" i="1" s="1"/>
  <c r="AE98" i="1"/>
  <c r="AF98" i="1" s="1"/>
  <c r="AD99" i="1" s="1"/>
  <c r="Z143" i="18"/>
  <c r="Y143" i="18" s="1"/>
  <c r="AD143" i="18"/>
  <c r="M109" i="18"/>
  <c r="K110" i="18" s="1"/>
  <c r="AC143" i="18"/>
  <c r="AA144" i="18" s="1"/>
  <c r="AB143" i="18"/>
  <c r="B93" i="12"/>
  <c r="AS124" i="1" l="1"/>
  <c r="AR124" i="1" s="1"/>
  <c r="Z99" i="1"/>
  <c r="AA99" i="1" s="1"/>
  <c r="AH98" i="1"/>
  <c r="AV124" i="1"/>
  <c r="AT125" i="1" s="1"/>
  <c r="AU124" i="1"/>
  <c r="AW124" i="1"/>
  <c r="AE143" i="18"/>
  <c r="G110" i="18"/>
  <c r="W144" i="18"/>
  <c r="AD144" i="18"/>
  <c r="Z144" i="18"/>
  <c r="Y144" i="18" s="1"/>
  <c r="O109" i="18"/>
  <c r="H94" i="12"/>
  <c r="AX124" i="1" l="1"/>
  <c r="AE99" i="1"/>
  <c r="AP125" i="1"/>
  <c r="AW125" i="1" s="1"/>
  <c r="AG99" i="1"/>
  <c r="AC99" i="1"/>
  <c r="AB99" i="1" s="1"/>
  <c r="L110" i="18"/>
  <c r="M110" i="18" s="1"/>
  <c r="K111" i="18" s="1"/>
  <c r="AC144" i="18"/>
  <c r="AA145" i="18" s="1"/>
  <c r="AB144" i="18"/>
  <c r="AE144" i="18" s="1"/>
  <c r="H110" i="18"/>
  <c r="X144" i="18"/>
  <c r="N110" i="18"/>
  <c r="J110" i="18"/>
  <c r="I110" i="18" s="1"/>
  <c r="AS125" i="1" l="1"/>
  <c r="AR125" i="1" s="1"/>
  <c r="AQ125" i="1"/>
  <c r="AV125" i="1"/>
  <c r="AT126" i="1" s="1"/>
  <c r="AU125" i="1"/>
  <c r="AF99" i="1"/>
  <c r="AD100" i="1" s="1"/>
  <c r="W145" i="18"/>
  <c r="AD145" i="18" s="1"/>
  <c r="O110" i="18"/>
  <c r="G111" i="18"/>
  <c r="N111" i="18" s="1"/>
  <c r="H95" i="12"/>
  <c r="B94" i="12"/>
  <c r="AX125" i="1" l="1"/>
  <c r="AP126" i="1"/>
  <c r="AQ126" i="1" s="1"/>
  <c r="Z100" i="1"/>
  <c r="AH99" i="1"/>
  <c r="X145" i="18"/>
  <c r="L111" i="18"/>
  <c r="AC145" i="18"/>
  <c r="AA146" i="18" s="1"/>
  <c r="AB145" i="18"/>
  <c r="H111" i="18"/>
  <c r="J111" i="18"/>
  <c r="I111" i="18" s="1"/>
  <c r="Z145" i="18"/>
  <c r="Y145" i="18" s="1"/>
  <c r="AS126" i="1" l="1"/>
  <c r="AR126" i="1" s="1"/>
  <c r="AE100" i="1"/>
  <c r="AF100" i="1" s="1"/>
  <c r="AD101" i="1" s="1"/>
  <c r="AA100" i="1"/>
  <c r="AG100" i="1"/>
  <c r="AV126" i="1"/>
  <c r="AT127" i="1" s="1"/>
  <c r="AU126" i="1"/>
  <c r="AC100" i="1"/>
  <c r="AB100" i="1" s="1"/>
  <c r="AW126" i="1"/>
  <c r="W146" i="18"/>
  <c r="AD146" i="18" s="1"/>
  <c r="Z146" i="18"/>
  <c r="Y146" i="18" s="1"/>
  <c r="X146" i="18"/>
  <c r="M111" i="18"/>
  <c r="K112" i="18" s="1"/>
  <c r="AE145" i="18"/>
  <c r="B95" i="12"/>
  <c r="AX126" i="1" l="1"/>
  <c r="Z101" i="1"/>
  <c r="AG101" i="1" s="1"/>
  <c r="AP127" i="1"/>
  <c r="AS127" i="1" s="1"/>
  <c r="AR127" i="1" s="1"/>
  <c r="AH100" i="1"/>
  <c r="G112" i="18"/>
  <c r="H112" i="18" s="1"/>
  <c r="AC146" i="18"/>
  <c r="AA147" i="18" s="1"/>
  <c r="AB146" i="18"/>
  <c r="O111" i="18"/>
  <c r="H96" i="12"/>
  <c r="AA101" i="1" l="1"/>
  <c r="AC101" i="1"/>
  <c r="AB101" i="1" s="1"/>
  <c r="AU127" i="1"/>
  <c r="AV127" i="1"/>
  <c r="AT128" i="1" s="1"/>
  <c r="AW127" i="1"/>
  <c r="AQ127" i="1"/>
  <c r="AE101" i="1"/>
  <c r="J112" i="18"/>
  <c r="I112" i="18" s="1"/>
  <c r="N112" i="18"/>
  <c r="AE146" i="18"/>
  <c r="L112" i="18"/>
  <c r="W147" i="18"/>
  <c r="AD147" i="18" s="1"/>
  <c r="AP128" i="1" l="1"/>
  <c r="AW128" i="1" s="1"/>
  <c r="AF101" i="1"/>
  <c r="AD102" i="1" s="1"/>
  <c r="AX127" i="1"/>
  <c r="Z147" i="18"/>
  <c r="Y147" i="18" s="1"/>
  <c r="X147" i="18"/>
  <c r="AC147" i="18"/>
  <c r="AA148" i="18" s="1"/>
  <c r="AB147" i="18"/>
  <c r="M112" i="18"/>
  <c r="K113" i="18" s="1"/>
  <c r="B96" i="12"/>
  <c r="AS128" i="1" l="1"/>
  <c r="AR128" i="1" s="1"/>
  <c r="AQ128" i="1"/>
  <c r="Z102" i="1"/>
  <c r="AA102" i="1" s="1"/>
  <c r="AH101" i="1"/>
  <c r="AV128" i="1"/>
  <c r="AT129" i="1" s="1"/>
  <c r="AU128" i="1"/>
  <c r="G113" i="18"/>
  <c r="N113" i="18" s="1"/>
  <c r="O112" i="18"/>
  <c r="AE147" i="18"/>
  <c r="W148" i="18"/>
  <c r="Z148" i="18" s="1"/>
  <c r="Y148" i="18" s="1"/>
  <c r="H97" i="12"/>
  <c r="AX128" i="1" l="1"/>
  <c r="AC102" i="1"/>
  <c r="AB102" i="1" s="1"/>
  <c r="AG102" i="1"/>
  <c r="AP129" i="1"/>
  <c r="AW129" i="1" s="1"/>
  <c r="AE102" i="1"/>
  <c r="AF102" i="1" s="1"/>
  <c r="AD103" i="1" s="1"/>
  <c r="H113" i="18"/>
  <c r="J113" i="18"/>
  <c r="I113" i="18" s="1"/>
  <c r="AC148" i="18"/>
  <c r="AA149" i="18" s="1"/>
  <c r="AB148" i="18"/>
  <c r="X148" i="18"/>
  <c r="AD148" i="18"/>
  <c r="L113" i="18"/>
  <c r="AS129" i="1" l="1"/>
  <c r="AR129" i="1" s="1"/>
  <c r="AQ129" i="1"/>
  <c r="AH102" i="1"/>
  <c r="Z103" i="1"/>
  <c r="AC103" i="1" s="1"/>
  <c r="AB103" i="1" s="1"/>
  <c r="AV129" i="1"/>
  <c r="AT130" i="1" s="1"/>
  <c r="AU129" i="1"/>
  <c r="AE148" i="18"/>
  <c r="M113" i="18"/>
  <c r="K114" i="18" s="1"/>
  <c r="W149" i="18"/>
  <c r="AD149" i="18" s="1"/>
  <c r="B97" i="12"/>
  <c r="AA103" i="1" l="1"/>
  <c r="AG103" i="1"/>
  <c r="AX129" i="1"/>
  <c r="AP130" i="1"/>
  <c r="AS130" i="1" s="1"/>
  <c r="AR130" i="1" s="1"/>
  <c r="AE103" i="1"/>
  <c r="X149" i="18"/>
  <c r="O113" i="18"/>
  <c r="Z149" i="18"/>
  <c r="Y149" i="18" s="1"/>
  <c r="G114" i="18"/>
  <c r="J114" i="18" s="1"/>
  <c r="I114" i="18" s="1"/>
  <c r="AC149" i="18"/>
  <c r="AA150" i="18" s="1"/>
  <c r="AB149" i="18"/>
  <c r="AE149" i="18" s="1"/>
  <c r="H98" i="12"/>
  <c r="AV130" i="1" l="1"/>
  <c r="AT131" i="1" s="1"/>
  <c r="AU130" i="1"/>
  <c r="AW130" i="1"/>
  <c r="AF103" i="1"/>
  <c r="AD104" i="1" s="1"/>
  <c r="AQ130" i="1"/>
  <c r="L114" i="18"/>
  <c r="W150" i="18"/>
  <c r="AD150" i="18" s="1"/>
  <c r="H114" i="18"/>
  <c r="N114" i="18"/>
  <c r="AX130" i="1" l="1"/>
  <c r="AH103" i="1"/>
  <c r="Z104" i="1"/>
  <c r="AA104" i="1" s="1"/>
  <c r="AP131" i="1"/>
  <c r="AQ131" i="1" s="1"/>
  <c r="X150" i="18"/>
  <c r="AB150" i="18"/>
  <c r="AC150" i="18" s="1"/>
  <c r="AA151" i="18" s="1"/>
  <c r="Z150" i="18"/>
  <c r="Y150" i="18" s="1"/>
  <c r="M114" i="18"/>
  <c r="K115" i="18" s="1"/>
  <c r="H99" i="12"/>
  <c r="B98" i="12"/>
  <c r="AS131" i="1" l="1"/>
  <c r="AR131" i="1" s="1"/>
  <c r="AW131" i="1"/>
  <c r="AE104" i="1"/>
  <c r="AC104" i="1"/>
  <c r="AB104" i="1" s="1"/>
  <c r="AV131" i="1"/>
  <c r="AT132" i="1" s="1"/>
  <c r="AU131" i="1"/>
  <c r="AG104" i="1"/>
  <c r="AE150" i="18"/>
  <c r="O114" i="18"/>
  <c r="G115" i="18"/>
  <c r="N115" i="18" s="1"/>
  <c r="Z151" i="18"/>
  <c r="Y151" i="18" s="1"/>
  <c r="W151" i="18"/>
  <c r="X151" i="18" s="1"/>
  <c r="AP132" i="1" l="1"/>
  <c r="AQ132" i="1" s="1"/>
  <c r="AX131" i="1"/>
  <c r="AF104" i="1"/>
  <c r="AD105" i="1" s="1"/>
  <c r="J115" i="18"/>
  <c r="I115" i="18" s="1"/>
  <c r="H115" i="18"/>
  <c r="AD151" i="18"/>
  <c r="AC151" i="18"/>
  <c r="AA152" i="18" s="1"/>
  <c r="AB151" i="18"/>
  <c r="L115" i="18"/>
  <c r="H100" i="12"/>
  <c r="B99" i="12"/>
  <c r="AS132" i="1" l="1"/>
  <c r="AR132" i="1" s="1"/>
  <c r="Z105" i="1"/>
  <c r="AC105" i="1" s="1"/>
  <c r="AB105" i="1" s="1"/>
  <c r="AV132" i="1"/>
  <c r="AT133" i="1" s="1"/>
  <c r="AU132" i="1"/>
  <c r="AW132" i="1"/>
  <c r="AH104" i="1"/>
  <c r="AE151" i="18"/>
  <c r="M115" i="18"/>
  <c r="K116" i="18" s="1"/>
  <c r="W152" i="18"/>
  <c r="X152" i="18" s="1"/>
  <c r="Z152" i="18"/>
  <c r="Y152" i="18" s="1"/>
  <c r="AG105" i="1" l="1"/>
  <c r="AA105" i="1"/>
  <c r="AX132" i="1"/>
  <c r="AP133" i="1"/>
  <c r="AQ133" i="1" s="1"/>
  <c r="AE105" i="1"/>
  <c r="AF105" i="1" s="1"/>
  <c r="AD106" i="1" s="1"/>
  <c r="AD152" i="18"/>
  <c r="AC152" i="18"/>
  <c r="AA153" i="18" s="1"/>
  <c r="AB152" i="18"/>
  <c r="G116" i="18"/>
  <c r="N116" i="18" s="1"/>
  <c r="O115" i="18"/>
  <c r="AS133" i="1" l="1"/>
  <c r="AR133" i="1" s="1"/>
  <c r="AW133" i="1"/>
  <c r="Z106" i="1"/>
  <c r="AG106" i="1" s="1"/>
  <c r="AH105" i="1"/>
  <c r="AV133" i="1"/>
  <c r="AT134" i="1" s="1"/>
  <c r="AU133" i="1"/>
  <c r="AE152" i="18"/>
  <c r="H116" i="18"/>
  <c r="J116" i="18"/>
  <c r="I116" i="18" s="1"/>
  <c r="L116" i="18"/>
  <c r="W153" i="18"/>
  <c r="Z153" i="18" s="1"/>
  <c r="Y153" i="18" s="1"/>
  <c r="H101" i="12"/>
  <c r="B100" i="12"/>
  <c r="AA106" i="1" l="1"/>
  <c r="AC106" i="1"/>
  <c r="AB106" i="1" s="1"/>
  <c r="AX133" i="1"/>
  <c r="AP134" i="1"/>
  <c r="AQ134" i="1" s="1"/>
  <c r="AE106" i="1"/>
  <c r="AF106" i="1" s="1"/>
  <c r="AD107" i="1" s="1"/>
  <c r="AD153" i="18"/>
  <c r="X153" i="18"/>
  <c r="AC153" i="18"/>
  <c r="AA154" i="18" s="1"/>
  <c r="AB153" i="18"/>
  <c r="M116" i="18"/>
  <c r="K117" i="18" s="1"/>
  <c r="Z107" i="1" l="1"/>
  <c r="AG107" i="1" s="1"/>
  <c r="AV134" i="1"/>
  <c r="AT135" i="1" s="1"/>
  <c r="AU134" i="1"/>
  <c r="AS134" i="1"/>
  <c r="AR134" i="1" s="1"/>
  <c r="AW134" i="1"/>
  <c r="AH106" i="1"/>
  <c r="W154" i="18"/>
  <c r="AD154" i="18" s="1"/>
  <c r="O116" i="18"/>
  <c r="AE153" i="18"/>
  <c r="G117" i="18"/>
  <c r="H117" i="18" s="1"/>
  <c r="AC107" i="1" l="1"/>
  <c r="AB107" i="1" s="1"/>
  <c r="AX134" i="1"/>
  <c r="AP135" i="1"/>
  <c r="AW135" i="1" s="1"/>
  <c r="AE107" i="1"/>
  <c r="AF107" i="1" s="1"/>
  <c r="AD108" i="1" s="1"/>
  <c r="AA107" i="1"/>
  <c r="X154" i="18"/>
  <c r="L117" i="18"/>
  <c r="Z154" i="18"/>
  <c r="Y154" i="18" s="1"/>
  <c r="J117" i="18"/>
  <c r="I117" i="18" s="1"/>
  <c r="N117" i="18"/>
  <c r="AC154" i="18"/>
  <c r="AA155" i="18" s="1"/>
  <c r="AB154" i="18"/>
  <c r="H102" i="12"/>
  <c r="B101" i="12"/>
  <c r="AS135" i="1" l="1"/>
  <c r="AR135" i="1" s="1"/>
  <c r="AQ135" i="1"/>
  <c r="Z108" i="1"/>
  <c r="AA108" i="1" s="1"/>
  <c r="AH107" i="1"/>
  <c r="AU135" i="1"/>
  <c r="AV135" i="1"/>
  <c r="AT136" i="1" s="1"/>
  <c r="AE154" i="18"/>
  <c r="Z155" i="18"/>
  <c r="Y155" i="18" s="1"/>
  <c r="W155" i="18"/>
  <c r="AD155" i="18" s="1"/>
  <c r="M117" i="18"/>
  <c r="K118" i="18" s="1"/>
  <c r="AG108" i="1" l="1"/>
  <c r="AP136" i="1"/>
  <c r="AS136" i="1" s="1"/>
  <c r="AR136" i="1" s="1"/>
  <c r="AX135" i="1"/>
  <c r="AE108" i="1"/>
  <c r="AC108" i="1"/>
  <c r="AB108" i="1" s="1"/>
  <c r="O117" i="18"/>
  <c r="X155" i="18"/>
  <c r="G118" i="18"/>
  <c r="N118" i="18" s="1"/>
  <c r="AC155" i="18"/>
  <c r="AA156" i="18" s="1"/>
  <c r="AB155" i="18"/>
  <c r="H103" i="12"/>
  <c r="AV136" i="1" l="1"/>
  <c r="AT137" i="1" s="1"/>
  <c r="AU136" i="1"/>
  <c r="AF108" i="1"/>
  <c r="AD109" i="1" s="1"/>
  <c r="AQ136" i="1"/>
  <c r="AW136" i="1"/>
  <c r="AE155" i="18"/>
  <c r="J118" i="18"/>
  <c r="I118" i="18" s="1"/>
  <c r="H118" i="18"/>
  <c r="W156" i="18"/>
  <c r="X156" i="18" s="1"/>
  <c r="Z156" i="18"/>
  <c r="Y156" i="18" s="1"/>
  <c r="L118" i="18"/>
  <c r="M118" i="18" s="1"/>
  <c r="K119" i="18" s="1"/>
  <c r="B102" i="12"/>
  <c r="Z109" i="1" l="1"/>
  <c r="AC109" i="1" s="1"/>
  <c r="AB109" i="1" s="1"/>
  <c r="AX136" i="1"/>
  <c r="AP137" i="1"/>
  <c r="AW137" i="1" s="1"/>
  <c r="AH108" i="1"/>
  <c r="AD156" i="18"/>
  <c r="G119" i="18"/>
  <c r="N119" i="18" s="1"/>
  <c r="O118" i="18"/>
  <c r="AB156" i="18"/>
  <c r="AC156" i="18"/>
  <c r="AA157" i="18" s="1"/>
  <c r="H104" i="12"/>
  <c r="AQ137" i="1" l="1"/>
  <c r="AS137" i="1"/>
  <c r="AR137" i="1" s="1"/>
  <c r="AG109" i="1"/>
  <c r="AV137" i="1"/>
  <c r="AT138" i="1" s="1"/>
  <c r="AU137" i="1"/>
  <c r="AE109" i="1"/>
  <c r="AF109" i="1" s="1"/>
  <c r="AD110" i="1" s="1"/>
  <c r="AA109" i="1"/>
  <c r="H119" i="18"/>
  <c r="J119" i="18"/>
  <c r="I119" i="18" s="1"/>
  <c r="AE156" i="18"/>
  <c r="W157" i="18"/>
  <c r="L119" i="18"/>
  <c r="B103" i="12"/>
  <c r="AX137" i="1" l="1"/>
  <c r="Z110" i="1"/>
  <c r="AC110" i="1" s="1"/>
  <c r="AB110" i="1" s="1"/>
  <c r="AH109" i="1"/>
  <c r="AP138" i="1"/>
  <c r="AC157" i="18"/>
  <c r="AA158" i="18" s="1"/>
  <c r="AB157" i="18"/>
  <c r="M119" i="18"/>
  <c r="K120" i="18" s="1"/>
  <c r="X157" i="18"/>
  <c r="Z157" i="18"/>
  <c r="Y157" i="18" s="1"/>
  <c r="AD157" i="18"/>
  <c r="H105" i="12"/>
  <c r="AA110" i="1" l="1"/>
  <c r="AG110" i="1"/>
  <c r="AV138" i="1"/>
  <c r="AT139" i="1" s="1"/>
  <c r="AU138" i="1"/>
  <c r="AS138" i="1"/>
  <c r="AR138" i="1" s="1"/>
  <c r="AQ138" i="1"/>
  <c r="AW138" i="1"/>
  <c r="AE110" i="1"/>
  <c r="AE157" i="18"/>
  <c r="G120" i="18"/>
  <c r="J120" i="18" s="1"/>
  <c r="I120" i="18" s="1"/>
  <c r="W158" i="18"/>
  <c r="AD158" i="18" s="1"/>
  <c r="Z158" i="18"/>
  <c r="Y158" i="18" s="1"/>
  <c r="O119" i="18"/>
  <c r="B104" i="12"/>
  <c r="AX138" i="1" l="1"/>
  <c r="AF110" i="1"/>
  <c r="AD111" i="1" s="1"/>
  <c r="AP139" i="1"/>
  <c r="AW139" i="1" s="1"/>
  <c r="X158" i="18"/>
  <c r="L120" i="18"/>
  <c r="AC158" i="18"/>
  <c r="AA159" i="18" s="1"/>
  <c r="AB158" i="18"/>
  <c r="H120" i="18"/>
  <c r="N120" i="18"/>
  <c r="AS139" i="1" l="1"/>
  <c r="AR139" i="1" s="1"/>
  <c r="AQ139" i="1"/>
  <c r="Z111" i="1"/>
  <c r="AG111" i="1" s="1"/>
  <c r="AU139" i="1"/>
  <c r="AV139" i="1"/>
  <c r="AT140" i="1" s="1"/>
  <c r="AH110" i="1"/>
  <c r="AE158" i="18"/>
  <c r="X159" i="18"/>
  <c r="Z159" i="18"/>
  <c r="Y159" i="18" s="1"/>
  <c r="W159" i="18"/>
  <c r="AD159" i="18" s="1"/>
  <c r="M120" i="18"/>
  <c r="K121" i="18" s="1"/>
  <c r="H106" i="12"/>
  <c r="B105" i="12"/>
  <c r="AX139" i="1" l="1"/>
  <c r="AC111" i="1"/>
  <c r="AB111" i="1" s="1"/>
  <c r="AP140" i="1"/>
  <c r="AQ140" i="1" s="1"/>
  <c r="AE111" i="1"/>
  <c r="AF111" i="1" s="1"/>
  <c r="AD112" i="1" s="1"/>
  <c r="AA111" i="1"/>
  <c r="G121" i="18"/>
  <c r="N121" i="18" s="1"/>
  <c r="O120" i="18"/>
  <c r="AC159" i="18"/>
  <c r="AA160" i="18" s="1"/>
  <c r="AB159" i="18"/>
  <c r="AS140" i="1" l="1"/>
  <c r="AR140" i="1" s="1"/>
  <c r="AH111" i="1"/>
  <c r="AV140" i="1"/>
  <c r="AT141" i="1" s="1"/>
  <c r="AU140" i="1"/>
  <c r="Z112" i="1"/>
  <c r="AA112" i="1" s="1"/>
  <c r="AW140" i="1"/>
  <c r="H121" i="18"/>
  <c r="AE159" i="18"/>
  <c r="J121" i="18"/>
  <c r="I121" i="18" s="1"/>
  <c r="W160" i="18"/>
  <c r="X160" i="18" s="1"/>
  <c r="Z160" i="18"/>
  <c r="Y160" i="18" s="1"/>
  <c r="L121" i="18"/>
  <c r="H107" i="12"/>
  <c r="AE112" i="1" l="1"/>
  <c r="AC112" i="1"/>
  <c r="AB112" i="1" s="1"/>
  <c r="AX140" i="1"/>
  <c r="AP141" i="1"/>
  <c r="AQ141" i="1" s="1"/>
  <c r="AG112" i="1"/>
  <c r="AD160" i="18"/>
  <c r="M121" i="18"/>
  <c r="K122" i="18" s="1"/>
  <c r="AC160" i="18"/>
  <c r="AA161" i="18" s="1"/>
  <c r="AB160" i="18"/>
  <c r="B106" i="12"/>
  <c r="AS141" i="1" l="1"/>
  <c r="AR141" i="1" s="1"/>
  <c r="AW141" i="1"/>
  <c r="AU141" i="1"/>
  <c r="AV141" i="1"/>
  <c r="AT142" i="1" s="1"/>
  <c r="AF112" i="1"/>
  <c r="AD113" i="1" s="1"/>
  <c r="AE160" i="18"/>
  <c r="W161" i="18"/>
  <c r="AD161" i="18" s="1"/>
  <c r="Z161" i="18"/>
  <c r="Y161" i="18" s="1"/>
  <c r="G122" i="18"/>
  <c r="J122" i="18" s="1"/>
  <c r="I122" i="18" s="1"/>
  <c r="O121" i="18"/>
  <c r="H108" i="12"/>
  <c r="AX141" i="1" l="1"/>
  <c r="Z113" i="1"/>
  <c r="AG113" i="1" s="1"/>
  <c r="AP142" i="1"/>
  <c r="AW142" i="1" s="1"/>
  <c r="AH112" i="1"/>
  <c r="L122" i="18"/>
  <c r="H122" i="18"/>
  <c r="AC161" i="18"/>
  <c r="AA162" i="18" s="1"/>
  <c r="AB161" i="18"/>
  <c r="N122" i="18"/>
  <c r="X161" i="18"/>
  <c r="B107" i="12"/>
  <c r="AS142" i="1" l="1"/>
  <c r="AR142" i="1" s="1"/>
  <c r="AQ142" i="1"/>
  <c r="AC113" i="1"/>
  <c r="AB113" i="1" s="1"/>
  <c r="AV142" i="1"/>
  <c r="AT143" i="1" s="1"/>
  <c r="AU142" i="1"/>
  <c r="AE113" i="1"/>
  <c r="AF113" i="1" s="1"/>
  <c r="AD114" i="1" s="1"/>
  <c r="AA113" i="1"/>
  <c r="AE161" i="18"/>
  <c r="W162" i="18"/>
  <c r="AD162" i="18" s="1"/>
  <c r="X162" i="18"/>
  <c r="M122" i="18"/>
  <c r="K123" i="18" s="1"/>
  <c r="AX142" i="1" l="1"/>
  <c r="Z114" i="1"/>
  <c r="AG114" i="1" s="1"/>
  <c r="AH113" i="1"/>
  <c r="AP143" i="1"/>
  <c r="AQ143" i="1" s="1"/>
  <c r="O122" i="18"/>
  <c r="G123" i="18"/>
  <c r="N123" i="18" s="1"/>
  <c r="Z162" i="18"/>
  <c r="Y162" i="18" s="1"/>
  <c r="AC162" i="18"/>
  <c r="AA163" i="18" s="1"/>
  <c r="AB162" i="18"/>
  <c r="H109" i="12"/>
  <c r="B108" i="12"/>
  <c r="AS143" i="1" l="1"/>
  <c r="AR143" i="1" s="1"/>
  <c r="AA114" i="1"/>
  <c r="AU143" i="1"/>
  <c r="AV143" i="1"/>
  <c r="AT144" i="1" s="1"/>
  <c r="AW143" i="1"/>
  <c r="AE114" i="1"/>
  <c r="AF114" i="1" s="1"/>
  <c r="AD115" i="1" s="1"/>
  <c r="AC114" i="1"/>
  <c r="AB114" i="1" s="1"/>
  <c r="J123" i="18"/>
  <c r="I123" i="18" s="1"/>
  <c r="AE162" i="18"/>
  <c r="H123" i="18"/>
  <c r="W163" i="18"/>
  <c r="X163" i="18" s="1"/>
  <c r="L123" i="18"/>
  <c r="M123" i="18" s="1"/>
  <c r="K124" i="18" s="1"/>
  <c r="AP144" i="1" l="1"/>
  <c r="AW144" i="1" s="1"/>
  <c r="Z115" i="1"/>
  <c r="AA115" i="1" s="1"/>
  <c r="AH114" i="1"/>
  <c r="AX143" i="1"/>
  <c r="O123" i="18"/>
  <c r="Z163" i="18"/>
  <c r="Y163" i="18" s="1"/>
  <c r="G124" i="18"/>
  <c r="N124" i="18" s="1"/>
  <c r="AC163" i="18"/>
  <c r="AA164" i="18" s="1"/>
  <c r="AB163" i="18"/>
  <c r="AD163" i="18"/>
  <c r="AC115" i="1" l="1"/>
  <c r="AB115" i="1" s="1"/>
  <c r="AG115" i="1"/>
  <c r="AS144" i="1"/>
  <c r="AR144" i="1" s="1"/>
  <c r="J124" i="18"/>
  <c r="I124" i="18" s="1"/>
  <c r="AQ144" i="1"/>
  <c r="AE115" i="1"/>
  <c r="AF115" i="1" s="1"/>
  <c r="AD116" i="1" s="1"/>
  <c r="AV144" i="1"/>
  <c r="AT145" i="1" s="1"/>
  <c r="AU144" i="1"/>
  <c r="H124" i="18"/>
  <c r="W164" i="18"/>
  <c r="AD164" i="18" s="1"/>
  <c r="Z164" i="18"/>
  <c r="Y164" i="18" s="1"/>
  <c r="X164" i="18"/>
  <c r="AE163" i="18"/>
  <c r="L124" i="18"/>
  <c r="H110" i="12"/>
  <c r="B109" i="12"/>
  <c r="AX144" i="1" l="1"/>
  <c r="Z116" i="1"/>
  <c r="AG116" i="1" s="1"/>
  <c r="AP145" i="1"/>
  <c r="AW145" i="1" s="1"/>
  <c r="AH115" i="1"/>
  <c r="M124" i="18"/>
  <c r="K125" i="18" s="1"/>
  <c r="AC164" i="18"/>
  <c r="AA165" i="18" s="1"/>
  <c r="AB164" i="18"/>
  <c r="AV145" i="1" l="1"/>
  <c r="AT146" i="1" s="1"/>
  <c r="AU145" i="1"/>
  <c r="AS145" i="1"/>
  <c r="AR145" i="1" s="1"/>
  <c r="AE116" i="1"/>
  <c r="AQ145" i="1"/>
  <c r="AA116" i="1"/>
  <c r="AC116" i="1"/>
  <c r="AB116" i="1" s="1"/>
  <c r="AE164" i="18"/>
  <c r="W165" i="18"/>
  <c r="X165" i="18" s="1"/>
  <c r="G125" i="18"/>
  <c r="N125" i="18" s="1"/>
  <c r="O124" i="18"/>
  <c r="H111" i="12"/>
  <c r="AX145" i="1" l="1"/>
  <c r="AF116" i="1"/>
  <c r="AD117" i="1" s="1"/>
  <c r="AP146" i="1"/>
  <c r="AQ146" i="1" s="1"/>
  <c r="AD165" i="18"/>
  <c r="H125" i="18"/>
  <c r="J125" i="18"/>
  <c r="I125" i="18" s="1"/>
  <c r="AC165" i="18"/>
  <c r="AA166" i="18" s="1"/>
  <c r="AB165" i="18"/>
  <c r="L125" i="18"/>
  <c r="M125" i="18" s="1"/>
  <c r="K126" i="18" s="1"/>
  <c r="Z165" i="18"/>
  <c r="Y165" i="18" s="1"/>
  <c r="B110" i="12"/>
  <c r="AV146" i="1" l="1"/>
  <c r="AT147" i="1" s="1"/>
  <c r="AU146" i="1"/>
  <c r="AS146" i="1"/>
  <c r="AR146" i="1" s="1"/>
  <c r="Z117" i="1"/>
  <c r="AW146" i="1"/>
  <c r="AH116" i="1"/>
  <c r="AE165" i="18"/>
  <c r="G126" i="18"/>
  <c r="H126" i="18" s="1"/>
  <c r="O125" i="18"/>
  <c r="W166" i="18"/>
  <c r="Z166" i="18" s="1"/>
  <c r="Y166" i="18" s="1"/>
  <c r="AX146" i="1" l="1"/>
  <c r="AE117" i="1"/>
  <c r="AF117" i="1" s="1"/>
  <c r="AD118" i="1" s="1"/>
  <c r="AC117" i="1"/>
  <c r="AB117" i="1" s="1"/>
  <c r="AA117" i="1"/>
  <c r="AG117" i="1"/>
  <c r="AP147" i="1"/>
  <c r="AD166" i="18"/>
  <c r="X166" i="18"/>
  <c r="J126" i="18"/>
  <c r="I126" i="18" s="1"/>
  <c r="N126" i="18"/>
  <c r="AC166" i="18"/>
  <c r="AA167" i="18" s="1"/>
  <c r="AB166" i="18"/>
  <c r="L126" i="18"/>
  <c r="H112" i="12"/>
  <c r="B111" i="12"/>
  <c r="AU147" i="1" l="1"/>
  <c r="AV147" i="1"/>
  <c r="AT148" i="1" s="1"/>
  <c r="Z118" i="1"/>
  <c r="AC118" i="1" s="1"/>
  <c r="AB118" i="1" s="1"/>
  <c r="AS147" i="1"/>
  <c r="AR147" i="1" s="1"/>
  <c r="AW147" i="1"/>
  <c r="AQ147" i="1"/>
  <c r="AH117" i="1"/>
  <c r="AE166" i="18"/>
  <c r="M126" i="18"/>
  <c r="K127" i="18" s="1"/>
  <c r="X167" i="18"/>
  <c r="Z167" i="18"/>
  <c r="Y167" i="18" s="1"/>
  <c r="W167" i="18"/>
  <c r="AD167" i="18" s="1"/>
  <c r="AA118" i="1" l="1"/>
  <c r="AG118" i="1"/>
  <c r="AP148" i="1"/>
  <c r="AW148" i="1" s="1"/>
  <c r="AE118" i="1"/>
  <c r="AF118" i="1" s="1"/>
  <c r="AD119" i="1" s="1"/>
  <c r="AX147" i="1"/>
  <c r="AC167" i="18"/>
  <c r="AA168" i="18" s="1"/>
  <c r="AB167" i="18"/>
  <c r="G127" i="18"/>
  <c r="J127" i="18" s="1"/>
  <c r="I127" i="18" s="1"/>
  <c r="O126" i="18"/>
  <c r="H113" i="12"/>
  <c r="AS148" i="1" l="1"/>
  <c r="AR148" i="1" s="1"/>
  <c r="Z119" i="1"/>
  <c r="AC119" i="1" s="1"/>
  <c r="AB119" i="1" s="1"/>
  <c r="AH118" i="1"/>
  <c r="AV148" i="1"/>
  <c r="AT149" i="1" s="1"/>
  <c r="AU148" i="1"/>
  <c r="AQ148" i="1"/>
  <c r="H127" i="18"/>
  <c r="N127" i="18"/>
  <c r="L127" i="18"/>
  <c r="M127" i="18" s="1"/>
  <c r="K128" i="18" s="1"/>
  <c r="AE167" i="18"/>
  <c r="W168" i="18"/>
  <c r="AD168" i="18" s="1"/>
  <c r="Z168" i="18"/>
  <c r="Y168" i="18" s="1"/>
  <c r="B112" i="12"/>
  <c r="AX148" i="1" l="1"/>
  <c r="AE119" i="1"/>
  <c r="AF119" i="1" s="1"/>
  <c r="AD120" i="1" s="1"/>
  <c r="AP149" i="1"/>
  <c r="AW149" i="1" s="1"/>
  <c r="AG119" i="1"/>
  <c r="AA119" i="1"/>
  <c r="AC168" i="18"/>
  <c r="AA169" i="18" s="1"/>
  <c r="AB168" i="18"/>
  <c r="X168" i="18"/>
  <c r="O127" i="18"/>
  <c r="G128" i="18"/>
  <c r="H128" i="18" s="1"/>
  <c r="AS149" i="1" l="1"/>
  <c r="AR149" i="1" s="1"/>
  <c r="AQ149" i="1"/>
  <c r="AU149" i="1"/>
  <c r="AV149" i="1"/>
  <c r="AT150" i="1" s="1"/>
  <c r="Z120" i="1"/>
  <c r="AG120" i="1" s="1"/>
  <c r="AH119" i="1"/>
  <c r="J128" i="18"/>
  <c r="I128" i="18" s="1"/>
  <c r="N128" i="18"/>
  <c r="AE168" i="18"/>
  <c r="L128" i="18"/>
  <c r="W169" i="18"/>
  <c r="Z169" i="18" s="1"/>
  <c r="Y169" i="18" s="1"/>
  <c r="H114" i="12"/>
  <c r="AA120" i="1" l="1"/>
  <c r="AP150" i="1"/>
  <c r="AQ150" i="1" s="1"/>
  <c r="AE120" i="1"/>
  <c r="AC120" i="1"/>
  <c r="AB120" i="1" s="1"/>
  <c r="AX149" i="1"/>
  <c r="AD169" i="18"/>
  <c r="X169" i="18"/>
  <c r="AC169" i="18"/>
  <c r="AA170" i="18" s="1"/>
  <c r="AB169" i="18"/>
  <c r="M128" i="18"/>
  <c r="K129" i="18" s="1"/>
  <c r="B113" i="12"/>
  <c r="AV150" i="1" l="1"/>
  <c r="AT151" i="1" s="1"/>
  <c r="AU150" i="1"/>
  <c r="AW150" i="1"/>
  <c r="AF120" i="1"/>
  <c r="AD121" i="1" s="1"/>
  <c r="AS150" i="1"/>
  <c r="AR150" i="1" s="1"/>
  <c r="AE169" i="18"/>
  <c r="W170" i="18"/>
  <c r="AD170" i="18" s="1"/>
  <c r="Z170" i="18"/>
  <c r="Y170" i="18" s="1"/>
  <c r="X170" i="18"/>
  <c r="G129" i="18"/>
  <c r="N129" i="18" s="1"/>
  <c r="O128" i="18"/>
  <c r="H115" i="12"/>
  <c r="AH120" i="1" l="1"/>
  <c r="AX150" i="1"/>
  <c r="Z121" i="1"/>
  <c r="AA121" i="1" s="1"/>
  <c r="AP151" i="1"/>
  <c r="AW151" i="1" s="1"/>
  <c r="J129" i="18"/>
  <c r="I129" i="18" s="1"/>
  <c r="H129" i="18"/>
  <c r="L129" i="18"/>
  <c r="AC170" i="18"/>
  <c r="AA171" i="18" s="1"/>
  <c r="AB170" i="18"/>
  <c r="AS151" i="1" l="1"/>
  <c r="AR151" i="1" s="1"/>
  <c r="AE121" i="1"/>
  <c r="AF121" i="1" s="1"/>
  <c r="AD122" i="1" s="1"/>
  <c r="AU151" i="1"/>
  <c r="AV151" i="1"/>
  <c r="AT152" i="1" s="1"/>
  <c r="AC121" i="1"/>
  <c r="AB121" i="1" s="1"/>
  <c r="AQ151" i="1"/>
  <c r="AG121" i="1"/>
  <c r="AE170" i="18"/>
  <c r="W171" i="18"/>
  <c r="X171" i="18" s="1"/>
  <c r="M129" i="18"/>
  <c r="K130" i="18" s="1"/>
  <c r="B114" i="12"/>
  <c r="Z122" i="1" l="1"/>
  <c r="AP152" i="1"/>
  <c r="AW152" i="1" s="1"/>
  <c r="AX151" i="1"/>
  <c r="AH121" i="1"/>
  <c r="Z171" i="18"/>
  <c r="Y171" i="18" s="1"/>
  <c r="O129" i="18"/>
  <c r="AC171" i="18"/>
  <c r="AA172" i="18" s="1"/>
  <c r="AB171" i="18"/>
  <c r="G130" i="18"/>
  <c r="J130" i="18" s="1"/>
  <c r="I130" i="18" s="1"/>
  <c r="AD171" i="18"/>
  <c r="H116" i="12"/>
  <c r="AQ152" i="1" l="1"/>
  <c r="AS152" i="1"/>
  <c r="AR152" i="1" s="1"/>
  <c r="AE122" i="1"/>
  <c r="AV152" i="1"/>
  <c r="AT153" i="1" s="1"/>
  <c r="AU152" i="1"/>
  <c r="AG122" i="1"/>
  <c r="AA122" i="1"/>
  <c r="AC122" i="1"/>
  <c r="AB122" i="1" s="1"/>
  <c r="L130" i="18"/>
  <c r="M130" i="18" s="1"/>
  <c r="K131" i="18" s="1"/>
  <c r="AE171" i="18"/>
  <c r="H130" i="18"/>
  <c r="W172" i="18"/>
  <c r="AD172" i="18" s="1"/>
  <c r="N130" i="18"/>
  <c r="B115" i="12"/>
  <c r="AX152" i="1" l="1"/>
  <c r="AP153" i="1"/>
  <c r="AQ153" i="1" s="1"/>
  <c r="AF122" i="1"/>
  <c r="AD123" i="1" s="1"/>
  <c r="X172" i="18"/>
  <c r="Z172" i="18"/>
  <c r="Y172" i="18" s="1"/>
  <c r="O130" i="18"/>
  <c r="AC172" i="18"/>
  <c r="AA173" i="18" s="1"/>
  <c r="AB172" i="18"/>
  <c r="G131" i="18"/>
  <c r="AS153" i="1" l="1"/>
  <c r="AR153" i="1" s="1"/>
  <c r="AW153" i="1"/>
  <c r="AH122" i="1"/>
  <c r="Z123" i="1"/>
  <c r="AC123" i="1" s="1"/>
  <c r="AB123" i="1" s="1"/>
  <c r="AV153" i="1"/>
  <c r="AT154" i="1" s="1"/>
  <c r="AU153" i="1"/>
  <c r="AE172" i="18"/>
  <c r="L131" i="18"/>
  <c r="M131" i="18" s="1"/>
  <c r="K132" i="18" s="1"/>
  <c r="H131" i="18"/>
  <c r="J131" i="18"/>
  <c r="I131" i="18" s="1"/>
  <c r="X173" i="18"/>
  <c r="W173" i="18"/>
  <c r="AD173" i="18"/>
  <c r="Z173" i="18"/>
  <c r="Y173" i="18" s="1"/>
  <c r="N131" i="18"/>
  <c r="H117" i="12"/>
  <c r="AX153" i="1" l="1"/>
  <c r="AP154" i="1"/>
  <c r="AQ154" i="1" s="1"/>
  <c r="AE123" i="1"/>
  <c r="AF123" i="1" s="1"/>
  <c r="AD124" i="1" s="1"/>
  <c r="AG123" i="1"/>
  <c r="AA123" i="1"/>
  <c r="AC173" i="18"/>
  <c r="AA174" i="18" s="1"/>
  <c r="AB173" i="18"/>
  <c r="O131" i="18"/>
  <c r="G132" i="18"/>
  <c r="N132" i="18" s="1"/>
  <c r="B116" i="12"/>
  <c r="AW154" i="1" l="1"/>
  <c r="AS154" i="1"/>
  <c r="AR154" i="1" s="1"/>
  <c r="Z124" i="1"/>
  <c r="AH123" i="1"/>
  <c r="AV154" i="1"/>
  <c r="AT155" i="1" s="1"/>
  <c r="AU154" i="1"/>
  <c r="J132" i="18"/>
  <c r="I132" i="18" s="1"/>
  <c r="AE173" i="18"/>
  <c r="L132" i="18"/>
  <c r="H132" i="18"/>
  <c r="W174" i="18"/>
  <c r="X174" i="18"/>
  <c r="AX154" i="1" l="1"/>
  <c r="AP155" i="1"/>
  <c r="AW155" i="1" s="1"/>
  <c r="AE124" i="1"/>
  <c r="AG124" i="1"/>
  <c r="AA124" i="1"/>
  <c r="AC124" i="1"/>
  <c r="AB124" i="1" s="1"/>
  <c r="AC174" i="18"/>
  <c r="AA175" i="18" s="1"/>
  <c r="AB174" i="18"/>
  <c r="Z174" i="18"/>
  <c r="Y174" i="18" s="1"/>
  <c r="AD174" i="18"/>
  <c r="M132" i="18"/>
  <c r="K133" i="18" s="1"/>
  <c r="H118" i="12"/>
  <c r="B117" i="12"/>
  <c r="AQ155" i="1" l="1"/>
  <c r="AS155" i="1"/>
  <c r="AR155" i="1" s="1"/>
  <c r="AF124" i="1"/>
  <c r="AD125" i="1" s="1"/>
  <c r="AU155" i="1"/>
  <c r="AV155" i="1"/>
  <c r="AT156" i="1" s="1"/>
  <c r="AE174" i="18"/>
  <c r="G133" i="18"/>
  <c r="N133" i="18" s="1"/>
  <c r="Z175" i="18"/>
  <c r="Y175" i="18" s="1"/>
  <c r="W175" i="18"/>
  <c r="AD175" i="18" s="1"/>
  <c r="O132" i="18"/>
  <c r="AP156" i="1" l="1"/>
  <c r="AX155" i="1"/>
  <c r="Z125" i="1"/>
  <c r="AG125" i="1" s="1"/>
  <c r="AH124" i="1"/>
  <c r="J133" i="18"/>
  <c r="I133" i="18" s="1"/>
  <c r="H133" i="18"/>
  <c r="AC175" i="18"/>
  <c r="AA176" i="18" s="1"/>
  <c r="AB175" i="18"/>
  <c r="X175" i="18"/>
  <c r="L133" i="18"/>
  <c r="M133" i="18" s="1"/>
  <c r="K134" i="18" s="1"/>
  <c r="H119" i="12"/>
  <c r="AC125" i="1" l="1"/>
  <c r="AB125" i="1" s="1"/>
  <c r="AV156" i="1"/>
  <c r="AT157" i="1" s="1"/>
  <c r="AU156" i="1"/>
  <c r="AW156" i="1"/>
  <c r="AE125" i="1"/>
  <c r="AF125" i="1" s="1"/>
  <c r="AD126" i="1" s="1"/>
  <c r="AA125" i="1"/>
  <c r="AQ156" i="1"/>
  <c r="AS156" i="1"/>
  <c r="AR156" i="1" s="1"/>
  <c r="AE175" i="18"/>
  <c r="G134" i="18"/>
  <c r="N134" i="18" s="1"/>
  <c r="O133" i="18"/>
  <c r="W176" i="18"/>
  <c r="X176" i="18" s="1"/>
  <c r="B118" i="12"/>
  <c r="AX156" i="1" l="1"/>
  <c r="AH125" i="1"/>
  <c r="Z126" i="1"/>
  <c r="AA126" i="1" s="1"/>
  <c r="AP157" i="1"/>
  <c r="AW157" i="1" s="1"/>
  <c r="J134" i="18"/>
  <c r="I134" i="18" s="1"/>
  <c r="AD176" i="18"/>
  <c r="H134" i="18"/>
  <c r="Z176" i="18"/>
  <c r="Y176" i="18" s="1"/>
  <c r="AB176" i="18"/>
  <c r="AC176" i="18"/>
  <c r="AA177" i="18" s="1"/>
  <c r="L134" i="18"/>
  <c r="AQ157" i="1" l="1"/>
  <c r="AS157" i="1"/>
  <c r="AR157" i="1" s="1"/>
  <c r="AC126" i="1"/>
  <c r="AB126" i="1" s="1"/>
  <c r="AE126" i="1"/>
  <c r="AF126" i="1" s="1"/>
  <c r="AD127" i="1" s="1"/>
  <c r="AU157" i="1"/>
  <c r="AV157" i="1"/>
  <c r="AT158" i="1" s="1"/>
  <c r="AG126" i="1"/>
  <c r="AE176" i="18"/>
  <c r="M134" i="18"/>
  <c r="K135" i="18" s="1"/>
  <c r="W177" i="18"/>
  <c r="AD177" i="18" s="1"/>
  <c r="H120" i="12"/>
  <c r="B119" i="12"/>
  <c r="AP158" i="1" l="1"/>
  <c r="AQ158" i="1" s="1"/>
  <c r="Z127" i="1"/>
  <c r="AC127" i="1" s="1"/>
  <c r="AB127" i="1" s="1"/>
  <c r="AX157" i="1"/>
  <c r="AH126" i="1"/>
  <c r="Z177" i="18"/>
  <c r="Y177" i="18" s="1"/>
  <c r="X177" i="18"/>
  <c r="G135" i="18"/>
  <c r="N135" i="18" s="1"/>
  <c r="AB177" i="18"/>
  <c r="AC177" i="18"/>
  <c r="AA178" i="18" s="1"/>
  <c r="O134" i="18"/>
  <c r="AS158" i="1" l="1"/>
  <c r="AR158" i="1" s="1"/>
  <c r="AW158" i="1"/>
  <c r="AE127" i="1"/>
  <c r="AF127" i="1" s="1"/>
  <c r="AD128" i="1" s="1"/>
  <c r="AA127" i="1"/>
  <c r="AG127" i="1"/>
  <c r="AV158" i="1"/>
  <c r="AT159" i="1" s="1"/>
  <c r="AU158" i="1"/>
  <c r="J135" i="18"/>
  <c r="I135" i="18" s="1"/>
  <c r="H135" i="18"/>
  <c r="AE177" i="18"/>
  <c r="W178" i="18"/>
  <c r="Z178" i="18" s="1"/>
  <c r="Y178" i="18" s="1"/>
  <c r="L135" i="18"/>
  <c r="M135" i="18" s="1"/>
  <c r="K136" i="18" s="1"/>
  <c r="H121" i="12"/>
  <c r="AX158" i="1" l="1"/>
  <c r="Z128" i="1"/>
  <c r="AG128" i="1" s="1"/>
  <c r="AP159" i="1"/>
  <c r="AW159" i="1" s="1"/>
  <c r="AH127" i="1"/>
  <c r="AD178" i="18"/>
  <c r="G136" i="18"/>
  <c r="H136" i="18" s="1"/>
  <c r="O135" i="18"/>
  <c r="AB178" i="18"/>
  <c r="AC178" i="18"/>
  <c r="AA179" i="18" s="1"/>
  <c r="X178" i="18"/>
  <c r="B120" i="12"/>
  <c r="AQ159" i="1" l="1"/>
  <c r="AS159" i="1"/>
  <c r="AR159" i="1" s="1"/>
  <c r="AA128" i="1"/>
  <c r="AU159" i="1"/>
  <c r="AV159" i="1"/>
  <c r="AT160" i="1" s="1"/>
  <c r="AE128" i="1"/>
  <c r="AC128" i="1"/>
  <c r="AB128" i="1" s="1"/>
  <c r="J136" i="18"/>
  <c r="I136" i="18" s="1"/>
  <c r="L136" i="18"/>
  <c r="M136" i="18" s="1"/>
  <c r="K137" i="18" s="1"/>
  <c r="Z179" i="18"/>
  <c r="Y179" i="18" s="1"/>
  <c r="X179" i="18"/>
  <c r="W179" i="18"/>
  <c r="AE178" i="18"/>
  <c r="N136" i="18"/>
  <c r="AF128" i="1" l="1"/>
  <c r="AD129" i="1" s="1"/>
  <c r="AP160" i="1"/>
  <c r="AW160" i="1" s="1"/>
  <c r="AX159" i="1"/>
  <c r="AC179" i="18"/>
  <c r="AA180" i="18" s="1"/>
  <c r="AB179" i="18"/>
  <c r="AD179" i="18"/>
  <c r="O136" i="18"/>
  <c r="G137" i="18"/>
  <c r="N137" i="18" s="1"/>
  <c r="H122" i="12"/>
  <c r="B121" i="12"/>
  <c r="AV160" i="1" l="1"/>
  <c r="AT161" i="1" s="1"/>
  <c r="AU160" i="1"/>
  <c r="AS160" i="1"/>
  <c r="AR160" i="1" s="1"/>
  <c r="Z129" i="1"/>
  <c r="AQ160" i="1"/>
  <c r="AH128" i="1"/>
  <c r="H137" i="18"/>
  <c r="J137" i="18"/>
  <c r="I137" i="18" s="1"/>
  <c r="AE179" i="18"/>
  <c r="L137" i="18"/>
  <c r="W180" i="18"/>
  <c r="AX160" i="1" l="1"/>
  <c r="AE129" i="1"/>
  <c r="AF129" i="1" s="1"/>
  <c r="AD130" i="1" s="1"/>
  <c r="AA129" i="1"/>
  <c r="AG129" i="1"/>
  <c r="AC129" i="1"/>
  <c r="AB129" i="1" s="1"/>
  <c r="AP161" i="1"/>
  <c r="M137" i="18"/>
  <c r="K138" i="18" s="1"/>
  <c r="AB180" i="18"/>
  <c r="AC180" i="18"/>
  <c r="AA181" i="18" s="1"/>
  <c r="X180" i="18"/>
  <c r="AD180" i="18"/>
  <c r="Z180" i="18"/>
  <c r="Y180" i="18" s="1"/>
  <c r="H123" i="12"/>
  <c r="AU161" i="1" l="1"/>
  <c r="AV161" i="1"/>
  <c r="AT162" i="1" s="1"/>
  <c r="AW161" i="1"/>
  <c r="AS161" i="1"/>
  <c r="AR161" i="1" s="1"/>
  <c r="Z130" i="1"/>
  <c r="AG130" i="1" s="1"/>
  <c r="AQ161" i="1"/>
  <c r="AH129" i="1"/>
  <c r="W181" i="18"/>
  <c r="Z181" i="18" s="1"/>
  <c r="Y181" i="18" s="1"/>
  <c r="AE180" i="18"/>
  <c r="G138" i="18"/>
  <c r="J138" i="18" s="1"/>
  <c r="I138" i="18" s="1"/>
  <c r="O137" i="18"/>
  <c r="B122" i="12"/>
  <c r="AA130" i="1" l="1"/>
  <c r="AP162" i="1"/>
  <c r="AQ162" i="1" s="1"/>
  <c r="AE130" i="1"/>
  <c r="AF130" i="1" s="1"/>
  <c r="AD131" i="1" s="1"/>
  <c r="AC130" i="1"/>
  <c r="AB130" i="1" s="1"/>
  <c r="AX161" i="1"/>
  <c r="L138" i="18"/>
  <c r="AC181" i="18"/>
  <c r="AA182" i="18" s="1"/>
  <c r="AB181" i="18"/>
  <c r="AD181" i="18"/>
  <c r="H138" i="18"/>
  <c r="X181" i="18"/>
  <c r="N138" i="18"/>
  <c r="H124" i="12"/>
  <c r="Z131" i="1" l="1"/>
  <c r="AC131" i="1" s="1"/>
  <c r="AB131" i="1" s="1"/>
  <c r="AV162" i="1"/>
  <c r="AT163" i="1" s="1"/>
  <c r="AU162" i="1"/>
  <c r="AW162" i="1"/>
  <c r="AH130" i="1"/>
  <c r="AS162" i="1"/>
  <c r="AR162" i="1" s="1"/>
  <c r="AE181" i="18"/>
  <c r="X182" i="18"/>
  <c r="W182" i="18"/>
  <c r="AD182" i="18" s="1"/>
  <c r="M138" i="18"/>
  <c r="K139" i="18" s="1"/>
  <c r="B123" i="12"/>
  <c r="AA131" i="1" l="1"/>
  <c r="AG131" i="1"/>
  <c r="AP163" i="1"/>
  <c r="AW163" i="1" s="1"/>
  <c r="AE131" i="1"/>
  <c r="AF131" i="1" s="1"/>
  <c r="AD132" i="1" s="1"/>
  <c r="AX162" i="1"/>
  <c r="Z182" i="18"/>
  <c r="Y182" i="18" s="1"/>
  <c r="G139" i="18"/>
  <c r="AB182" i="18"/>
  <c r="AC182" i="18"/>
  <c r="AA183" i="18" s="1"/>
  <c r="O138" i="18"/>
  <c r="AS163" i="1" l="1"/>
  <c r="AR163" i="1" s="1"/>
  <c r="AQ163" i="1"/>
  <c r="Z132" i="1"/>
  <c r="AH131" i="1"/>
  <c r="AU163" i="1"/>
  <c r="AV163" i="1"/>
  <c r="AT164" i="1" s="1"/>
  <c r="AE182" i="18"/>
  <c r="Z183" i="18"/>
  <c r="Y183" i="18" s="1"/>
  <c r="W183" i="18"/>
  <c r="L139" i="18"/>
  <c r="J139" i="18"/>
  <c r="I139" i="18" s="1"/>
  <c r="H139" i="18"/>
  <c r="N139" i="18"/>
  <c r="H125" i="12"/>
  <c r="B124" i="12"/>
  <c r="AP164" i="1" l="1"/>
  <c r="AW164" i="1" s="1"/>
  <c r="AX163" i="1"/>
  <c r="AE132" i="1"/>
  <c r="AF132" i="1" s="1"/>
  <c r="AD133" i="1" s="1"/>
  <c r="AG132" i="1"/>
  <c r="AA132" i="1"/>
  <c r="AC132" i="1"/>
  <c r="AB132" i="1" s="1"/>
  <c r="AC183" i="18"/>
  <c r="AA184" i="18" s="1"/>
  <c r="AB183" i="18"/>
  <c r="M139" i="18"/>
  <c r="K140" i="18" s="1"/>
  <c r="X183" i="18"/>
  <c r="AD183" i="18"/>
  <c r="Z133" i="1" l="1"/>
  <c r="AA133" i="1" s="1"/>
  <c r="AH132" i="1"/>
  <c r="AV164" i="1"/>
  <c r="AT165" i="1" s="1"/>
  <c r="AU164" i="1"/>
  <c r="AS164" i="1"/>
  <c r="AR164" i="1" s="1"/>
  <c r="AQ164" i="1"/>
  <c r="G140" i="18"/>
  <c r="J140" i="18" s="1"/>
  <c r="I140" i="18" s="1"/>
  <c r="AE183" i="18"/>
  <c r="X184" i="18"/>
  <c r="W184" i="18"/>
  <c r="AD184" i="18" s="1"/>
  <c r="Z184" i="18"/>
  <c r="Y184" i="18" s="1"/>
  <c r="O139" i="18"/>
  <c r="AC133" i="1" l="1"/>
  <c r="AB133" i="1" s="1"/>
  <c r="AX164" i="1"/>
  <c r="AG133" i="1"/>
  <c r="AP165" i="1"/>
  <c r="AW165" i="1" s="1"/>
  <c r="AE133" i="1"/>
  <c r="AF133" i="1" s="1"/>
  <c r="AD134" i="1" s="1"/>
  <c r="N140" i="18"/>
  <c r="AB184" i="18"/>
  <c r="AC184" i="18"/>
  <c r="AA185" i="18" s="1"/>
  <c r="L140" i="18"/>
  <c r="M140" i="18" s="1"/>
  <c r="K141" i="18" s="1"/>
  <c r="H140" i="18"/>
  <c r="H126" i="12"/>
  <c r="B125" i="12"/>
  <c r="AQ165" i="1" l="1"/>
  <c r="AS165" i="1"/>
  <c r="AR165" i="1" s="1"/>
  <c r="AH133" i="1"/>
  <c r="Z134" i="1"/>
  <c r="AA134" i="1" s="1"/>
  <c r="AV165" i="1"/>
  <c r="AT166" i="1" s="1"/>
  <c r="AU165" i="1"/>
  <c r="AE184" i="18"/>
  <c r="G141" i="18"/>
  <c r="H141" i="18" s="1"/>
  <c r="O140" i="18"/>
  <c r="Z185" i="18"/>
  <c r="Y185" i="18" s="1"/>
  <c r="W185" i="18"/>
  <c r="AD185" i="18" s="1"/>
  <c r="AX165" i="1" l="1"/>
  <c r="AE134" i="1"/>
  <c r="AF134" i="1" s="1"/>
  <c r="AD135" i="1" s="1"/>
  <c r="AP166" i="1"/>
  <c r="AQ166" i="1" s="1"/>
  <c r="AG134" i="1"/>
  <c r="AC134" i="1"/>
  <c r="AB134" i="1" s="1"/>
  <c r="J141" i="18"/>
  <c r="I141" i="18" s="1"/>
  <c r="X185" i="18"/>
  <c r="AB185" i="18"/>
  <c r="AC185" i="18"/>
  <c r="AA186" i="18" s="1"/>
  <c r="L141" i="18"/>
  <c r="M141" i="18" s="1"/>
  <c r="K142" i="18" s="1"/>
  <c r="N141" i="18"/>
  <c r="AV166" i="1" l="1"/>
  <c r="AT167" i="1" s="1"/>
  <c r="AU166" i="1"/>
  <c r="AS166" i="1"/>
  <c r="AR166" i="1" s="1"/>
  <c r="Z135" i="1"/>
  <c r="AW166" i="1"/>
  <c r="AH134" i="1"/>
  <c r="AE185" i="18"/>
  <c r="W186" i="18"/>
  <c r="AD186" i="18" s="1"/>
  <c r="L12" i="17"/>
  <c r="G142" i="18"/>
  <c r="N142" i="18" s="1"/>
  <c r="O141" i="18"/>
  <c r="H127" i="12"/>
  <c r="B126" i="12"/>
  <c r="AX166" i="1" l="1"/>
  <c r="AE135" i="1"/>
  <c r="AA135" i="1"/>
  <c r="AG135" i="1"/>
  <c r="AC135" i="1"/>
  <c r="AB135" i="1" s="1"/>
  <c r="AP167" i="1"/>
  <c r="AW167" i="1" s="1"/>
  <c r="Z186" i="18"/>
  <c r="Y186" i="18" s="1"/>
  <c r="L142" i="18"/>
  <c r="M142" i="18" s="1"/>
  <c r="K143" i="18" s="1"/>
  <c r="J142" i="18"/>
  <c r="I142" i="18" s="1"/>
  <c r="H142" i="18"/>
  <c r="AB186" i="18"/>
  <c r="AC186" i="18" s="1"/>
  <c r="AA187" i="18" s="1"/>
  <c r="X186" i="18"/>
  <c r="AQ167" i="1" l="1"/>
  <c r="AS167" i="1"/>
  <c r="AR167" i="1" s="1"/>
  <c r="AU167" i="1"/>
  <c r="AV167" i="1"/>
  <c r="AT168" i="1" s="1"/>
  <c r="AF135" i="1"/>
  <c r="AD136" i="1" s="1"/>
  <c r="G143" i="18"/>
  <c r="H143" i="18" s="1"/>
  <c r="Z187" i="18"/>
  <c r="Y187" i="18" s="1"/>
  <c r="X187" i="18"/>
  <c r="W187" i="18"/>
  <c r="AE186" i="18"/>
  <c r="O142" i="18"/>
  <c r="B127" i="12"/>
  <c r="AH135" i="1" l="1"/>
  <c r="AP168" i="1"/>
  <c r="AQ168" i="1" s="1"/>
  <c r="Z136" i="1"/>
  <c r="AG136" i="1" s="1"/>
  <c r="AX167" i="1"/>
  <c r="J143" i="18"/>
  <c r="I143" i="18" s="1"/>
  <c r="AC187" i="18"/>
  <c r="AA188" i="18" s="1"/>
  <c r="AB187" i="18"/>
  <c r="AD187" i="18"/>
  <c r="L143" i="18"/>
  <c r="M143" i="18" s="1"/>
  <c r="K144" i="18" s="1"/>
  <c r="N143" i="18"/>
  <c r="H128" i="12"/>
  <c r="AS168" i="1" l="1"/>
  <c r="AR168" i="1" s="1"/>
  <c r="AW168" i="1"/>
  <c r="AA136" i="1"/>
  <c r="AE136" i="1"/>
  <c r="AF136" i="1" s="1"/>
  <c r="AD137" i="1" s="1"/>
  <c r="AC136" i="1"/>
  <c r="AB136" i="1" s="1"/>
  <c r="AV168" i="1"/>
  <c r="AT169" i="1" s="1"/>
  <c r="AU168" i="1"/>
  <c r="G144" i="18"/>
  <c r="H144" i="18" s="1"/>
  <c r="AE187" i="18"/>
  <c r="O143" i="18"/>
  <c r="X188" i="18"/>
  <c r="Z188" i="18"/>
  <c r="Y188" i="18" s="1"/>
  <c r="W188" i="18"/>
  <c r="AD188" i="18" s="1"/>
  <c r="AX168" i="1" l="1"/>
  <c r="Z137" i="1"/>
  <c r="AG137" i="1" s="1"/>
  <c r="AP169" i="1"/>
  <c r="AS169" i="1" s="1"/>
  <c r="AR169" i="1" s="1"/>
  <c r="AH136" i="1"/>
  <c r="N144" i="18"/>
  <c r="J144" i="18"/>
  <c r="I144" i="18" s="1"/>
  <c r="AB188" i="18"/>
  <c r="AC188" i="18"/>
  <c r="AA189" i="18" s="1"/>
  <c r="L144" i="18"/>
  <c r="M144" i="18" s="1"/>
  <c r="K145" i="18" s="1"/>
  <c r="B128" i="12"/>
  <c r="AQ169" i="1" l="1"/>
  <c r="AU169" i="1"/>
  <c r="AV169" i="1"/>
  <c r="AT170" i="1" s="1"/>
  <c r="AE137" i="1"/>
  <c r="AF137" i="1" s="1"/>
  <c r="AD138" i="1" s="1"/>
  <c r="AW169" i="1"/>
  <c r="AC137" i="1"/>
  <c r="AB137" i="1" s="1"/>
  <c r="AA137" i="1"/>
  <c r="G145" i="18"/>
  <c r="H145" i="18" s="1"/>
  <c r="O144" i="18"/>
  <c r="Z189" i="18"/>
  <c r="Y189" i="18" s="1"/>
  <c r="X189" i="18"/>
  <c r="W189" i="18"/>
  <c r="AE188" i="18"/>
  <c r="H129" i="12"/>
  <c r="Z138" i="1" l="1"/>
  <c r="AG138" i="1" s="1"/>
  <c r="AH137" i="1"/>
  <c r="AX169" i="1"/>
  <c r="AP170" i="1"/>
  <c r="AS170" i="1" s="1"/>
  <c r="AR170" i="1" s="1"/>
  <c r="J145" i="18"/>
  <c r="I145" i="18" s="1"/>
  <c r="AC189" i="18"/>
  <c r="AA190" i="18" s="1"/>
  <c r="AB189" i="18"/>
  <c r="AD189" i="18"/>
  <c r="L145" i="18"/>
  <c r="M145" i="18" s="1"/>
  <c r="K146" i="18" s="1"/>
  <c r="N145" i="18"/>
  <c r="AA138" i="1" l="1"/>
  <c r="AV170" i="1"/>
  <c r="AT171" i="1" s="1"/>
  <c r="AU170" i="1"/>
  <c r="AW170" i="1"/>
  <c r="AQ170" i="1"/>
  <c r="AE138" i="1"/>
  <c r="AF138" i="1" s="1"/>
  <c r="AD139" i="1" s="1"/>
  <c r="AC138" i="1"/>
  <c r="AB138" i="1" s="1"/>
  <c r="G146" i="18"/>
  <c r="N146" i="18" s="1"/>
  <c r="AE189" i="18"/>
  <c r="O145" i="18"/>
  <c r="X190" i="18"/>
  <c r="W190" i="18"/>
  <c r="AD190" i="18" s="1"/>
  <c r="Z190" i="18"/>
  <c r="Y190" i="18" s="1"/>
  <c r="B129" i="12"/>
  <c r="AX170" i="1" l="1"/>
  <c r="Z139" i="1"/>
  <c r="AG139" i="1" s="1"/>
  <c r="AH138" i="1"/>
  <c r="AP171" i="1"/>
  <c r="AS171" i="1" s="1"/>
  <c r="AR171" i="1" s="1"/>
  <c r="J146" i="18"/>
  <c r="I146" i="18" s="1"/>
  <c r="H146" i="18"/>
  <c r="AB190" i="18"/>
  <c r="AC190" i="18"/>
  <c r="AA191" i="18" s="1"/>
  <c r="L146" i="18"/>
  <c r="M146" i="18" s="1"/>
  <c r="K147" i="18" s="1"/>
  <c r="H130" i="12"/>
  <c r="AQ171" i="1" l="1"/>
  <c r="AW171" i="1"/>
  <c r="AU171" i="1"/>
  <c r="AV171" i="1"/>
  <c r="AT172" i="1" s="1"/>
  <c r="AE139" i="1"/>
  <c r="AF139" i="1" s="1"/>
  <c r="AD140" i="1" s="1"/>
  <c r="AC139" i="1"/>
  <c r="AB139" i="1" s="1"/>
  <c r="AA139" i="1"/>
  <c r="G147" i="18"/>
  <c r="H147" i="18" s="1"/>
  <c r="O146" i="18"/>
  <c r="Z191" i="18"/>
  <c r="Y191" i="18" s="1"/>
  <c r="X191" i="18"/>
  <c r="W191" i="18"/>
  <c r="AE190" i="18"/>
  <c r="AX171" i="1" l="1"/>
  <c r="AH139" i="1"/>
  <c r="Z140" i="1"/>
  <c r="AG140" i="1" s="1"/>
  <c r="AP172" i="1"/>
  <c r="AQ172" i="1" s="1"/>
  <c r="J147" i="18"/>
  <c r="I147" i="18" s="1"/>
  <c r="AC191" i="18"/>
  <c r="AA192" i="18" s="1"/>
  <c r="AB191" i="18"/>
  <c r="AD191" i="18"/>
  <c r="L147" i="18"/>
  <c r="M147" i="18" s="1"/>
  <c r="K148" i="18" s="1"/>
  <c r="N147" i="18"/>
  <c r="H131" i="12"/>
  <c r="B130" i="12"/>
  <c r="AA140" i="1" l="1"/>
  <c r="AC140" i="1"/>
  <c r="AB140" i="1" s="1"/>
  <c r="AS172" i="1"/>
  <c r="AR172" i="1" s="1"/>
  <c r="AV172" i="1"/>
  <c r="AT173" i="1" s="1"/>
  <c r="AU172" i="1"/>
  <c r="AW172" i="1"/>
  <c r="AE140" i="1"/>
  <c r="AF140" i="1" s="1"/>
  <c r="AD141" i="1" s="1"/>
  <c r="G148" i="18"/>
  <c r="J148" i="18" s="1"/>
  <c r="I148" i="18" s="1"/>
  <c r="AE191" i="18"/>
  <c r="O147" i="18"/>
  <c r="X192" i="18"/>
  <c r="W192" i="18"/>
  <c r="AD192" i="18" s="1"/>
  <c r="Z192" i="18"/>
  <c r="Y192" i="18" s="1"/>
  <c r="Z141" i="1" l="1"/>
  <c r="AA141" i="1" s="1"/>
  <c r="AH140" i="1"/>
  <c r="AP173" i="1"/>
  <c r="AS173" i="1" s="1"/>
  <c r="AR173" i="1" s="1"/>
  <c r="AX172" i="1"/>
  <c r="N148" i="18"/>
  <c r="H148" i="18"/>
  <c r="AB192" i="18"/>
  <c r="AC192" i="18"/>
  <c r="AA193" i="18" s="1"/>
  <c r="L148" i="18"/>
  <c r="M148" i="18" s="1"/>
  <c r="K149" i="18" s="1"/>
  <c r="B131" i="12"/>
  <c r="AC141" i="1" l="1"/>
  <c r="AB141" i="1" s="1"/>
  <c r="AQ173" i="1"/>
  <c r="AW173" i="1"/>
  <c r="AV173" i="1"/>
  <c r="AT174" i="1" s="1"/>
  <c r="AU173" i="1"/>
  <c r="AE141" i="1"/>
  <c r="AF141" i="1" s="1"/>
  <c r="AD142" i="1" s="1"/>
  <c r="AG141" i="1"/>
  <c r="O148" i="18"/>
  <c r="Z193" i="18"/>
  <c r="Y193" i="18" s="1"/>
  <c r="W193" i="18"/>
  <c r="X193" i="18"/>
  <c r="G149" i="18"/>
  <c r="H149" i="18" s="1"/>
  <c r="AE192" i="18"/>
  <c r="H132" i="12"/>
  <c r="AX173" i="1" l="1"/>
  <c r="Z142" i="1"/>
  <c r="AG142" i="1" s="1"/>
  <c r="AH141" i="1"/>
  <c r="AP174" i="1"/>
  <c r="AQ174" i="1" s="1"/>
  <c r="J149" i="18"/>
  <c r="I149" i="18" s="1"/>
  <c r="AB193" i="18"/>
  <c r="AC193" i="18"/>
  <c r="AA194" i="18" s="1"/>
  <c r="L149" i="18"/>
  <c r="N149" i="18"/>
  <c r="AD193" i="18"/>
  <c r="AS174" i="1" l="1"/>
  <c r="AR174" i="1" s="1"/>
  <c r="AA142" i="1"/>
  <c r="AC142" i="1"/>
  <c r="AB142" i="1" s="1"/>
  <c r="AV174" i="1"/>
  <c r="AT175" i="1" s="1"/>
  <c r="AU174" i="1"/>
  <c r="AW174" i="1"/>
  <c r="AE142" i="1"/>
  <c r="M149" i="18"/>
  <c r="K150" i="18" s="1"/>
  <c r="X194" i="18"/>
  <c r="Z194" i="18"/>
  <c r="Y194" i="18" s="1"/>
  <c r="W194" i="18"/>
  <c r="AE193" i="18"/>
  <c r="B132" i="12"/>
  <c r="AX174" i="1" l="1"/>
  <c r="AF142" i="1"/>
  <c r="AD143" i="1" s="1"/>
  <c r="AP175" i="1"/>
  <c r="AS175" i="1" s="1"/>
  <c r="AR175" i="1" s="1"/>
  <c r="AB194" i="18"/>
  <c r="AC194" i="18"/>
  <c r="AA195" i="18" s="1"/>
  <c r="G150" i="18"/>
  <c r="AD194" i="18"/>
  <c r="O149" i="18"/>
  <c r="H133" i="12"/>
  <c r="AU175" i="1" l="1"/>
  <c r="AV175" i="1"/>
  <c r="AT176" i="1" s="1"/>
  <c r="Z143" i="1"/>
  <c r="AC143" i="1" s="1"/>
  <c r="AB143" i="1" s="1"/>
  <c r="AQ175" i="1"/>
  <c r="AW175" i="1"/>
  <c r="AH142" i="1"/>
  <c r="L150" i="18"/>
  <c r="M150" i="18" s="1"/>
  <c r="K151" i="18" s="1"/>
  <c r="H150" i="18"/>
  <c r="Z195" i="18"/>
  <c r="Y195" i="18" s="1"/>
  <c r="X195" i="18"/>
  <c r="W195" i="18"/>
  <c r="J150" i="18"/>
  <c r="I150" i="18" s="1"/>
  <c r="N150" i="18"/>
  <c r="AE194" i="18"/>
  <c r="AG143" i="1" l="1"/>
  <c r="AE143" i="1"/>
  <c r="AF143" i="1" s="1"/>
  <c r="AD144" i="1" s="1"/>
  <c r="AA143" i="1"/>
  <c r="AP176" i="1"/>
  <c r="AW176" i="1" s="1"/>
  <c r="AX175" i="1"/>
  <c r="G151" i="18"/>
  <c r="H151" i="18" s="1"/>
  <c r="AC195" i="18"/>
  <c r="AA196" i="18" s="1"/>
  <c r="AB195" i="18"/>
  <c r="AD195" i="18"/>
  <c r="O150" i="18"/>
  <c r="B133" i="12"/>
  <c r="AS176" i="1" l="1"/>
  <c r="AR176" i="1" s="1"/>
  <c r="AQ176" i="1"/>
  <c r="Z144" i="1"/>
  <c r="AA144" i="1" s="1"/>
  <c r="AV176" i="1"/>
  <c r="AT177" i="1" s="1"/>
  <c r="AU176" i="1"/>
  <c r="AH143" i="1"/>
  <c r="J151" i="18"/>
  <c r="I151" i="18" s="1"/>
  <c r="X196" i="18"/>
  <c r="Z196" i="18"/>
  <c r="Y196" i="18" s="1"/>
  <c r="W196" i="18"/>
  <c r="AD196" i="18" s="1"/>
  <c r="AE195" i="18"/>
  <c r="L151" i="18"/>
  <c r="M151" i="18" s="1"/>
  <c r="K152" i="18" s="1"/>
  <c r="N151" i="18"/>
  <c r="H134" i="12"/>
  <c r="AG144" i="1" l="1"/>
  <c r="AX176" i="1"/>
  <c r="AP177" i="1"/>
  <c r="AQ177" i="1" s="1"/>
  <c r="AE144" i="1"/>
  <c r="AC144" i="1"/>
  <c r="AB144" i="1" s="1"/>
  <c r="G152" i="18"/>
  <c r="H152" i="18" s="1"/>
  <c r="O151" i="18"/>
  <c r="AB196" i="18"/>
  <c r="AC196" i="18"/>
  <c r="AA197" i="18" s="1"/>
  <c r="AS177" i="1" l="1"/>
  <c r="AR177" i="1" s="1"/>
  <c r="AW177" i="1"/>
  <c r="AF144" i="1"/>
  <c r="AD145" i="1" s="1"/>
  <c r="AU177" i="1"/>
  <c r="AV177" i="1"/>
  <c r="AT178" i="1" s="1"/>
  <c r="N152" i="18"/>
  <c r="J152" i="18"/>
  <c r="I152" i="18" s="1"/>
  <c r="Z197" i="18"/>
  <c r="Y197" i="18" s="1"/>
  <c r="X197" i="18"/>
  <c r="W197" i="18"/>
  <c r="AE196" i="18"/>
  <c r="L152" i="18"/>
  <c r="M152" i="18" s="1"/>
  <c r="K153" i="18" s="1"/>
  <c r="H135" i="12"/>
  <c r="B134" i="12"/>
  <c r="AX177" i="1" l="1"/>
  <c r="Z145" i="1"/>
  <c r="AG145" i="1" s="1"/>
  <c r="AP178" i="1"/>
  <c r="AW178" i="1" s="1"/>
  <c r="AH144" i="1"/>
  <c r="O152" i="18"/>
  <c r="G153" i="18"/>
  <c r="J153" i="18" s="1"/>
  <c r="I153" i="18" s="1"/>
  <c r="AC197" i="18"/>
  <c r="AA198" i="18" s="1"/>
  <c r="AB197" i="18"/>
  <c r="AD197" i="18"/>
  <c r="AC145" i="1" l="1"/>
  <c r="AB145" i="1" s="1"/>
  <c r="AQ178" i="1"/>
  <c r="AS178" i="1"/>
  <c r="AR178" i="1" s="1"/>
  <c r="AA145" i="1"/>
  <c r="AV178" i="1"/>
  <c r="AT179" i="1" s="1"/>
  <c r="AU178" i="1"/>
  <c r="AE145" i="1"/>
  <c r="AF145" i="1" s="1"/>
  <c r="AD146" i="1" s="1"/>
  <c r="AE197" i="18"/>
  <c r="X198" i="18"/>
  <c r="W198" i="18"/>
  <c r="AD198" i="18" s="1"/>
  <c r="Z198" i="18"/>
  <c r="Y198" i="18" s="1"/>
  <c r="L153" i="18"/>
  <c r="M153" i="18" s="1"/>
  <c r="K154" i="18" s="1"/>
  <c r="N153" i="18"/>
  <c r="H153" i="18"/>
  <c r="B135" i="12"/>
  <c r="Z146" i="1" l="1"/>
  <c r="AG146" i="1" s="1"/>
  <c r="AH145" i="1"/>
  <c r="AP179" i="1"/>
  <c r="AS179" i="1" s="1"/>
  <c r="AR179" i="1" s="1"/>
  <c r="AX178" i="1"/>
  <c r="O153" i="18"/>
  <c r="AB198" i="18"/>
  <c r="AC198" i="18"/>
  <c r="AA199" i="18" s="1"/>
  <c r="G154" i="18"/>
  <c r="N154" i="18" s="1"/>
  <c r="H136" i="12"/>
  <c r="AQ179" i="1" l="1"/>
  <c r="AA146" i="1"/>
  <c r="AU179" i="1"/>
  <c r="AV179" i="1"/>
  <c r="AT180" i="1" s="1"/>
  <c r="AW179" i="1"/>
  <c r="AE146" i="1"/>
  <c r="AF146" i="1" s="1"/>
  <c r="AD147" i="1" s="1"/>
  <c r="AC146" i="1"/>
  <c r="AB146" i="1" s="1"/>
  <c r="H154" i="18"/>
  <c r="J154" i="18"/>
  <c r="I154" i="18" s="1"/>
  <c r="Z199" i="18"/>
  <c r="Y199" i="18" s="1"/>
  <c r="X199" i="18"/>
  <c r="W199" i="18"/>
  <c r="AE198" i="18"/>
  <c r="L154" i="18"/>
  <c r="M154" i="18" s="1"/>
  <c r="K155" i="18" s="1"/>
  <c r="B136" i="12"/>
  <c r="AP180" i="1" l="1"/>
  <c r="AS180" i="1" s="1"/>
  <c r="AR180" i="1" s="1"/>
  <c r="Z147" i="1"/>
  <c r="AX179" i="1"/>
  <c r="AH146" i="1"/>
  <c r="G155" i="18"/>
  <c r="N155" i="18" s="1"/>
  <c r="O154" i="18"/>
  <c r="AC199" i="18"/>
  <c r="AA200" i="18" s="1"/>
  <c r="AB199" i="18"/>
  <c r="AD199" i="18"/>
  <c r="H137" i="12"/>
  <c r="AQ180" i="1" l="1"/>
  <c r="AW180" i="1"/>
  <c r="AE147" i="1"/>
  <c r="AF147" i="1" s="1"/>
  <c r="AD148" i="1" s="1"/>
  <c r="AG147" i="1"/>
  <c r="AA147" i="1"/>
  <c r="AC147" i="1"/>
  <c r="AB147" i="1" s="1"/>
  <c r="AV180" i="1"/>
  <c r="AT181" i="1" s="1"/>
  <c r="AU180" i="1"/>
  <c r="H155" i="18"/>
  <c r="AE199" i="18"/>
  <c r="L155" i="18"/>
  <c r="M155" i="18" s="1"/>
  <c r="K156" i="18" s="1"/>
  <c r="X200" i="18"/>
  <c r="W200" i="18"/>
  <c r="Z200" i="18"/>
  <c r="Y200" i="18" s="1"/>
  <c r="J155" i="18"/>
  <c r="I155" i="18" s="1"/>
  <c r="B137" i="12"/>
  <c r="AX180" i="1" l="1"/>
  <c r="AP181" i="1"/>
  <c r="AQ181" i="1" s="1"/>
  <c r="Z148" i="1"/>
  <c r="AH147" i="1"/>
  <c r="AB200" i="18"/>
  <c r="AC200" i="18"/>
  <c r="AA201" i="18" s="1"/>
  <c r="O155" i="18"/>
  <c r="G156" i="18"/>
  <c r="N156" i="18" s="1"/>
  <c r="AD200" i="18"/>
  <c r="AS181" i="1" l="1"/>
  <c r="AR181" i="1" s="1"/>
  <c r="AE148" i="1"/>
  <c r="AC148" i="1"/>
  <c r="AB148" i="1" s="1"/>
  <c r="AV181" i="1"/>
  <c r="AT182" i="1" s="1"/>
  <c r="AU181" i="1"/>
  <c r="AA148" i="1"/>
  <c r="AW181" i="1"/>
  <c r="AG148" i="1"/>
  <c r="J156" i="18"/>
  <c r="I156" i="18" s="1"/>
  <c r="H156" i="18"/>
  <c r="Z201" i="18"/>
  <c r="Y201" i="18" s="1"/>
  <c r="W201" i="18"/>
  <c r="X201" i="18"/>
  <c r="L156" i="18"/>
  <c r="M156" i="18" s="1"/>
  <c r="K157" i="18" s="1"/>
  <c r="AE200" i="18"/>
  <c r="H138" i="12"/>
  <c r="AX181" i="1" l="1"/>
  <c r="AF148" i="1"/>
  <c r="AD149" i="1" s="1"/>
  <c r="AP182" i="1"/>
  <c r="AQ182" i="1" s="1"/>
  <c r="O156" i="18"/>
  <c r="G157" i="18"/>
  <c r="J157" i="18" s="1"/>
  <c r="I157" i="18" s="1"/>
  <c r="AB201" i="18"/>
  <c r="AC201" i="18"/>
  <c r="AA202" i="18" s="1"/>
  <c r="AD201" i="18"/>
  <c r="B138" i="12"/>
  <c r="AV182" i="1" l="1"/>
  <c r="AT183" i="1" s="1"/>
  <c r="AU182" i="1"/>
  <c r="Z149" i="1"/>
  <c r="AG149" i="1" s="1"/>
  <c r="AW182" i="1"/>
  <c r="AH148" i="1"/>
  <c r="AS182" i="1"/>
  <c r="AR182" i="1" s="1"/>
  <c r="AE201" i="18"/>
  <c r="L157" i="18"/>
  <c r="M157" i="18" s="1"/>
  <c r="K158" i="18" s="1"/>
  <c r="N157" i="18"/>
  <c r="X202" i="18"/>
  <c r="Z202" i="18"/>
  <c r="Y202" i="18" s="1"/>
  <c r="W202" i="18"/>
  <c r="AD202" i="18" s="1"/>
  <c r="H157" i="18"/>
  <c r="H139" i="12"/>
  <c r="AX182" i="1" l="1"/>
  <c r="AC149" i="1"/>
  <c r="AB149" i="1" s="1"/>
  <c r="AP183" i="1"/>
  <c r="AW183" i="1" s="1"/>
  <c r="AE149" i="1"/>
  <c r="AF149" i="1" s="1"/>
  <c r="AD150" i="1" s="1"/>
  <c r="AA149" i="1"/>
  <c r="O157" i="18"/>
  <c r="G158" i="18"/>
  <c r="N158" i="18" s="1"/>
  <c r="AB202" i="18"/>
  <c r="AC202" i="18"/>
  <c r="AA203" i="18" s="1"/>
  <c r="B139" i="12"/>
  <c r="Z150" i="1" l="1"/>
  <c r="AC150" i="1" s="1"/>
  <c r="AB150" i="1" s="1"/>
  <c r="AQ183" i="1"/>
  <c r="AH149" i="1"/>
  <c r="AV183" i="1"/>
  <c r="AT184" i="1" s="1"/>
  <c r="AU183" i="1"/>
  <c r="AS183" i="1"/>
  <c r="AR183" i="1" s="1"/>
  <c r="J158" i="18"/>
  <c r="I158" i="18" s="1"/>
  <c r="H158" i="18"/>
  <c r="Z203" i="18"/>
  <c r="Y203" i="18" s="1"/>
  <c r="X203" i="18"/>
  <c r="W203" i="18"/>
  <c r="AE202" i="18"/>
  <c r="L158" i="18"/>
  <c r="M158" i="18" s="1"/>
  <c r="K159" i="18" s="1"/>
  <c r="H140" i="12"/>
  <c r="AA150" i="1" l="1"/>
  <c r="AG150" i="1"/>
  <c r="AP184" i="1"/>
  <c r="AS184" i="1" s="1"/>
  <c r="AR184" i="1" s="1"/>
  <c r="AE150" i="1"/>
  <c r="AF150" i="1" s="1"/>
  <c r="AD151" i="1" s="1"/>
  <c r="AX183" i="1"/>
  <c r="O158" i="18"/>
  <c r="G159" i="18"/>
  <c r="J159" i="18" s="1"/>
  <c r="I159" i="18" s="1"/>
  <c r="AC203" i="18"/>
  <c r="AA204" i="18" s="1"/>
  <c r="AB203" i="18"/>
  <c r="AD203" i="18"/>
  <c r="B140" i="12"/>
  <c r="AQ184" i="1" l="1"/>
  <c r="Z151" i="1"/>
  <c r="AG151" i="1" s="1"/>
  <c r="AH150" i="1"/>
  <c r="AV184" i="1"/>
  <c r="AT185" i="1" s="1"/>
  <c r="AU184" i="1"/>
  <c r="AW184" i="1"/>
  <c r="AE203" i="18"/>
  <c r="L159" i="18"/>
  <c r="N159" i="18"/>
  <c r="X204" i="18"/>
  <c r="Z204" i="18"/>
  <c r="Y204" i="18" s="1"/>
  <c r="W204" i="18"/>
  <c r="AD204" i="18"/>
  <c r="H159" i="18"/>
  <c r="AX184" i="1" l="1"/>
  <c r="AC151" i="1"/>
  <c r="AB151" i="1" s="1"/>
  <c r="AP185" i="1"/>
  <c r="AW185" i="1" s="1"/>
  <c r="AE151" i="1"/>
  <c r="AA151" i="1"/>
  <c r="AB204" i="18"/>
  <c r="AC204" i="18"/>
  <c r="AA205" i="18" s="1"/>
  <c r="M159" i="18"/>
  <c r="K160" i="18" s="1"/>
  <c r="H141" i="12"/>
  <c r="AS185" i="1" l="1"/>
  <c r="AR185" i="1" s="1"/>
  <c r="AQ185" i="1"/>
  <c r="AF151" i="1"/>
  <c r="AD152" i="1" s="1"/>
  <c r="AV185" i="1"/>
  <c r="AT186" i="1" s="1"/>
  <c r="AU185" i="1"/>
  <c r="G160" i="18"/>
  <c r="N160" i="18" s="1"/>
  <c r="O159" i="18"/>
  <c r="Z205" i="18"/>
  <c r="Y205" i="18" s="1"/>
  <c r="X205" i="18"/>
  <c r="W205" i="18"/>
  <c r="AE204" i="18"/>
  <c r="B141" i="12"/>
  <c r="AX185" i="1" l="1"/>
  <c r="AP186" i="1"/>
  <c r="AW186" i="1" s="1"/>
  <c r="Z152" i="1"/>
  <c r="AC152" i="1" s="1"/>
  <c r="AB152" i="1" s="1"/>
  <c r="AH151" i="1"/>
  <c r="J160" i="18"/>
  <c r="I160" i="18" s="1"/>
  <c r="AC205" i="18"/>
  <c r="AA206" i="18" s="1"/>
  <c r="AB205" i="18"/>
  <c r="AD205" i="18"/>
  <c r="L160" i="18"/>
  <c r="H160" i="18"/>
  <c r="AQ186" i="1" l="1"/>
  <c r="AS186" i="1"/>
  <c r="AR186" i="1" s="1"/>
  <c r="AG152" i="1"/>
  <c r="AA152" i="1"/>
  <c r="AE152" i="1"/>
  <c r="AU186" i="1"/>
  <c r="AE205" i="18"/>
  <c r="M160" i="18"/>
  <c r="K161" i="18" s="1"/>
  <c r="X206" i="18"/>
  <c r="W206" i="18"/>
  <c r="AD206" i="18" s="1"/>
  <c r="Z206" i="18"/>
  <c r="Y206" i="18" s="1"/>
  <c r="H142" i="12"/>
  <c r="AV186" i="1" l="1"/>
  <c r="AT187" i="1" s="1"/>
  <c r="AF152" i="1"/>
  <c r="AD153" i="1" s="1"/>
  <c r="O160" i="18"/>
  <c r="G161" i="18"/>
  <c r="H161" i="18" s="1"/>
  <c r="AB206" i="18"/>
  <c r="AC206" i="18"/>
  <c r="AA207" i="18" s="1"/>
  <c r="B142" i="12"/>
  <c r="AX186" i="1" l="1"/>
  <c r="Z153" i="1"/>
  <c r="AG153" i="1" s="1"/>
  <c r="AH152" i="1"/>
  <c r="AP187" i="1"/>
  <c r="AS187" i="1"/>
  <c r="AR187" i="1" s="1"/>
  <c r="AQ187" i="1"/>
  <c r="J161" i="18"/>
  <c r="I161" i="18" s="1"/>
  <c r="AE206" i="18"/>
  <c r="Z207" i="18"/>
  <c r="Y207" i="18" s="1"/>
  <c r="X207" i="18"/>
  <c r="W207" i="18"/>
  <c r="L161" i="18"/>
  <c r="M161" i="18" s="1"/>
  <c r="K162" i="18" s="1"/>
  <c r="N161" i="18"/>
  <c r="H143" i="12"/>
  <c r="AC153" i="1" l="1"/>
  <c r="AB153" i="1" s="1"/>
  <c r="AU187" i="1"/>
  <c r="AV187" i="1"/>
  <c r="AT188" i="1" s="1"/>
  <c r="AW187" i="1"/>
  <c r="AE153" i="1"/>
  <c r="AA153" i="1"/>
  <c r="O161" i="18"/>
  <c r="G162" i="18"/>
  <c r="N162" i="18" s="1"/>
  <c r="AC207" i="18"/>
  <c r="AA208" i="18" s="1"/>
  <c r="AB207" i="18"/>
  <c r="AD207" i="18"/>
  <c r="B143" i="12"/>
  <c r="AS188" i="1" l="1"/>
  <c r="AR188" i="1" s="1"/>
  <c r="AQ188" i="1"/>
  <c r="AP188" i="1"/>
  <c r="AF153" i="1"/>
  <c r="AD154" i="1" s="1"/>
  <c r="AX187" i="1"/>
  <c r="J162" i="18"/>
  <c r="I162" i="18" s="1"/>
  <c r="AE207" i="18"/>
  <c r="H162" i="18"/>
  <c r="X208" i="18"/>
  <c r="W208" i="18"/>
  <c r="Z208" i="18"/>
  <c r="Y208" i="18" s="1"/>
  <c r="L162" i="18"/>
  <c r="M162" i="18" s="1"/>
  <c r="K163" i="18" s="1"/>
  <c r="Z154" i="1" l="1"/>
  <c r="AC154" i="1" s="1"/>
  <c r="AB154" i="1" s="1"/>
  <c r="AV188" i="1"/>
  <c r="AT189" i="1" s="1"/>
  <c r="AU188" i="1"/>
  <c r="AW188" i="1"/>
  <c r="AH153" i="1"/>
  <c r="G163" i="18"/>
  <c r="J163" i="18" s="1"/>
  <c r="I163" i="18" s="1"/>
  <c r="AB208" i="18"/>
  <c r="AC208" i="18"/>
  <c r="AA209" i="18" s="1"/>
  <c r="O162" i="18"/>
  <c r="AD208" i="18"/>
  <c r="H144" i="12"/>
  <c r="AA154" i="1" l="1"/>
  <c r="AG154" i="1"/>
  <c r="AP189" i="1"/>
  <c r="AW189" i="1" s="1"/>
  <c r="AQ189" i="1"/>
  <c r="AS189" i="1"/>
  <c r="AR189" i="1" s="1"/>
  <c r="AX188" i="1"/>
  <c r="AE154" i="1"/>
  <c r="AE208" i="18"/>
  <c r="H163" i="18"/>
  <c r="Z209" i="18"/>
  <c r="Y209" i="18" s="1"/>
  <c r="W209" i="18"/>
  <c r="X209" i="18"/>
  <c r="L163" i="18"/>
  <c r="M163" i="18" s="1"/>
  <c r="K164" i="18" s="1"/>
  <c r="N163" i="18"/>
  <c r="B144" i="12"/>
  <c r="AV189" i="1" l="1"/>
  <c r="AT190" i="1" s="1"/>
  <c r="AU189" i="1"/>
  <c r="AF154" i="1"/>
  <c r="AD155" i="1" s="1"/>
  <c r="O163" i="18"/>
  <c r="AB209" i="18"/>
  <c r="AC209" i="18"/>
  <c r="AA210" i="18" s="1"/>
  <c r="G164" i="18"/>
  <c r="H164" i="18" s="1"/>
  <c r="AD209" i="18"/>
  <c r="H145" i="12"/>
  <c r="AX189" i="1" l="1"/>
  <c r="AQ190" i="1"/>
  <c r="AP190" i="1"/>
  <c r="AW190" i="1" s="1"/>
  <c r="AS190" i="1"/>
  <c r="AR190" i="1" s="1"/>
  <c r="Z155" i="1"/>
  <c r="AH154" i="1"/>
  <c r="J164" i="18"/>
  <c r="I164" i="18" s="1"/>
  <c r="N164" i="18"/>
  <c r="X210" i="18"/>
  <c r="Z210" i="18"/>
  <c r="Y210" i="18" s="1"/>
  <c r="W210" i="18"/>
  <c r="AD210" i="18" s="1"/>
  <c r="AE209" i="18"/>
  <c r="L164" i="18"/>
  <c r="M164" i="18" s="1"/>
  <c r="K165" i="18" s="1"/>
  <c r="AE155" i="1" l="1"/>
  <c r="AF155" i="1" s="1"/>
  <c r="AD156" i="1" s="1"/>
  <c r="AG155" i="1"/>
  <c r="AA155" i="1"/>
  <c r="AC155" i="1"/>
  <c r="AB155" i="1" s="1"/>
  <c r="AV190" i="1"/>
  <c r="AT191" i="1" s="1"/>
  <c r="AU190" i="1"/>
  <c r="G165" i="18"/>
  <c r="J165" i="18" s="1"/>
  <c r="I165" i="18" s="1"/>
  <c r="O164" i="18"/>
  <c r="AB210" i="18"/>
  <c r="AC210" i="18"/>
  <c r="AA211" i="18" s="1"/>
  <c r="B145" i="12"/>
  <c r="AX190" i="1" l="1"/>
  <c r="AP191" i="1"/>
  <c r="AW191" i="1" s="1"/>
  <c r="AQ191" i="1"/>
  <c r="AS191" i="1"/>
  <c r="AR191" i="1" s="1"/>
  <c r="Z156" i="1"/>
  <c r="AA156" i="1" s="1"/>
  <c r="AH155" i="1"/>
  <c r="H165" i="18"/>
  <c r="AE210" i="18"/>
  <c r="Z211" i="18"/>
  <c r="Y211" i="18" s="1"/>
  <c r="X211" i="18"/>
  <c r="W211" i="18"/>
  <c r="L165" i="18"/>
  <c r="N165" i="18"/>
  <c r="H146" i="12"/>
  <c r="AC156" i="1" l="1"/>
  <c r="AB156" i="1" s="1"/>
  <c r="AU191" i="1"/>
  <c r="AV191" i="1"/>
  <c r="AT192" i="1" s="1"/>
  <c r="AE156" i="1"/>
  <c r="AG156" i="1"/>
  <c r="M165" i="18"/>
  <c r="K166" i="18" s="1"/>
  <c r="AC211" i="18"/>
  <c r="AA212" i="18" s="1"/>
  <c r="AB211" i="18"/>
  <c r="AD211" i="18"/>
  <c r="AP192" i="1" l="1"/>
  <c r="AW192" i="1" s="1"/>
  <c r="AQ192" i="1"/>
  <c r="AS192" i="1"/>
  <c r="AR192" i="1" s="1"/>
  <c r="AX191" i="1"/>
  <c r="AF156" i="1"/>
  <c r="AD157" i="1" s="1"/>
  <c r="AE211" i="18"/>
  <c r="X212" i="18"/>
  <c r="Z212" i="18"/>
  <c r="Y212" i="18" s="1"/>
  <c r="W212" i="18"/>
  <c r="AD212" i="18" s="1"/>
  <c r="G166" i="18"/>
  <c r="H166" i="18" s="1"/>
  <c r="O165" i="18"/>
  <c r="H147" i="12"/>
  <c r="B146" i="12"/>
  <c r="AH156" i="1" l="1"/>
  <c r="AV192" i="1"/>
  <c r="AT193" i="1" s="1"/>
  <c r="AU192" i="1"/>
  <c r="Z157" i="1"/>
  <c r="AC157" i="1" s="1"/>
  <c r="AB157" i="1" s="1"/>
  <c r="J166" i="18"/>
  <c r="I166" i="18" s="1"/>
  <c r="L166" i="18"/>
  <c r="M166" i="18" s="1"/>
  <c r="K167" i="18" s="1"/>
  <c r="AB212" i="18"/>
  <c r="AC212" i="18"/>
  <c r="AA213" i="18" s="1"/>
  <c r="N166" i="18"/>
  <c r="AA157" i="1" l="1"/>
  <c r="AP193" i="1"/>
  <c r="AW193" i="1" s="1"/>
  <c r="AS193" i="1"/>
  <c r="AR193" i="1" s="1"/>
  <c r="AQ193" i="1"/>
  <c r="AE157" i="1"/>
  <c r="AF157" i="1" s="1"/>
  <c r="AD158" i="1" s="1"/>
  <c r="AX192" i="1"/>
  <c r="AG157" i="1"/>
  <c r="AE212" i="18"/>
  <c r="G167" i="18"/>
  <c r="H167" i="18" s="1"/>
  <c r="O166" i="18"/>
  <c r="Z213" i="18"/>
  <c r="Y213" i="18" s="1"/>
  <c r="X213" i="18"/>
  <c r="W213" i="18"/>
  <c r="B147" i="12"/>
  <c r="Z158" i="1" l="1"/>
  <c r="AH157" i="1"/>
  <c r="AU193" i="1"/>
  <c r="AV193" i="1"/>
  <c r="AT194" i="1" s="1"/>
  <c r="J167" i="18"/>
  <c r="I167" i="18" s="1"/>
  <c r="AC213" i="18"/>
  <c r="AA214" i="18" s="1"/>
  <c r="AB213" i="18"/>
  <c r="AD213" i="18"/>
  <c r="L167" i="18"/>
  <c r="M167" i="18" s="1"/>
  <c r="K168" i="18" s="1"/>
  <c r="N167" i="18"/>
  <c r="H148" i="12"/>
  <c r="AQ194" i="1" l="1"/>
  <c r="AP194" i="1"/>
  <c r="AS194" i="1"/>
  <c r="AR194" i="1" s="1"/>
  <c r="AX193" i="1"/>
  <c r="AE158" i="1"/>
  <c r="AF158" i="1" s="1"/>
  <c r="AD159" i="1" s="1"/>
  <c r="AG158" i="1"/>
  <c r="AA158" i="1"/>
  <c r="AC158" i="1"/>
  <c r="AB158" i="1" s="1"/>
  <c r="G168" i="18"/>
  <c r="N168" i="18" s="1"/>
  <c r="AE213" i="18"/>
  <c r="O167" i="18"/>
  <c r="X214" i="18"/>
  <c r="W214" i="18"/>
  <c r="AD214" i="18" s="1"/>
  <c r="Z214" i="18"/>
  <c r="Y214" i="18" s="1"/>
  <c r="Z159" i="1" l="1"/>
  <c r="AA159" i="1" s="1"/>
  <c r="AV194" i="1"/>
  <c r="AT195" i="1" s="1"/>
  <c r="AU194" i="1"/>
  <c r="AH158" i="1"/>
  <c r="AW194" i="1"/>
  <c r="J168" i="18"/>
  <c r="I168" i="18" s="1"/>
  <c r="H168" i="18"/>
  <c r="AB214" i="18"/>
  <c r="AC214" i="18"/>
  <c r="AA215" i="18" s="1"/>
  <c r="L168" i="18"/>
  <c r="M168" i="18" s="1"/>
  <c r="K169" i="18" s="1"/>
  <c r="H149" i="12"/>
  <c r="B148" i="12"/>
  <c r="AG159" i="1" l="1"/>
  <c r="AE159" i="1"/>
  <c r="AF159" i="1" s="1"/>
  <c r="AD160" i="1" s="1"/>
  <c r="AX194" i="1"/>
  <c r="AP195" i="1"/>
  <c r="AW195" i="1" s="1"/>
  <c r="AS195" i="1"/>
  <c r="AR195" i="1" s="1"/>
  <c r="AQ195" i="1"/>
  <c r="AC159" i="1"/>
  <c r="AB159" i="1" s="1"/>
  <c r="G169" i="18"/>
  <c r="J169" i="18" s="1"/>
  <c r="I169" i="18" s="1"/>
  <c r="O168" i="18"/>
  <c r="Z215" i="18"/>
  <c r="Y215" i="18" s="1"/>
  <c r="W215" i="18"/>
  <c r="AD215" i="18" s="1"/>
  <c r="X215" i="18"/>
  <c r="AE214" i="18"/>
  <c r="Z160" i="1" l="1"/>
  <c r="AC160" i="1" s="1"/>
  <c r="AB160" i="1" s="1"/>
  <c r="AH159" i="1"/>
  <c r="AU195" i="1"/>
  <c r="AV195" i="1"/>
  <c r="AT196" i="1" s="1"/>
  <c r="H169" i="18"/>
  <c r="AC215" i="18"/>
  <c r="AA216" i="18" s="1"/>
  <c r="AB215" i="18"/>
  <c r="L169" i="18"/>
  <c r="N169" i="18"/>
  <c r="B149" i="12"/>
  <c r="AA160" i="1" l="1"/>
  <c r="AX195" i="1"/>
  <c r="AG160" i="1"/>
  <c r="AS196" i="1"/>
  <c r="AR196" i="1" s="1"/>
  <c r="AP196" i="1"/>
  <c r="AW196" i="1" s="1"/>
  <c r="AQ196" i="1"/>
  <c r="AE160" i="1"/>
  <c r="AF160" i="1" s="1"/>
  <c r="AD161" i="1" s="1"/>
  <c r="M169" i="18"/>
  <c r="K170" i="18" s="1"/>
  <c r="AE215" i="18"/>
  <c r="X216" i="18"/>
  <c r="AD216" i="18"/>
  <c r="W216" i="18"/>
  <c r="Z216" i="18"/>
  <c r="Y216" i="18" s="1"/>
  <c r="H150" i="12"/>
  <c r="AH160" i="1" l="1"/>
  <c r="Z161" i="1"/>
  <c r="AA161" i="1" s="1"/>
  <c r="AV196" i="1"/>
  <c r="AT197" i="1" s="1"/>
  <c r="AU196" i="1"/>
  <c r="AB216" i="18"/>
  <c r="AC216" i="18"/>
  <c r="AA217" i="18" s="1"/>
  <c r="G170" i="18"/>
  <c r="O169" i="18"/>
  <c r="AX196" i="1" l="1"/>
  <c r="AP197" i="1"/>
  <c r="AW197" i="1" s="1"/>
  <c r="AQ197" i="1"/>
  <c r="AS197" i="1"/>
  <c r="AR197" i="1" s="1"/>
  <c r="AG161" i="1"/>
  <c r="AE161" i="1"/>
  <c r="AF161" i="1" s="1"/>
  <c r="AD162" i="1" s="1"/>
  <c r="AC161" i="1"/>
  <c r="AB161" i="1" s="1"/>
  <c r="AE216" i="18"/>
  <c r="L170" i="18"/>
  <c r="M170" i="18" s="1"/>
  <c r="K171" i="18" s="1"/>
  <c r="J170" i="18"/>
  <c r="I170" i="18" s="1"/>
  <c r="H170" i="18"/>
  <c r="Z217" i="18"/>
  <c r="Y217" i="18" s="1"/>
  <c r="W217" i="18"/>
  <c r="AD217" i="18" s="1"/>
  <c r="X217" i="18"/>
  <c r="N170" i="18"/>
  <c r="H151" i="12"/>
  <c r="B150" i="12"/>
  <c r="Z162" i="1" l="1"/>
  <c r="AA162" i="1" s="1"/>
  <c r="AH161" i="1"/>
  <c r="AV197" i="1"/>
  <c r="AT198" i="1" s="1"/>
  <c r="AU197" i="1"/>
  <c r="G171" i="18"/>
  <c r="H171" i="18" s="1"/>
  <c r="AB217" i="18"/>
  <c r="AC217" i="18"/>
  <c r="AA218" i="18" s="1"/>
  <c r="O170" i="18"/>
  <c r="AX197" i="1" l="1"/>
  <c r="AP198" i="1"/>
  <c r="AW198" i="1" s="1"/>
  <c r="AS198" i="1"/>
  <c r="AR198" i="1" s="1"/>
  <c r="AQ198" i="1"/>
  <c r="AE162" i="1"/>
  <c r="AF162" i="1" s="1"/>
  <c r="AD163" i="1" s="1"/>
  <c r="AG162" i="1"/>
  <c r="AC162" i="1"/>
  <c r="AB162" i="1" s="1"/>
  <c r="J171" i="18"/>
  <c r="I171" i="18" s="1"/>
  <c r="AE217" i="18"/>
  <c r="X218" i="18"/>
  <c r="Z218" i="18"/>
  <c r="Y218" i="18" s="1"/>
  <c r="W218" i="18"/>
  <c r="AD218" i="18" s="1"/>
  <c r="L171" i="18"/>
  <c r="N171" i="18"/>
  <c r="B151" i="12"/>
  <c r="Z163" i="1" l="1"/>
  <c r="AC163" i="1" s="1"/>
  <c r="AB163" i="1" s="1"/>
  <c r="AH162" i="1"/>
  <c r="AV198" i="1"/>
  <c r="AT199" i="1" s="1"/>
  <c r="AU198" i="1"/>
  <c r="M171" i="18"/>
  <c r="K172" i="18" s="1"/>
  <c r="AB218" i="18"/>
  <c r="AC218" i="18"/>
  <c r="AA219" i="18" s="1"/>
  <c r="H152" i="12"/>
  <c r="AX198" i="1" l="1"/>
  <c r="AA163" i="1"/>
  <c r="AE163" i="1"/>
  <c r="AF163" i="1" s="1"/>
  <c r="AD164" i="1" s="1"/>
  <c r="AP199" i="1"/>
  <c r="AW199" i="1" s="1"/>
  <c r="AS199" i="1"/>
  <c r="AR199" i="1" s="1"/>
  <c r="AQ199" i="1"/>
  <c r="AG163" i="1"/>
  <c r="AE218" i="18"/>
  <c r="Z219" i="18"/>
  <c r="Y219" i="18" s="1"/>
  <c r="X219" i="18"/>
  <c r="W219" i="18"/>
  <c r="G172" i="18"/>
  <c r="J172" i="18" s="1"/>
  <c r="I172" i="18" s="1"/>
  <c r="O171" i="18"/>
  <c r="Z164" i="1" l="1"/>
  <c r="AG164" i="1" s="1"/>
  <c r="AH163" i="1"/>
  <c r="AU199" i="1"/>
  <c r="AV199" i="1"/>
  <c r="AT200" i="1" s="1"/>
  <c r="L172" i="18"/>
  <c r="M172" i="18" s="1"/>
  <c r="K173" i="18" s="1"/>
  <c r="H172" i="18"/>
  <c r="N172" i="18"/>
  <c r="AC219" i="18"/>
  <c r="AA220" i="18" s="1"/>
  <c r="AB219" i="18"/>
  <c r="AD219" i="18"/>
  <c r="H153" i="12"/>
  <c r="B152" i="12"/>
  <c r="AE164" i="1" l="1"/>
  <c r="AC164" i="1"/>
  <c r="AB164" i="1" s="1"/>
  <c r="AP200" i="1"/>
  <c r="AW200" i="1" s="1"/>
  <c r="AQ200" i="1"/>
  <c r="AS200" i="1"/>
  <c r="AR200" i="1" s="1"/>
  <c r="AX199" i="1"/>
  <c r="AA164" i="1"/>
  <c r="AE219" i="18"/>
  <c r="G173" i="18"/>
  <c r="H173" i="18" s="1"/>
  <c r="X220" i="18"/>
  <c r="Z220" i="18"/>
  <c r="Y220" i="18" s="1"/>
  <c r="W220" i="18"/>
  <c r="AD220" i="18" s="1"/>
  <c r="O172" i="18"/>
  <c r="AV200" i="1" l="1"/>
  <c r="AT201" i="1" s="1"/>
  <c r="AU200" i="1"/>
  <c r="AF164" i="1"/>
  <c r="AD165" i="1" s="1"/>
  <c r="J173" i="18"/>
  <c r="I173" i="18" s="1"/>
  <c r="AB220" i="18"/>
  <c r="AC220" i="18"/>
  <c r="AA221" i="18" s="1"/>
  <c r="L173" i="18"/>
  <c r="N173" i="18"/>
  <c r="B153" i="12"/>
  <c r="AP201" i="1" l="1"/>
  <c r="AW201" i="1" s="1"/>
  <c r="AS201" i="1"/>
  <c r="AR201" i="1" s="1"/>
  <c r="AQ201" i="1"/>
  <c r="Z165" i="1"/>
  <c r="AG165" i="1" s="1"/>
  <c r="AX200" i="1"/>
  <c r="AH164" i="1"/>
  <c r="M173" i="18"/>
  <c r="K174" i="18" s="1"/>
  <c r="Z221" i="18"/>
  <c r="Y221" i="18" s="1"/>
  <c r="X221" i="18"/>
  <c r="W221" i="18"/>
  <c r="AE220" i="18"/>
  <c r="H154" i="12"/>
  <c r="AC165" i="1" l="1"/>
  <c r="AB165" i="1" s="1"/>
  <c r="AA165" i="1"/>
  <c r="AE165" i="1"/>
  <c r="AF165" i="1" s="1"/>
  <c r="AD166" i="1" s="1"/>
  <c r="AV201" i="1"/>
  <c r="AT202" i="1" s="1"/>
  <c r="AU201" i="1"/>
  <c r="AC221" i="18"/>
  <c r="AA222" i="18" s="1"/>
  <c r="AB221" i="18"/>
  <c r="AD221" i="18"/>
  <c r="G174" i="18"/>
  <c r="H174" i="18" s="1"/>
  <c r="O173" i="18"/>
  <c r="AQ202" i="1" l="1"/>
  <c r="AP202" i="1"/>
  <c r="AS202" i="1"/>
  <c r="AR202" i="1" s="1"/>
  <c r="Z166" i="1"/>
  <c r="AH165" i="1"/>
  <c r="AX201" i="1"/>
  <c r="J174" i="18"/>
  <c r="I174" i="18" s="1"/>
  <c r="N174" i="18"/>
  <c r="AE221" i="18"/>
  <c r="L174" i="18"/>
  <c r="M174" i="18" s="1"/>
  <c r="K175" i="18" s="1"/>
  <c r="X222" i="18"/>
  <c r="W222" i="18"/>
  <c r="AD222" i="18" s="1"/>
  <c r="Z222" i="18"/>
  <c r="Y222" i="18" s="1"/>
  <c r="H155" i="12"/>
  <c r="B154" i="12"/>
  <c r="AE166" i="1" l="1"/>
  <c r="AF166" i="1" s="1"/>
  <c r="AD167" i="1" s="1"/>
  <c r="AC166" i="1"/>
  <c r="AB166" i="1" s="1"/>
  <c r="AA166" i="1"/>
  <c r="AV202" i="1"/>
  <c r="AT203" i="1" s="1"/>
  <c r="AU202" i="1"/>
  <c r="AG166" i="1"/>
  <c r="AW202" i="1"/>
  <c r="G175" i="18"/>
  <c r="H175" i="18" s="1"/>
  <c r="O174" i="18"/>
  <c r="AB222" i="18"/>
  <c r="AC222" i="18"/>
  <c r="AA223" i="18" s="1"/>
  <c r="AX202" i="1" l="1"/>
  <c r="Z167" i="1"/>
  <c r="AG167" i="1" s="1"/>
  <c r="AP203" i="1"/>
  <c r="AW203" i="1" s="1"/>
  <c r="AQ203" i="1"/>
  <c r="AS203" i="1"/>
  <c r="AR203" i="1" s="1"/>
  <c r="AH166" i="1"/>
  <c r="J175" i="18"/>
  <c r="I175" i="18" s="1"/>
  <c r="Z223" i="18"/>
  <c r="Y223" i="18" s="1"/>
  <c r="X223" i="18"/>
  <c r="W223" i="18"/>
  <c r="AE222" i="18"/>
  <c r="L175" i="18"/>
  <c r="M175" i="18" s="1"/>
  <c r="K176" i="18" s="1"/>
  <c r="N175" i="18"/>
  <c r="H156" i="12"/>
  <c r="B155" i="12"/>
  <c r="AC167" i="1" l="1"/>
  <c r="AB167" i="1" s="1"/>
  <c r="AA167" i="1"/>
  <c r="AU203" i="1"/>
  <c r="AV203" i="1"/>
  <c r="AT204" i="1" s="1"/>
  <c r="AE167" i="1"/>
  <c r="AF167" i="1" s="1"/>
  <c r="AD168" i="1" s="1"/>
  <c r="G176" i="18"/>
  <c r="H176" i="18" s="1"/>
  <c r="O175" i="18"/>
  <c r="AC223" i="18"/>
  <c r="AA224" i="18" s="1"/>
  <c r="AB223" i="18"/>
  <c r="AD223" i="18"/>
  <c r="Z168" i="1" l="1"/>
  <c r="AC168" i="1" s="1"/>
  <c r="AB168" i="1" s="1"/>
  <c r="AH167" i="1"/>
  <c r="AS204" i="1"/>
  <c r="AR204" i="1" s="1"/>
  <c r="AP204" i="1"/>
  <c r="AQ204" i="1"/>
  <c r="AX203" i="1"/>
  <c r="J176" i="18"/>
  <c r="I176" i="18" s="1"/>
  <c r="N176" i="18"/>
  <c r="AE223" i="18"/>
  <c r="X224" i="18"/>
  <c r="W224" i="18"/>
  <c r="AD224" i="18" s="1"/>
  <c r="Z224" i="18"/>
  <c r="Y224" i="18" s="1"/>
  <c r="L176" i="18"/>
  <c r="B156" i="12"/>
  <c r="AG168" i="1" l="1"/>
  <c r="AV204" i="1"/>
  <c r="AT205" i="1" s="1"/>
  <c r="AU204" i="1"/>
  <c r="AE168" i="1"/>
  <c r="AF168" i="1" s="1"/>
  <c r="AD169" i="1" s="1"/>
  <c r="AW204" i="1"/>
  <c r="AA168" i="1"/>
  <c r="M176" i="18"/>
  <c r="K177" i="18" s="1"/>
  <c r="AB224" i="18"/>
  <c r="AC224" i="18"/>
  <c r="AA225" i="18" s="1"/>
  <c r="H157" i="12"/>
  <c r="AX204" i="1" l="1"/>
  <c r="Z169" i="1"/>
  <c r="AC169" i="1" s="1"/>
  <c r="AB169" i="1" s="1"/>
  <c r="AH168" i="1"/>
  <c r="AP205" i="1"/>
  <c r="AW205" i="1" s="1"/>
  <c r="AQ205" i="1"/>
  <c r="AS205" i="1"/>
  <c r="AR205" i="1" s="1"/>
  <c r="Z225" i="18"/>
  <c r="Y225" i="18" s="1"/>
  <c r="W225" i="18"/>
  <c r="AD225" i="18" s="1"/>
  <c r="X225" i="18"/>
  <c r="AE224" i="18"/>
  <c r="G177" i="18"/>
  <c r="N177" i="18" s="1"/>
  <c r="O176" i="18"/>
  <c r="AG169" i="1" l="1"/>
  <c r="AV205" i="1"/>
  <c r="AT206" i="1" s="1"/>
  <c r="AU205" i="1"/>
  <c r="AE169" i="1"/>
  <c r="AF169" i="1" s="1"/>
  <c r="AD170" i="1" s="1"/>
  <c r="AA169" i="1"/>
  <c r="J177" i="18"/>
  <c r="I177" i="18" s="1"/>
  <c r="H177" i="18"/>
  <c r="L177" i="18"/>
  <c r="AB225" i="18"/>
  <c r="AC225" i="18"/>
  <c r="AA226" i="18" s="1"/>
  <c r="B157" i="12"/>
  <c r="AX205" i="1" l="1"/>
  <c r="Z170" i="1"/>
  <c r="AA170" i="1" s="1"/>
  <c r="AH169" i="1"/>
  <c r="AQ206" i="1"/>
  <c r="AS206" i="1"/>
  <c r="AR206" i="1" s="1"/>
  <c r="AP206" i="1"/>
  <c r="AE225" i="18"/>
  <c r="X226" i="18"/>
  <c r="Z226" i="18"/>
  <c r="Y226" i="18" s="1"/>
  <c r="W226" i="18"/>
  <c r="M177" i="18"/>
  <c r="K178" i="18" s="1"/>
  <c r="H158" i="12"/>
  <c r="AV206" i="1" l="1"/>
  <c r="AT207" i="1" s="1"/>
  <c r="AU206" i="1"/>
  <c r="AE170" i="1"/>
  <c r="AF170" i="1" s="1"/>
  <c r="AD171" i="1" s="1"/>
  <c r="AW206" i="1"/>
  <c r="AG170" i="1"/>
  <c r="AC170" i="1"/>
  <c r="AB170" i="1" s="1"/>
  <c r="G178" i="18"/>
  <c r="AB226" i="18"/>
  <c r="AC226" i="18"/>
  <c r="AA227" i="18" s="1"/>
  <c r="O177" i="18"/>
  <c r="AD226" i="18"/>
  <c r="AX206" i="1" l="1"/>
  <c r="AP207" i="1"/>
  <c r="AW207" i="1" s="1"/>
  <c r="AQ207" i="1"/>
  <c r="AS207" i="1"/>
  <c r="AR207" i="1" s="1"/>
  <c r="Z171" i="1"/>
  <c r="AC171" i="1" s="1"/>
  <c r="AB171" i="1" s="1"/>
  <c r="AH170" i="1"/>
  <c r="L178" i="18"/>
  <c r="M178" i="18" s="1"/>
  <c r="K179" i="18" s="1"/>
  <c r="Z227" i="18"/>
  <c r="Y227" i="18" s="1"/>
  <c r="X227" i="18"/>
  <c r="W227" i="18"/>
  <c r="H178" i="18"/>
  <c r="AE226" i="18"/>
  <c r="N178" i="18"/>
  <c r="J178" i="18"/>
  <c r="I178" i="18" s="1"/>
  <c r="H159" i="12"/>
  <c r="B158" i="12"/>
  <c r="AG171" i="1" l="1"/>
  <c r="AA171" i="1"/>
  <c r="AE171" i="1"/>
  <c r="AF171" i="1" s="1"/>
  <c r="AD172" i="1" s="1"/>
  <c r="AU207" i="1"/>
  <c r="AV207" i="1"/>
  <c r="AT208" i="1" s="1"/>
  <c r="AC227" i="18"/>
  <c r="AA228" i="18" s="1"/>
  <c r="AB227" i="18"/>
  <c r="AD227" i="18"/>
  <c r="O178" i="18"/>
  <c r="G179" i="18"/>
  <c r="H179" i="18" s="1"/>
  <c r="Z172" i="1" l="1"/>
  <c r="AA172" i="1" s="1"/>
  <c r="AP208" i="1"/>
  <c r="AW208" i="1" s="1"/>
  <c r="AS208" i="1"/>
  <c r="AR208" i="1" s="1"/>
  <c r="AQ208" i="1"/>
  <c r="AX207" i="1"/>
  <c r="AH171" i="1"/>
  <c r="J179" i="18"/>
  <c r="I179" i="18" s="1"/>
  <c r="N179" i="18"/>
  <c r="AE227" i="18"/>
  <c r="L179" i="18"/>
  <c r="M179" i="18" s="1"/>
  <c r="K180" i="18" s="1"/>
  <c r="X228" i="18"/>
  <c r="Z228" i="18"/>
  <c r="Y228" i="18" s="1"/>
  <c r="W228" i="18"/>
  <c r="B159" i="12"/>
  <c r="AG172" i="1" l="1"/>
  <c r="AV208" i="1"/>
  <c r="AT209" i="1" s="1"/>
  <c r="AU208" i="1"/>
  <c r="AE172" i="1"/>
  <c r="AF172" i="1" s="1"/>
  <c r="AD173" i="1" s="1"/>
  <c r="AC172" i="1"/>
  <c r="AB172" i="1" s="1"/>
  <c r="G180" i="18"/>
  <c r="N180" i="18" s="1"/>
  <c r="AB228" i="18"/>
  <c r="AC228" i="18"/>
  <c r="AA229" i="18" s="1"/>
  <c r="AD228" i="18"/>
  <c r="O179" i="18"/>
  <c r="H160" i="12"/>
  <c r="AX208" i="1" l="1"/>
  <c r="Z173" i="1"/>
  <c r="AA173" i="1" s="1"/>
  <c r="AP209" i="1"/>
  <c r="AS209" i="1"/>
  <c r="AR209" i="1" s="1"/>
  <c r="AQ209" i="1"/>
  <c r="AH172" i="1"/>
  <c r="J180" i="18"/>
  <c r="I180" i="18" s="1"/>
  <c r="H180" i="18"/>
  <c r="AE228" i="18"/>
  <c r="Z229" i="18"/>
  <c r="Y229" i="18" s="1"/>
  <c r="X229" i="18"/>
  <c r="W229" i="18"/>
  <c r="L180" i="18"/>
  <c r="AC173" i="1" l="1"/>
  <c r="AB173" i="1" s="1"/>
  <c r="AU209" i="1"/>
  <c r="AV209" i="1"/>
  <c r="AT210" i="1" s="1"/>
  <c r="AW209" i="1"/>
  <c r="AE173" i="1"/>
  <c r="AF173" i="1" s="1"/>
  <c r="AD174" i="1" s="1"/>
  <c r="AG173" i="1"/>
  <c r="M180" i="18"/>
  <c r="K181" i="18" s="1"/>
  <c r="AC229" i="18"/>
  <c r="AA230" i="18" s="1"/>
  <c r="AB229" i="18"/>
  <c r="AD229" i="18"/>
  <c r="B160" i="12"/>
  <c r="AQ210" i="1" l="1"/>
  <c r="AS210" i="1"/>
  <c r="AR210" i="1" s="1"/>
  <c r="AP210" i="1"/>
  <c r="Z174" i="1"/>
  <c r="AA174" i="1" s="1"/>
  <c r="AX209" i="1"/>
  <c r="AH173" i="1"/>
  <c r="AE229" i="18"/>
  <c r="X230" i="18"/>
  <c r="W230" i="18"/>
  <c r="AD230" i="18" s="1"/>
  <c r="Z230" i="18"/>
  <c r="Y230" i="18" s="1"/>
  <c r="G181" i="18"/>
  <c r="N181" i="18" s="1"/>
  <c r="O180" i="18"/>
  <c r="H161" i="12"/>
  <c r="AG174" i="1" l="1"/>
  <c r="AC174" i="1"/>
  <c r="AB174" i="1" s="1"/>
  <c r="AU210" i="1"/>
  <c r="AV210" i="1"/>
  <c r="AT211" i="1" s="1"/>
  <c r="AE174" i="1"/>
  <c r="AF174" i="1" s="1"/>
  <c r="AD175" i="1" s="1"/>
  <c r="AW210" i="1"/>
  <c r="H181" i="18"/>
  <c r="J181" i="18"/>
  <c r="I181" i="18" s="1"/>
  <c r="AB230" i="18"/>
  <c r="AC230" i="18"/>
  <c r="AA231" i="18" s="1"/>
  <c r="L181" i="18"/>
  <c r="M181" i="18" s="1"/>
  <c r="K182" i="18" s="1"/>
  <c r="Z175" i="1" l="1"/>
  <c r="AS211" i="1"/>
  <c r="AR211" i="1" s="1"/>
  <c r="AQ211" i="1"/>
  <c r="AP211" i="1"/>
  <c r="AX210" i="1"/>
  <c r="AH174" i="1"/>
  <c r="G182" i="18"/>
  <c r="Z231" i="18"/>
  <c r="Y231" i="18" s="1"/>
  <c r="X231" i="18"/>
  <c r="W231" i="18"/>
  <c r="O181" i="18"/>
  <c r="AE230" i="18"/>
  <c r="B161" i="12"/>
  <c r="AV211" i="1" l="1"/>
  <c r="AT212" i="1" s="1"/>
  <c r="AU211" i="1"/>
  <c r="AE175" i="1"/>
  <c r="AF175" i="1" s="1"/>
  <c r="AD176" i="1" s="1"/>
  <c r="AG175" i="1"/>
  <c r="AA175" i="1"/>
  <c r="AC175" i="1"/>
  <c r="AB175" i="1" s="1"/>
  <c r="AW211" i="1"/>
  <c r="L182" i="18"/>
  <c r="H182" i="18"/>
  <c r="AC231" i="18"/>
  <c r="AA232" i="18" s="1"/>
  <c r="AB231" i="18"/>
  <c r="AD231" i="18"/>
  <c r="J182" i="18"/>
  <c r="I182" i="18" s="1"/>
  <c r="N182" i="18"/>
  <c r="AX211" i="1" l="1"/>
  <c r="AQ212" i="1"/>
  <c r="AS212" i="1"/>
  <c r="AR212" i="1" s="1"/>
  <c r="AP212" i="1"/>
  <c r="AW212" i="1" s="1"/>
  <c r="Z176" i="1"/>
  <c r="AH175" i="1"/>
  <c r="X232" i="18"/>
  <c r="W232" i="18"/>
  <c r="Z232" i="18"/>
  <c r="Y232" i="18" s="1"/>
  <c r="AE231" i="18"/>
  <c r="M182" i="18"/>
  <c r="K183" i="18" s="1"/>
  <c r="AE176" i="1" l="1"/>
  <c r="AG176" i="1"/>
  <c r="AU212" i="1"/>
  <c r="AV212" i="1"/>
  <c r="AT213" i="1" s="1"/>
  <c r="AC176" i="1"/>
  <c r="AB176" i="1" s="1"/>
  <c r="AA176" i="1"/>
  <c r="O182" i="18"/>
  <c r="AB232" i="18"/>
  <c r="AC232" i="18"/>
  <c r="AA233" i="18" s="1"/>
  <c r="G183" i="18"/>
  <c r="N183" i="18" s="1"/>
  <c r="AD232" i="18"/>
  <c r="B162" i="12"/>
  <c r="AX212" i="1" l="1"/>
  <c r="AS213" i="1"/>
  <c r="AR213" i="1" s="1"/>
  <c r="AP213" i="1"/>
  <c r="AQ213" i="1"/>
  <c r="AF176" i="1"/>
  <c r="AD177" i="1" s="1"/>
  <c r="J183" i="18"/>
  <c r="I183" i="18" s="1"/>
  <c r="H183" i="18"/>
  <c r="L183" i="18"/>
  <c r="M183" i="18" s="1"/>
  <c r="K184" i="18" s="1"/>
  <c r="Z233" i="18"/>
  <c r="Y233" i="18" s="1"/>
  <c r="W233" i="18"/>
  <c r="X233" i="18"/>
  <c r="AE232" i="18"/>
  <c r="AV213" i="1" l="1"/>
  <c r="AT214" i="1" s="1"/>
  <c r="AU213" i="1"/>
  <c r="Z177" i="1"/>
  <c r="AA177" i="1" s="1"/>
  <c r="AW213" i="1"/>
  <c r="AH176" i="1"/>
  <c r="AB233" i="18"/>
  <c r="AC233" i="18"/>
  <c r="AA234" i="18" s="1"/>
  <c r="AD233" i="18"/>
  <c r="O183" i="18"/>
  <c r="G184" i="18"/>
  <c r="N184" i="18" s="1"/>
  <c r="B163" i="12"/>
  <c r="AX213" i="1" l="1"/>
  <c r="AG177" i="1"/>
  <c r="AE177" i="1"/>
  <c r="AF177" i="1" s="1"/>
  <c r="AD178" i="1" s="1"/>
  <c r="AC177" i="1"/>
  <c r="AB177" i="1" s="1"/>
  <c r="AQ214" i="1"/>
  <c r="AP214" i="1"/>
  <c r="AS214" i="1"/>
  <c r="AR214" i="1" s="1"/>
  <c r="H184" i="18"/>
  <c r="J184" i="18"/>
  <c r="I184" i="18" s="1"/>
  <c r="L184" i="18"/>
  <c r="X234" i="18"/>
  <c r="Z234" i="18"/>
  <c r="Y234" i="18" s="1"/>
  <c r="AD234" i="18"/>
  <c r="W234" i="18"/>
  <c r="AE233" i="18"/>
  <c r="Z178" i="1" l="1"/>
  <c r="AC178" i="1" s="1"/>
  <c r="AB178" i="1" s="1"/>
  <c r="AU214" i="1"/>
  <c r="AV214" i="1"/>
  <c r="AT215" i="1" s="1"/>
  <c r="AH177" i="1"/>
  <c r="AW214" i="1"/>
  <c r="AB234" i="18"/>
  <c r="AC234" i="18"/>
  <c r="AA235" i="18" s="1"/>
  <c r="M184" i="18"/>
  <c r="K185" i="18" s="1"/>
  <c r="AA178" i="1" l="1"/>
  <c r="AG178" i="1"/>
  <c r="AX214" i="1"/>
  <c r="AS215" i="1"/>
  <c r="AR215" i="1" s="1"/>
  <c r="AP215" i="1"/>
  <c r="AW215" i="1" s="1"/>
  <c r="AQ215" i="1"/>
  <c r="AE178" i="1"/>
  <c r="AF178" i="1" s="1"/>
  <c r="AD179" i="1" s="1"/>
  <c r="O184" i="18"/>
  <c r="G185" i="18"/>
  <c r="N185" i="18" s="1"/>
  <c r="Z235" i="18"/>
  <c r="Y235" i="18" s="1"/>
  <c r="X235" i="18"/>
  <c r="W235" i="18"/>
  <c r="AE234" i="18"/>
  <c r="B164" i="12"/>
  <c r="Z179" i="1" l="1"/>
  <c r="AC179" i="1" s="1"/>
  <c r="AB179" i="1" s="1"/>
  <c r="AV215" i="1"/>
  <c r="AT216" i="1" s="1"/>
  <c r="AU215" i="1"/>
  <c r="AH178" i="1"/>
  <c r="H185" i="18"/>
  <c r="J185" i="18"/>
  <c r="I185" i="18" s="1"/>
  <c r="AC235" i="18"/>
  <c r="AA236" i="18" s="1"/>
  <c r="AB235" i="18"/>
  <c r="AD235" i="18"/>
  <c r="L185" i="18"/>
  <c r="AG179" i="1" l="1"/>
  <c r="AQ216" i="1"/>
  <c r="AS216" i="1"/>
  <c r="AR216" i="1" s="1"/>
  <c r="AP216" i="1"/>
  <c r="AX215" i="1"/>
  <c r="AE179" i="1"/>
  <c r="AF179" i="1" s="1"/>
  <c r="AD180" i="1" s="1"/>
  <c r="AA179" i="1"/>
  <c r="M185" i="18"/>
  <c r="K186" i="18" s="1"/>
  <c r="AE235" i="18"/>
  <c r="X236" i="18"/>
  <c r="Z236" i="18"/>
  <c r="Y236" i="18" s="1"/>
  <c r="W236" i="18"/>
  <c r="AD236" i="18" s="1"/>
  <c r="Z180" i="1" l="1"/>
  <c r="AA180" i="1" s="1"/>
  <c r="AU216" i="1"/>
  <c r="AV216" i="1"/>
  <c r="AT217" i="1" s="1"/>
  <c r="AH179" i="1"/>
  <c r="AW216" i="1"/>
  <c r="AB236" i="18"/>
  <c r="AC236" i="18"/>
  <c r="AA237" i="18" s="1"/>
  <c r="G186" i="18"/>
  <c r="N186" i="18" s="1"/>
  <c r="O185" i="18"/>
  <c r="B165" i="12"/>
  <c r="AG180" i="1" l="1"/>
  <c r="AX216" i="1"/>
  <c r="AS217" i="1"/>
  <c r="AR217" i="1" s="1"/>
  <c r="AP217" i="1"/>
  <c r="AW217" i="1" s="1"/>
  <c r="AQ217" i="1"/>
  <c r="AE180" i="1"/>
  <c r="AF180" i="1" s="1"/>
  <c r="AD181" i="1" s="1"/>
  <c r="AC180" i="1"/>
  <c r="AB180" i="1" s="1"/>
  <c r="J186" i="18"/>
  <c r="I186" i="18" s="1"/>
  <c r="Z237" i="18"/>
  <c r="Y237" i="18" s="1"/>
  <c r="X237" i="18"/>
  <c r="W237" i="18"/>
  <c r="L186" i="18"/>
  <c r="M186" i="18" s="1"/>
  <c r="K187" i="18" s="1"/>
  <c r="H186" i="18"/>
  <c r="AE236" i="18"/>
  <c r="Z181" i="1" l="1"/>
  <c r="AA181" i="1" s="1"/>
  <c r="AH180" i="1"/>
  <c r="AU217" i="1"/>
  <c r="AV217" i="1"/>
  <c r="AT218" i="1" s="1"/>
  <c r="O186" i="18"/>
  <c r="G187" i="18"/>
  <c r="H187" i="18" s="1"/>
  <c r="AC237" i="18"/>
  <c r="AA238" i="18" s="1"/>
  <c r="AB237" i="18"/>
  <c r="AD237" i="18"/>
  <c r="AC181" i="1" l="1"/>
  <c r="AB181" i="1" s="1"/>
  <c r="AG181" i="1"/>
  <c r="AX217" i="1"/>
  <c r="AE181" i="1"/>
  <c r="AQ218" i="1"/>
  <c r="AS218" i="1"/>
  <c r="AR218" i="1" s="1"/>
  <c r="AP218" i="1"/>
  <c r="J187" i="18"/>
  <c r="I187" i="18" s="1"/>
  <c r="AE237" i="18"/>
  <c r="N187" i="18"/>
  <c r="L187" i="18"/>
  <c r="M187" i="18" s="1"/>
  <c r="K188" i="18" s="1"/>
  <c r="X238" i="18"/>
  <c r="W238" i="18"/>
  <c r="AD238" i="18" s="1"/>
  <c r="Z238" i="18"/>
  <c r="Y238" i="18" s="1"/>
  <c r="B166" i="12"/>
  <c r="AU218" i="1" l="1"/>
  <c r="AV218" i="1"/>
  <c r="AT219" i="1" s="1"/>
  <c r="AW218" i="1"/>
  <c r="AF181" i="1"/>
  <c r="AD182" i="1" s="1"/>
  <c r="G188" i="18"/>
  <c r="J188" i="18" s="1"/>
  <c r="I188" i="18" s="1"/>
  <c r="AB238" i="18"/>
  <c r="AC238" i="18"/>
  <c r="AA239" i="18" s="1"/>
  <c r="O187" i="18"/>
  <c r="AS219" i="1" l="1"/>
  <c r="AR219" i="1" s="1"/>
  <c r="AQ219" i="1"/>
  <c r="AP219" i="1"/>
  <c r="AH181" i="1"/>
  <c r="Z182" i="1"/>
  <c r="AC182" i="1" s="1"/>
  <c r="AB182" i="1" s="1"/>
  <c r="AX218" i="1"/>
  <c r="H188" i="18"/>
  <c r="N188" i="18"/>
  <c r="Z239" i="18"/>
  <c r="Y239" i="18" s="1"/>
  <c r="X239" i="18"/>
  <c r="W239" i="18"/>
  <c r="AE238" i="18"/>
  <c r="L188" i="18"/>
  <c r="M188" i="18" s="1"/>
  <c r="K189" i="18" s="1"/>
  <c r="B167" i="12"/>
  <c r="AV219" i="1" l="1"/>
  <c r="AT220" i="1" s="1"/>
  <c r="AU219" i="1"/>
  <c r="AG182" i="1"/>
  <c r="AE182" i="1"/>
  <c r="AA182" i="1"/>
  <c r="AW219" i="1"/>
  <c r="G189" i="18"/>
  <c r="N189" i="18" s="1"/>
  <c r="O188" i="18"/>
  <c r="AC239" i="18"/>
  <c r="AA240" i="18" s="1"/>
  <c r="AB239" i="18"/>
  <c r="AD239" i="18"/>
  <c r="AX219" i="1" l="1"/>
  <c r="AF182" i="1"/>
  <c r="AD183" i="1" s="1"/>
  <c r="AQ220" i="1"/>
  <c r="AS220" i="1"/>
  <c r="AR220" i="1" s="1"/>
  <c r="AP220" i="1"/>
  <c r="J189" i="18"/>
  <c r="I189" i="18" s="1"/>
  <c r="H189" i="18"/>
  <c r="AE239" i="18"/>
  <c r="X240" i="18"/>
  <c r="W240" i="18"/>
  <c r="Z240" i="18"/>
  <c r="Y240" i="18" s="1"/>
  <c r="L189" i="18"/>
  <c r="M189" i="18" s="1"/>
  <c r="K190" i="18" s="1"/>
  <c r="B168" i="12"/>
  <c r="AH182" i="1" l="1"/>
  <c r="AU220" i="1"/>
  <c r="AV220" i="1"/>
  <c r="AT221" i="1" s="1"/>
  <c r="AW220" i="1"/>
  <c r="Z183" i="1"/>
  <c r="AG183" i="1" s="1"/>
  <c r="AB240" i="18"/>
  <c r="AC240" i="18"/>
  <c r="AA241" i="18" s="1"/>
  <c r="O189" i="18"/>
  <c r="G190" i="18"/>
  <c r="J190" i="18" s="1"/>
  <c r="I190" i="18" s="1"/>
  <c r="AD240" i="18"/>
  <c r="AA183" i="1" l="1"/>
  <c r="AC183" i="1"/>
  <c r="AB183" i="1" s="1"/>
  <c r="AS221" i="1"/>
  <c r="AR221" i="1" s="1"/>
  <c r="AP221" i="1"/>
  <c r="AW221" i="1" s="1"/>
  <c r="AQ221" i="1"/>
  <c r="AE183" i="1"/>
  <c r="AX220" i="1"/>
  <c r="L190" i="18"/>
  <c r="H190" i="18"/>
  <c r="N190" i="18"/>
  <c r="Z241" i="18"/>
  <c r="Y241" i="18" s="1"/>
  <c r="W241" i="18"/>
  <c r="X241" i="18"/>
  <c r="AE240" i="18"/>
  <c r="B169" i="12"/>
  <c r="AF183" i="1" l="1"/>
  <c r="AD184" i="1" s="1"/>
  <c r="AU221" i="1"/>
  <c r="AV221" i="1"/>
  <c r="AT222" i="1" s="1"/>
  <c r="AB241" i="18"/>
  <c r="AC241" i="18"/>
  <c r="AA242" i="18" s="1"/>
  <c r="AD241" i="18"/>
  <c r="M190" i="18"/>
  <c r="K191" i="18" s="1"/>
  <c r="AQ222" i="1" l="1"/>
  <c r="AP222" i="1"/>
  <c r="AS222" i="1"/>
  <c r="AR222" i="1" s="1"/>
  <c r="AX221" i="1"/>
  <c r="Z184" i="1"/>
  <c r="AA184" i="1" s="1"/>
  <c r="AH183" i="1"/>
  <c r="O190" i="18"/>
  <c r="X242" i="18"/>
  <c r="Z242" i="18"/>
  <c r="Y242" i="18" s="1"/>
  <c r="AD242" i="18"/>
  <c r="W242" i="18"/>
  <c r="G191" i="18"/>
  <c r="J191" i="18" s="1"/>
  <c r="I191" i="18" s="1"/>
  <c r="AE241" i="18"/>
  <c r="AG184" i="1" l="1"/>
  <c r="AC184" i="1"/>
  <c r="AB184" i="1" s="1"/>
  <c r="AU222" i="1"/>
  <c r="AV222" i="1"/>
  <c r="AT223" i="1" s="1"/>
  <c r="AE184" i="1"/>
  <c r="AF184" i="1" s="1"/>
  <c r="AD185" i="1" s="1"/>
  <c r="AW222" i="1"/>
  <c r="H191" i="18"/>
  <c r="N191" i="18"/>
  <c r="L191" i="18"/>
  <c r="M191" i="18" s="1"/>
  <c r="K192" i="18" s="1"/>
  <c r="AB242" i="18"/>
  <c r="AC242" i="18"/>
  <c r="AA243" i="18" s="1"/>
  <c r="B170" i="12"/>
  <c r="AH184" i="1" l="1"/>
  <c r="AX222" i="1"/>
  <c r="Z185" i="1"/>
  <c r="AA185" i="1" s="1"/>
  <c r="AS223" i="1"/>
  <c r="AR223" i="1" s="1"/>
  <c r="AP223" i="1"/>
  <c r="AQ223" i="1"/>
  <c r="AE242" i="18"/>
  <c r="Z243" i="18"/>
  <c r="Y243" i="18" s="1"/>
  <c r="X243" i="18"/>
  <c r="W243" i="18"/>
  <c r="O191" i="18"/>
  <c r="G192" i="18"/>
  <c r="N192" i="18" s="1"/>
  <c r="AC185" i="1" l="1"/>
  <c r="AB185" i="1" s="1"/>
  <c r="AG185" i="1"/>
  <c r="AU223" i="1"/>
  <c r="AV223" i="1"/>
  <c r="AT224" i="1" s="1"/>
  <c r="AW223" i="1"/>
  <c r="AE185" i="1"/>
  <c r="AF185" i="1" s="1"/>
  <c r="AD186" i="1" s="1"/>
  <c r="H192" i="18"/>
  <c r="J192" i="18"/>
  <c r="I192" i="18" s="1"/>
  <c r="AC243" i="18"/>
  <c r="AA244" i="18" s="1"/>
  <c r="AB243" i="18"/>
  <c r="AD243" i="18"/>
  <c r="L192" i="18"/>
  <c r="M192" i="18" s="1"/>
  <c r="K193" i="18" s="1"/>
  <c r="B171" i="12"/>
  <c r="Z186" i="1" l="1"/>
  <c r="AC186" i="1" s="1"/>
  <c r="AB186" i="1" s="1"/>
  <c r="AX223" i="1"/>
  <c r="AH185" i="1"/>
  <c r="AQ224" i="1"/>
  <c r="AP224" i="1"/>
  <c r="AW224" i="1" s="1"/>
  <c r="AS224" i="1"/>
  <c r="AR224" i="1" s="1"/>
  <c r="G193" i="18"/>
  <c r="J193" i="18" s="1"/>
  <c r="I193" i="18" s="1"/>
  <c r="AE243" i="18"/>
  <c r="O192" i="18"/>
  <c r="X244" i="18"/>
  <c r="Z244" i="18"/>
  <c r="Y244" i="18" s="1"/>
  <c r="W244" i="18"/>
  <c r="AA186" i="1" l="1"/>
  <c r="AE186" i="1"/>
  <c r="AF186" i="1" s="1"/>
  <c r="AD187" i="1" s="1"/>
  <c r="AU224" i="1"/>
  <c r="AV224" i="1"/>
  <c r="AT225" i="1" s="1"/>
  <c r="AG186" i="1"/>
  <c r="H193" i="18"/>
  <c r="N193" i="18"/>
  <c r="AB244" i="18"/>
  <c r="AC244" i="18"/>
  <c r="AA245" i="18" s="1"/>
  <c r="AD244" i="18"/>
  <c r="L193" i="18"/>
  <c r="M193" i="18" s="1"/>
  <c r="K194" i="18" s="1"/>
  <c r="B172" i="12"/>
  <c r="Z187" i="1" l="1"/>
  <c r="AH186" i="1"/>
  <c r="AS225" i="1"/>
  <c r="AR225" i="1" s="1"/>
  <c r="AP225" i="1"/>
  <c r="AQ225" i="1"/>
  <c r="AX224" i="1"/>
  <c r="Z245" i="18"/>
  <c r="Y245" i="18" s="1"/>
  <c r="X245" i="18"/>
  <c r="W245" i="18"/>
  <c r="G194" i="18"/>
  <c r="J194" i="18" s="1"/>
  <c r="I194" i="18" s="1"/>
  <c r="O193" i="18"/>
  <c r="AE244" i="18"/>
  <c r="AE187" i="1" l="1"/>
  <c r="AF187" i="1" s="1"/>
  <c r="AD188" i="1" s="1"/>
  <c r="AC187" i="1"/>
  <c r="AB187" i="1" s="1"/>
  <c r="AU225" i="1"/>
  <c r="AV225" i="1"/>
  <c r="AT226" i="1" s="1"/>
  <c r="AA187" i="1"/>
  <c r="AW225" i="1"/>
  <c r="AG187" i="1"/>
  <c r="L194" i="18"/>
  <c r="AC245" i="18"/>
  <c r="AA246" i="18" s="1"/>
  <c r="AB245" i="18"/>
  <c r="AD245" i="18"/>
  <c r="H194" i="18"/>
  <c r="N194" i="18"/>
  <c r="Z188" i="1" l="1"/>
  <c r="AG188" i="1" s="1"/>
  <c r="AQ226" i="1"/>
  <c r="AS226" i="1"/>
  <c r="AR226" i="1" s="1"/>
  <c r="AP226" i="1"/>
  <c r="AW226" i="1" s="1"/>
  <c r="AH187" i="1"/>
  <c r="AX225" i="1"/>
  <c r="AE245" i="18"/>
  <c r="X246" i="18"/>
  <c r="W246" i="18"/>
  <c r="Z246" i="18"/>
  <c r="Y246" i="18" s="1"/>
  <c r="M194" i="18"/>
  <c r="K195" i="18" s="1"/>
  <c r="B173" i="12"/>
  <c r="AE188" i="1" l="1"/>
  <c r="AC188" i="1"/>
  <c r="AB188" i="1" s="1"/>
  <c r="AU226" i="1"/>
  <c r="AV226" i="1"/>
  <c r="AT227" i="1" s="1"/>
  <c r="AA188" i="1"/>
  <c r="AB246" i="18"/>
  <c r="AC246" i="18"/>
  <c r="AA247" i="18" s="1"/>
  <c r="G195" i="18"/>
  <c r="N195" i="18" s="1"/>
  <c r="O194" i="18"/>
  <c r="AD246" i="18"/>
  <c r="AS227" i="1" l="1"/>
  <c r="AR227" i="1" s="1"/>
  <c r="AQ227" i="1"/>
  <c r="AP227" i="1"/>
  <c r="AW227" i="1" s="1"/>
  <c r="AX226" i="1"/>
  <c r="AF188" i="1"/>
  <c r="AD189" i="1" s="1"/>
  <c r="J195" i="18"/>
  <c r="I195" i="18" s="1"/>
  <c r="L195" i="18"/>
  <c r="M195" i="18" s="1"/>
  <c r="K196" i="18" s="1"/>
  <c r="Z247" i="18"/>
  <c r="Y247" i="18" s="1"/>
  <c r="X247" i="18"/>
  <c r="W247" i="18"/>
  <c r="H195" i="18"/>
  <c r="AE246" i="18"/>
  <c r="AH188" i="1" l="1"/>
  <c r="Z189" i="1"/>
  <c r="AV227" i="1"/>
  <c r="AT228" i="1" s="1"/>
  <c r="AU227" i="1"/>
  <c r="AC247" i="18"/>
  <c r="AA248" i="18" s="1"/>
  <c r="AB247" i="18"/>
  <c r="AD247" i="18"/>
  <c r="G196" i="18"/>
  <c r="O195" i="18"/>
  <c r="B174" i="12"/>
  <c r="AE189" i="1" l="1"/>
  <c r="AF189" i="1" s="1"/>
  <c r="AD190" i="1" s="1"/>
  <c r="AX227" i="1"/>
  <c r="AG189" i="1"/>
  <c r="AQ228" i="1"/>
  <c r="AP228" i="1"/>
  <c r="AW228" i="1" s="1"/>
  <c r="AS228" i="1"/>
  <c r="AR228" i="1" s="1"/>
  <c r="AC189" i="1"/>
  <c r="AB189" i="1" s="1"/>
  <c r="AA189" i="1"/>
  <c r="L196" i="18"/>
  <c r="H196" i="18"/>
  <c r="N196" i="18"/>
  <c r="AE247" i="18"/>
  <c r="J196" i="18"/>
  <c r="I196" i="18" s="1"/>
  <c r="X248" i="18"/>
  <c r="W248" i="18"/>
  <c r="AD248" i="18" s="1"/>
  <c r="Z248" i="18"/>
  <c r="Y248" i="18" s="1"/>
  <c r="AU228" i="1" l="1"/>
  <c r="AV228" i="1"/>
  <c r="AT229" i="1" s="1"/>
  <c r="Z190" i="1"/>
  <c r="AA190" i="1" s="1"/>
  <c r="AH189" i="1"/>
  <c r="AB248" i="18"/>
  <c r="AC248" i="18"/>
  <c r="AA249" i="18" s="1"/>
  <c r="M196" i="18"/>
  <c r="K197" i="18" s="1"/>
  <c r="B175" i="12"/>
  <c r="AX228" i="1" l="1"/>
  <c r="AC190" i="1"/>
  <c r="AB190" i="1" s="1"/>
  <c r="AG190" i="1"/>
  <c r="AE190" i="1"/>
  <c r="AF190" i="1" s="1"/>
  <c r="AD191" i="1" s="1"/>
  <c r="AS229" i="1"/>
  <c r="AR229" i="1" s="1"/>
  <c r="AP229" i="1"/>
  <c r="AQ229" i="1"/>
  <c r="G197" i="18"/>
  <c r="H197" i="18" s="1"/>
  <c r="O196" i="18"/>
  <c r="Z249" i="18"/>
  <c r="Y249" i="18" s="1"/>
  <c r="W249" i="18"/>
  <c r="X249" i="18"/>
  <c r="AE248" i="18"/>
  <c r="Z191" i="1" l="1"/>
  <c r="AU229" i="1"/>
  <c r="AV229" i="1"/>
  <c r="AT230" i="1" s="1"/>
  <c r="AH190" i="1"/>
  <c r="AW229" i="1"/>
  <c r="J197" i="18"/>
  <c r="I197" i="18" s="1"/>
  <c r="N197" i="18"/>
  <c r="AB249" i="18"/>
  <c r="AC249" i="18"/>
  <c r="AA250" i="18" s="1"/>
  <c r="AD249" i="18"/>
  <c r="L197" i="18"/>
  <c r="M197" i="18" s="1"/>
  <c r="K198" i="18" s="1"/>
  <c r="AX229" i="1" l="1"/>
  <c r="AE191" i="1"/>
  <c r="AF191" i="1" s="1"/>
  <c r="AD192" i="1" s="1"/>
  <c r="AC191" i="1"/>
  <c r="AB191" i="1" s="1"/>
  <c r="AA191" i="1"/>
  <c r="AG191" i="1"/>
  <c r="AQ230" i="1"/>
  <c r="AP230" i="1"/>
  <c r="AW230" i="1" s="1"/>
  <c r="AS230" i="1"/>
  <c r="AR230" i="1" s="1"/>
  <c r="X250" i="18"/>
  <c r="Z250" i="18"/>
  <c r="Y250" i="18" s="1"/>
  <c r="W250" i="18"/>
  <c r="AD250" i="18" s="1"/>
  <c r="G198" i="18"/>
  <c r="J198" i="18" s="1"/>
  <c r="I198" i="18" s="1"/>
  <c r="O197" i="18"/>
  <c r="AE249" i="18"/>
  <c r="B176" i="12"/>
  <c r="Z192" i="1" l="1"/>
  <c r="AC192" i="1" s="1"/>
  <c r="AB192" i="1" s="1"/>
  <c r="AH191" i="1"/>
  <c r="AU230" i="1"/>
  <c r="AV230" i="1"/>
  <c r="AT231" i="1" s="1"/>
  <c r="H198" i="18"/>
  <c r="N198" i="18"/>
  <c r="L198" i="18"/>
  <c r="AB250" i="18"/>
  <c r="AC250" i="18"/>
  <c r="AA251" i="18" s="1"/>
  <c r="AA192" i="1" l="1"/>
  <c r="AS231" i="1"/>
  <c r="AR231" i="1" s="1"/>
  <c r="AP231" i="1"/>
  <c r="AQ231" i="1"/>
  <c r="AX230" i="1"/>
  <c r="AE192" i="1"/>
  <c r="AF192" i="1" s="1"/>
  <c r="AD193" i="1" s="1"/>
  <c r="AG192" i="1"/>
  <c r="Z251" i="18"/>
  <c r="Y251" i="18" s="1"/>
  <c r="X251" i="18"/>
  <c r="W251" i="18"/>
  <c r="AE250" i="18"/>
  <c r="M198" i="18"/>
  <c r="K199" i="18" s="1"/>
  <c r="Z193" i="1" l="1"/>
  <c r="AU231" i="1"/>
  <c r="AV231" i="1"/>
  <c r="AT232" i="1" s="1"/>
  <c r="AW231" i="1"/>
  <c r="AH192" i="1"/>
  <c r="O198" i="18"/>
  <c r="G199" i="18"/>
  <c r="N199" i="18" s="1"/>
  <c r="AC251" i="18"/>
  <c r="AA252" i="18" s="1"/>
  <c r="AB251" i="18"/>
  <c r="AD251" i="18"/>
  <c r="B177" i="12"/>
  <c r="AQ232" i="1" l="1"/>
  <c r="AP232" i="1"/>
  <c r="AS232" i="1"/>
  <c r="AR232" i="1" s="1"/>
  <c r="AE193" i="1"/>
  <c r="AF193" i="1" s="1"/>
  <c r="AD194" i="1" s="1"/>
  <c r="AX231" i="1"/>
  <c r="AG193" i="1"/>
  <c r="AA193" i="1"/>
  <c r="AC193" i="1"/>
  <c r="AB193" i="1" s="1"/>
  <c r="H199" i="18"/>
  <c r="J199" i="18"/>
  <c r="I199" i="18" s="1"/>
  <c r="AE251" i="18"/>
  <c r="X252" i="18"/>
  <c r="Z252" i="18"/>
  <c r="Y252" i="18" s="1"/>
  <c r="W252" i="18"/>
  <c r="AD252" i="18" s="1"/>
  <c r="L199" i="18"/>
  <c r="Z194" i="1" l="1"/>
  <c r="AC194" i="1" s="1"/>
  <c r="AB194" i="1" s="1"/>
  <c r="AU232" i="1"/>
  <c r="AV232" i="1"/>
  <c r="AT233" i="1" s="1"/>
  <c r="AH193" i="1"/>
  <c r="AW232" i="1"/>
  <c r="M199" i="18"/>
  <c r="K200" i="18" s="1"/>
  <c r="AB252" i="18"/>
  <c r="AC252" i="18"/>
  <c r="AA253" i="18" s="1"/>
  <c r="AA194" i="1" l="1"/>
  <c r="AS233" i="1"/>
  <c r="AR233" i="1" s="1"/>
  <c r="AP233" i="1"/>
  <c r="AW233" i="1" s="1"/>
  <c r="AQ233" i="1"/>
  <c r="AE194" i="1"/>
  <c r="AX232" i="1"/>
  <c r="AG194" i="1"/>
  <c r="Z253" i="18"/>
  <c r="Y253" i="18" s="1"/>
  <c r="X253" i="18"/>
  <c r="W253" i="18"/>
  <c r="AE252" i="18"/>
  <c r="G200" i="18"/>
  <c r="N200" i="18" s="1"/>
  <c r="O199" i="18"/>
  <c r="B178" i="12"/>
  <c r="AF194" i="1" l="1"/>
  <c r="AD195" i="1" s="1"/>
  <c r="AU233" i="1"/>
  <c r="AV233" i="1"/>
  <c r="AT234" i="1" s="1"/>
  <c r="H200" i="18"/>
  <c r="AC253" i="18"/>
  <c r="AA254" i="18" s="1"/>
  <c r="AB253" i="18"/>
  <c r="AD253" i="18"/>
  <c r="L200" i="18"/>
  <c r="M200" i="18" s="1"/>
  <c r="K201" i="18" s="1"/>
  <c r="J200" i="18"/>
  <c r="I200" i="18" s="1"/>
  <c r="AH194" i="1" l="1"/>
  <c r="AQ234" i="1"/>
  <c r="AS234" i="1"/>
  <c r="AR234" i="1" s="1"/>
  <c r="AP234" i="1"/>
  <c r="AW234" i="1" s="1"/>
  <c r="AX233" i="1"/>
  <c r="Z195" i="1"/>
  <c r="AG195" i="1" s="1"/>
  <c r="G201" i="18"/>
  <c r="N201" i="18" s="1"/>
  <c r="AE253" i="18"/>
  <c r="O200" i="18"/>
  <c r="X254" i="18"/>
  <c r="W254" i="18"/>
  <c r="Z254" i="18"/>
  <c r="Y254" i="18" s="1"/>
  <c r="B179" i="12"/>
  <c r="AC195" i="1" l="1"/>
  <c r="AB195" i="1" s="1"/>
  <c r="AA195" i="1"/>
  <c r="AU234" i="1"/>
  <c r="AV234" i="1"/>
  <c r="AT235" i="1" s="1"/>
  <c r="AE195" i="1"/>
  <c r="AF195" i="1" s="1"/>
  <c r="AD196" i="1" s="1"/>
  <c r="J201" i="18"/>
  <c r="I201" i="18" s="1"/>
  <c r="H201" i="18"/>
  <c r="AB254" i="18"/>
  <c r="AC254" i="18"/>
  <c r="AA255" i="18" s="1"/>
  <c r="AD254" i="18"/>
  <c r="L201" i="18"/>
  <c r="M201" i="18" s="1"/>
  <c r="K202" i="18" s="1"/>
  <c r="AS235" i="1" l="1"/>
  <c r="AR235" i="1" s="1"/>
  <c r="AQ235" i="1"/>
  <c r="AP235" i="1"/>
  <c r="AW235" i="1" s="1"/>
  <c r="Z196" i="1"/>
  <c r="AH195" i="1"/>
  <c r="AX234" i="1"/>
  <c r="G202" i="18"/>
  <c r="J202" i="18" s="1"/>
  <c r="I202" i="18" s="1"/>
  <c r="Z255" i="18"/>
  <c r="Y255" i="18" s="1"/>
  <c r="X255" i="18"/>
  <c r="W255" i="18"/>
  <c r="O201" i="18"/>
  <c r="AE254" i="18"/>
  <c r="AE196" i="1" l="1"/>
  <c r="AC196" i="1"/>
  <c r="AB196" i="1" s="1"/>
  <c r="AA196" i="1"/>
  <c r="AG196" i="1"/>
  <c r="AV235" i="1"/>
  <c r="AT236" i="1" s="1"/>
  <c r="AU235" i="1"/>
  <c r="L202" i="18"/>
  <c r="H202" i="18"/>
  <c r="AB255" i="18"/>
  <c r="AC255" i="18"/>
  <c r="AA256" i="18" s="1"/>
  <c r="AD255" i="18"/>
  <c r="N202" i="18"/>
  <c r="B180" i="12"/>
  <c r="AX235" i="1" l="1"/>
  <c r="AQ236" i="1"/>
  <c r="AP236" i="1"/>
  <c r="AW236" i="1" s="1"/>
  <c r="AS236" i="1"/>
  <c r="AR236" i="1" s="1"/>
  <c r="AF196" i="1"/>
  <c r="AD197" i="1" s="1"/>
  <c r="AE255" i="18"/>
  <c r="X256" i="18"/>
  <c r="W256" i="18"/>
  <c r="AD256" i="18" s="1"/>
  <c r="Z256" i="18"/>
  <c r="Y256" i="18" s="1"/>
  <c r="M202" i="18"/>
  <c r="K203" i="18" s="1"/>
  <c r="Z197" i="1" l="1"/>
  <c r="AC197" i="1" s="1"/>
  <c r="AB197" i="1" s="1"/>
  <c r="AH196" i="1"/>
  <c r="AU236" i="1"/>
  <c r="AV236" i="1"/>
  <c r="AT237" i="1" s="1"/>
  <c r="G203" i="18"/>
  <c r="N203" i="18" s="1"/>
  <c r="AB256" i="18"/>
  <c r="AC256" i="18"/>
  <c r="AA257" i="18" s="1"/>
  <c r="O202" i="18"/>
  <c r="L12" i="8"/>
  <c r="B181" i="12"/>
  <c r="AG197" i="1" l="1"/>
  <c r="AX236" i="1"/>
  <c r="AS237" i="1"/>
  <c r="AR237" i="1" s="1"/>
  <c r="AQ237" i="1"/>
  <c r="AP237" i="1"/>
  <c r="AW237" i="1" s="1"/>
  <c r="AE197" i="1"/>
  <c r="AF197" i="1" s="1"/>
  <c r="AD198" i="1" s="1"/>
  <c r="AA197" i="1"/>
  <c r="J203" i="18"/>
  <c r="I203" i="18" s="1"/>
  <c r="H203" i="18"/>
  <c r="AE256" i="18"/>
  <c r="Z257" i="18"/>
  <c r="Y257" i="18" s="1"/>
  <c r="W257" i="18"/>
  <c r="AD257" i="18" s="1"/>
  <c r="X257" i="18"/>
  <c r="L203" i="18"/>
  <c r="M203" i="18" s="1"/>
  <c r="K204" i="18" s="1"/>
  <c r="Z198" i="1" l="1"/>
  <c r="AA198" i="1" s="1"/>
  <c r="AH197" i="1"/>
  <c r="AU237" i="1"/>
  <c r="AV237" i="1"/>
  <c r="AT238" i="1" s="1"/>
  <c r="G204" i="18"/>
  <c r="N204" i="18" s="1"/>
  <c r="AB257" i="18"/>
  <c r="AC257" i="18"/>
  <c r="AA258" i="18" s="1"/>
  <c r="O203" i="18"/>
  <c r="AG198" i="1" l="1"/>
  <c r="AQ238" i="1"/>
  <c r="AP238" i="1"/>
  <c r="AW238" i="1" s="1"/>
  <c r="AS238" i="1"/>
  <c r="AR238" i="1" s="1"/>
  <c r="AX237" i="1"/>
  <c r="AE198" i="1"/>
  <c r="AF198" i="1" s="1"/>
  <c r="AD199" i="1" s="1"/>
  <c r="AC198" i="1"/>
  <c r="AB198" i="1" s="1"/>
  <c r="AE257" i="18"/>
  <c r="H204" i="18"/>
  <c r="J204" i="18"/>
  <c r="I204" i="18" s="1"/>
  <c r="X258" i="18"/>
  <c r="Z258" i="18"/>
  <c r="Y258" i="18" s="1"/>
  <c r="W258" i="18"/>
  <c r="AD258" i="18" s="1"/>
  <c r="L204" i="18"/>
  <c r="M204" i="18" s="1"/>
  <c r="K205" i="18" s="1"/>
  <c r="B182" i="12"/>
  <c r="Z199" i="1" l="1"/>
  <c r="AC199" i="1" s="1"/>
  <c r="AB199" i="1" s="1"/>
  <c r="AH198" i="1"/>
  <c r="AU238" i="1"/>
  <c r="AV238" i="1"/>
  <c r="AT239" i="1" s="1"/>
  <c r="O204" i="18"/>
  <c r="G205" i="18"/>
  <c r="N205" i="18" s="1"/>
  <c r="AB258" i="18"/>
  <c r="AC258" i="18"/>
  <c r="AA259" i="18" s="1"/>
  <c r="AX238" i="1" l="1"/>
  <c r="AS239" i="1"/>
  <c r="AR239" i="1" s="1"/>
  <c r="AQ239" i="1"/>
  <c r="AP239" i="1"/>
  <c r="AW239" i="1" s="1"/>
  <c r="AE199" i="1"/>
  <c r="AF199" i="1" s="1"/>
  <c r="AD200" i="1" s="1"/>
  <c r="AG199" i="1"/>
  <c r="AA199" i="1"/>
  <c r="J205" i="18"/>
  <c r="I205" i="18" s="1"/>
  <c r="H205" i="18"/>
  <c r="Z259" i="18"/>
  <c r="Y259" i="18" s="1"/>
  <c r="X259" i="18"/>
  <c r="W259" i="18"/>
  <c r="AE258" i="18"/>
  <c r="L205" i="18"/>
  <c r="M205" i="18" s="1"/>
  <c r="K206" i="18" s="1"/>
  <c r="B183" i="12"/>
  <c r="Z200" i="1" l="1"/>
  <c r="AA200" i="1" s="1"/>
  <c r="AH199" i="1"/>
  <c r="AU239" i="1"/>
  <c r="AV239" i="1"/>
  <c r="AT240" i="1" s="1"/>
  <c r="O205" i="18"/>
  <c r="G206" i="18"/>
  <c r="J206" i="18" s="1"/>
  <c r="I206" i="18" s="1"/>
  <c r="AC259" i="18"/>
  <c r="AA260" i="18" s="1"/>
  <c r="AB259" i="18"/>
  <c r="AD259" i="18"/>
  <c r="AG200" i="1" l="1"/>
  <c r="AQ240" i="1"/>
  <c r="AP240" i="1"/>
  <c r="AW240" i="1" s="1"/>
  <c r="AS240" i="1"/>
  <c r="AR240" i="1" s="1"/>
  <c r="AX239" i="1"/>
  <c r="AE200" i="1"/>
  <c r="AF200" i="1" s="1"/>
  <c r="AD201" i="1" s="1"/>
  <c r="AC200" i="1"/>
  <c r="AB200" i="1" s="1"/>
  <c r="H206" i="18"/>
  <c r="AE259" i="18"/>
  <c r="N206" i="18"/>
  <c r="X260" i="18"/>
  <c r="Z260" i="18"/>
  <c r="Y260" i="18" s="1"/>
  <c r="W260" i="18"/>
  <c r="AD260" i="18" s="1"/>
  <c r="L206" i="18"/>
  <c r="Z201" i="1" l="1"/>
  <c r="AA201" i="1" s="1"/>
  <c r="AH200" i="1"/>
  <c r="AU240" i="1"/>
  <c r="AV240" i="1"/>
  <c r="AT241" i="1" s="1"/>
  <c r="M206" i="18"/>
  <c r="K207" i="18" s="1"/>
  <c r="AB260" i="18"/>
  <c r="AC260" i="18"/>
  <c r="AA261" i="18" s="1"/>
  <c r="B184" i="12"/>
  <c r="AC201" i="1" l="1"/>
  <c r="AB201" i="1" s="1"/>
  <c r="AG201" i="1"/>
  <c r="AX240" i="1"/>
  <c r="AE201" i="1"/>
  <c r="AF201" i="1" s="1"/>
  <c r="AD202" i="1" s="1"/>
  <c r="AS241" i="1"/>
  <c r="AR241" i="1" s="1"/>
  <c r="AP241" i="1"/>
  <c r="AQ241" i="1"/>
  <c r="AE260" i="18"/>
  <c r="G207" i="18"/>
  <c r="N207" i="18" s="1"/>
  <c r="Z261" i="18"/>
  <c r="Y261" i="18" s="1"/>
  <c r="X261" i="18"/>
  <c r="W261" i="18"/>
  <c r="O206" i="18"/>
  <c r="Z202" i="1" l="1"/>
  <c r="AG202" i="1" s="1"/>
  <c r="AU241" i="1"/>
  <c r="AV241" i="1"/>
  <c r="AT242" i="1" s="1"/>
  <c r="AH201" i="1"/>
  <c r="AW241" i="1"/>
  <c r="H207" i="18"/>
  <c r="J207" i="18"/>
  <c r="I207" i="18" s="1"/>
  <c r="AC261" i="18"/>
  <c r="AA262" i="18" s="1"/>
  <c r="AB261" i="18"/>
  <c r="AD261" i="18"/>
  <c r="L207" i="18"/>
  <c r="M207" i="18" s="1"/>
  <c r="K208" i="18" s="1"/>
  <c r="B185" i="12"/>
  <c r="AA202" i="1" l="1"/>
  <c r="AC202" i="1"/>
  <c r="AB202" i="1" s="1"/>
  <c r="AX241" i="1"/>
  <c r="AQ242" i="1"/>
  <c r="AS242" i="1"/>
  <c r="AR242" i="1" s="1"/>
  <c r="AP242" i="1"/>
  <c r="AW242" i="1" s="1"/>
  <c r="AE202" i="1"/>
  <c r="AF202" i="1" s="1"/>
  <c r="AD203" i="1" s="1"/>
  <c r="G208" i="18"/>
  <c r="H208" i="18" s="1"/>
  <c r="AE261" i="18"/>
  <c r="O207" i="18"/>
  <c r="X262" i="18"/>
  <c r="W262" i="18"/>
  <c r="AD262" i="18" s="1"/>
  <c r="Z262" i="18"/>
  <c r="Y262" i="18" s="1"/>
  <c r="Z203" i="1" l="1"/>
  <c r="AU242" i="1"/>
  <c r="AV242" i="1"/>
  <c r="AT243" i="1" s="1"/>
  <c r="AH202" i="1"/>
  <c r="J208" i="18"/>
  <c r="I208" i="18" s="1"/>
  <c r="AB262" i="18"/>
  <c r="AC262" i="18"/>
  <c r="AA263" i="18" s="1"/>
  <c r="L208" i="18"/>
  <c r="N208" i="18"/>
  <c r="AE203" i="1" l="1"/>
  <c r="AF203" i="1" s="1"/>
  <c r="AD204" i="1" s="1"/>
  <c r="AS243" i="1"/>
  <c r="AR243" i="1" s="1"/>
  <c r="AQ243" i="1"/>
  <c r="AP243" i="1"/>
  <c r="AW243" i="1" s="1"/>
  <c r="AG203" i="1"/>
  <c r="AX242" i="1"/>
  <c r="AC203" i="1"/>
  <c r="AB203" i="1" s="1"/>
  <c r="AA203" i="1"/>
  <c r="M208" i="18"/>
  <c r="K209" i="18" s="1"/>
  <c r="Z263" i="18"/>
  <c r="Y263" i="18" s="1"/>
  <c r="X263" i="18"/>
  <c r="W263" i="18"/>
  <c r="AE262" i="18"/>
  <c r="AV243" i="1" l="1"/>
  <c r="AT244" i="1" s="1"/>
  <c r="AU243" i="1"/>
  <c r="Z204" i="1"/>
  <c r="AG204" i="1" s="1"/>
  <c r="AH203" i="1"/>
  <c r="AC263" i="18"/>
  <c r="AA264" i="18" s="1"/>
  <c r="AB263" i="18"/>
  <c r="AD263" i="18"/>
  <c r="G209" i="18"/>
  <c r="J209" i="18" s="1"/>
  <c r="I209" i="18" s="1"/>
  <c r="O208" i="18"/>
  <c r="AA204" i="1" l="1"/>
  <c r="AX243" i="1"/>
  <c r="AE204" i="1"/>
  <c r="AC204" i="1"/>
  <c r="AB204" i="1" s="1"/>
  <c r="AQ244" i="1"/>
  <c r="AS244" i="1"/>
  <c r="AR244" i="1" s="1"/>
  <c r="AP244" i="1"/>
  <c r="H209" i="18"/>
  <c r="N209" i="18"/>
  <c r="L209" i="18"/>
  <c r="AE263" i="18"/>
  <c r="X264" i="18"/>
  <c r="W264" i="18"/>
  <c r="Z264" i="18"/>
  <c r="Y264" i="18" s="1"/>
  <c r="AU244" i="1" l="1"/>
  <c r="AV244" i="1"/>
  <c r="AT245" i="1" s="1"/>
  <c r="AF204" i="1"/>
  <c r="AD205" i="1" s="1"/>
  <c r="AW244" i="1"/>
  <c r="AB264" i="18"/>
  <c r="AC264" i="18"/>
  <c r="AA265" i="18" s="1"/>
  <c r="AD264" i="18"/>
  <c r="M209" i="18"/>
  <c r="K210" i="18" s="1"/>
  <c r="AS245" i="1" l="1"/>
  <c r="AR245" i="1" s="1"/>
  <c r="AP245" i="1"/>
  <c r="AW245" i="1" s="1"/>
  <c r="AQ245" i="1"/>
  <c r="AX244" i="1"/>
  <c r="Z205" i="1"/>
  <c r="AH204" i="1"/>
  <c r="O209" i="18"/>
  <c r="Z265" i="18"/>
  <c r="Y265" i="18" s="1"/>
  <c r="W265" i="18"/>
  <c r="X265" i="18"/>
  <c r="G210" i="18"/>
  <c r="J210" i="18" s="1"/>
  <c r="I210" i="18" s="1"/>
  <c r="AE264" i="18"/>
  <c r="AE205" i="1" l="1"/>
  <c r="AF205" i="1" s="1"/>
  <c r="AD206" i="1" s="1"/>
  <c r="AC205" i="1"/>
  <c r="AB205" i="1" s="1"/>
  <c r="AG205" i="1"/>
  <c r="AA205" i="1"/>
  <c r="AV245" i="1"/>
  <c r="AT246" i="1" s="1"/>
  <c r="AU245" i="1"/>
  <c r="N210" i="18"/>
  <c r="AB265" i="18"/>
  <c r="AC265" i="18"/>
  <c r="AA266" i="18" s="1"/>
  <c r="L210" i="18"/>
  <c r="M210" i="18" s="1"/>
  <c r="K211" i="18" s="1"/>
  <c r="AD265" i="18"/>
  <c r="H210" i="18"/>
  <c r="AQ246" i="1" l="1"/>
  <c r="AP246" i="1"/>
  <c r="AS246" i="1"/>
  <c r="AR246" i="1" s="1"/>
  <c r="Z206" i="1"/>
  <c r="AA206" i="1" s="1"/>
  <c r="AH205" i="1"/>
  <c r="AX245" i="1"/>
  <c r="G211" i="18"/>
  <c r="N211" i="18" s="1"/>
  <c r="X266" i="18"/>
  <c r="Z266" i="18"/>
  <c r="Y266" i="18" s="1"/>
  <c r="W266" i="18"/>
  <c r="O210" i="18"/>
  <c r="AE265" i="18"/>
  <c r="AC206" i="1" l="1"/>
  <c r="AB206" i="1" s="1"/>
  <c r="AU246" i="1"/>
  <c r="AV246" i="1"/>
  <c r="AT247" i="1" s="1"/>
  <c r="AW246" i="1"/>
  <c r="AE206" i="1"/>
  <c r="AG206" i="1"/>
  <c r="H211" i="18"/>
  <c r="J211" i="18"/>
  <c r="I211" i="18" s="1"/>
  <c r="AB266" i="18"/>
  <c r="AC266" i="18"/>
  <c r="AA267" i="18" s="1"/>
  <c r="AD266" i="18"/>
  <c r="L211" i="18"/>
  <c r="AS247" i="1" l="1"/>
  <c r="AR247" i="1" s="1"/>
  <c r="AP247" i="1"/>
  <c r="AW247" i="1" s="1"/>
  <c r="AQ247" i="1"/>
  <c r="AX246" i="1"/>
  <c r="AF206" i="1"/>
  <c r="AD207" i="1" s="1"/>
  <c r="Z267" i="18"/>
  <c r="Y267" i="18" s="1"/>
  <c r="X267" i="18"/>
  <c r="W267" i="18"/>
  <c r="M211" i="18"/>
  <c r="K212" i="18" s="1"/>
  <c r="AE266" i="18"/>
  <c r="AH206" i="1" l="1"/>
  <c r="Z207" i="1"/>
  <c r="AV247" i="1"/>
  <c r="AT248" i="1" s="1"/>
  <c r="AU247" i="1"/>
  <c r="G212" i="18"/>
  <c r="N212" i="18" s="1"/>
  <c r="AC267" i="18"/>
  <c r="AA268" i="18" s="1"/>
  <c r="AB267" i="18"/>
  <c r="AD267" i="18"/>
  <c r="O211" i="18"/>
  <c r="AQ248" i="1" l="1"/>
  <c r="AS248" i="1"/>
  <c r="AR248" i="1" s="1"/>
  <c r="AP248" i="1"/>
  <c r="AW248" i="1" s="1"/>
  <c r="AE207" i="1"/>
  <c r="AG207" i="1"/>
  <c r="AA207" i="1"/>
  <c r="AC207" i="1"/>
  <c r="AB207" i="1" s="1"/>
  <c r="AX247" i="1"/>
  <c r="J212" i="18"/>
  <c r="I212" i="18" s="1"/>
  <c r="H212" i="18"/>
  <c r="AE267" i="18"/>
  <c r="X268" i="18"/>
  <c r="Z268" i="18"/>
  <c r="Y268" i="18" s="1"/>
  <c r="W268" i="18"/>
  <c r="AD268" i="18" s="1"/>
  <c r="L212" i="18"/>
  <c r="AU248" i="1" l="1"/>
  <c r="AV248" i="1"/>
  <c r="AT249" i="1" s="1"/>
  <c r="AF207" i="1"/>
  <c r="AD208" i="1" s="1"/>
  <c r="M212" i="18"/>
  <c r="K213" i="18" s="1"/>
  <c r="AB268" i="18"/>
  <c r="AC268" i="18"/>
  <c r="AA269" i="18" s="1"/>
  <c r="AX248" i="1" l="1"/>
  <c r="AH207" i="1"/>
  <c r="Z208" i="1"/>
  <c r="AC208" i="1" s="1"/>
  <c r="AB208" i="1" s="1"/>
  <c r="AS249" i="1"/>
  <c r="AR249" i="1" s="1"/>
  <c r="AP249" i="1"/>
  <c r="AQ249" i="1"/>
  <c r="Z269" i="18"/>
  <c r="Y269" i="18" s="1"/>
  <c r="X269" i="18"/>
  <c r="W269" i="18"/>
  <c r="AE268" i="18"/>
  <c r="G213" i="18"/>
  <c r="H213" i="18" s="1"/>
  <c r="O212" i="18"/>
  <c r="AA208" i="1" l="1"/>
  <c r="AU249" i="1"/>
  <c r="AV249" i="1"/>
  <c r="AT250" i="1" s="1"/>
  <c r="AW249" i="1"/>
  <c r="AE208" i="1"/>
  <c r="AG208" i="1"/>
  <c r="J213" i="18"/>
  <c r="I213" i="18" s="1"/>
  <c r="N213" i="18"/>
  <c r="L213" i="18"/>
  <c r="M213" i="18" s="1"/>
  <c r="K214" i="18" s="1"/>
  <c r="AC269" i="18"/>
  <c r="AA270" i="18" s="1"/>
  <c r="AB269" i="18"/>
  <c r="AD269" i="18"/>
  <c r="AQ250" i="1" l="1"/>
  <c r="AS250" i="1"/>
  <c r="AR250" i="1" s="1"/>
  <c r="AP250" i="1"/>
  <c r="AW250" i="1" s="1"/>
  <c r="AX249" i="1"/>
  <c r="AF208" i="1"/>
  <c r="AD209" i="1" s="1"/>
  <c r="AE269" i="18"/>
  <c r="X270" i="18"/>
  <c r="W270" i="18"/>
  <c r="Z270" i="18"/>
  <c r="Y270" i="18" s="1"/>
  <c r="O213" i="18"/>
  <c r="G214" i="18"/>
  <c r="N214" i="18" s="1"/>
  <c r="AH208" i="1" l="1"/>
  <c r="Z209" i="1"/>
  <c r="AG209" i="1" s="1"/>
  <c r="AU250" i="1"/>
  <c r="AV250" i="1"/>
  <c r="AT251" i="1" s="1"/>
  <c r="H214" i="18"/>
  <c r="J214" i="18"/>
  <c r="I214" i="18" s="1"/>
  <c r="AB270" i="18"/>
  <c r="AC270" i="18"/>
  <c r="AA271" i="18" s="1"/>
  <c r="L214" i="18"/>
  <c r="M214" i="18" s="1"/>
  <c r="K215" i="18" s="1"/>
  <c r="AD270" i="18"/>
  <c r="AX250" i="1" l="1"/>
  <c r="AE209" i="1"/>
  <c r="AF209" i="1" s="1"/>
  <c r="AD210" i="1" s="1"/>
  <c r="AA209" i="1"/>
  <c r="AS251" i="1"/>
  <c r="AR251" i="1" s="1"/>
  <c r="AQ251" i="1"/>
  <c r="AP251" i="1"/>
  <c r="AW251" i="1" s="1"/>
  <c r="AC209" i="1"/>
  <c r="AB209" i="1" s="1"/>
  <c r="O214" i="18"/>
  <c r="Z271" i="18"/>
  <c r="Y271" i="18" s="1"/>
  <c r="X271" i="18"/>
  <c r="W271" i="18"/>
  <c r="G215" i="18"/>
  <c r="N215" i="18" s="1"/>
  <c r="AE270" i="18"/>
  <c r="Z210" i="1" l="1"/>
  <c r="AG210" i="1" s="1"/>
  <c r="AH209" i="1"/>
  <c r="AV251" i="1"/>
  <c r="AT252" i="1" s="1"/>
  <c r="AU251" i="1"/>
  <c r="J215" i="18"/>
  <c r="I215" i="18" s="1"/>
  <c r="H215" i="18"/>
  <c r="L215" i="18"/>
  <c r="AC271" i="18"/>
  <c r="AA272" i="18" s="1"/>
  <c r="AB271" i="18"/>
  <c r="AD271" i="18"/>
  <c r="AA210" i="1" l="1"/>
  <c r="AX251" i="1"/>
  <c r="AC210" i="1"/>
  <c r="AB210" i="1" s="1"/>
  <c r="AQ252" i="1"/>
  <c r="AS252" i="1"/>
  <c r="AR252" i="1" s="1"/>
  <c r="AP252" i="1"/>
  <c r="AW252" i="1" s="1"/>
  <c r="AE210" i="1"/>
  <c r="AE271" i="18"/>
  <c r="X272" i="18"/>
  <c r="W272" i="18"/>
  <c r="Z272" i="18"/>
  <c r="Y272" i="18" s="1"/>
  <c r="M215" i="18"/>
  <c r="K216" i="18" s="1"/>
  <c r="AF210" i="1" l="1"/>
  <c r="AD211" i="1" s="1"/>
  <c r="AU252" i="1"/>
  <c r="AV252" i="1"/>
  <c r="AT253" i="1" s="1"/>
  <c r="G216" i="18"/>
  <c r="N216" i="18" s="1"/>
  <c r="AB272" i="18"/>
  <c r="AC272" i="18"/>
  <c r="AA273" i="18" s="1"/>
  <c r="O215" i="18"/>
  <c r="AD272" i="18"/>
  <c r="Z211" i="1" l="1"/>
  <c r="AC211" i="1" s="1"/>
  <c r="AB211" i="1" s="1"/>
  <c r="AH210" i="1"/>
  <c r="AS253" i="1"/>
  <c r="AR253" i="1" s="1"/>
  <c r="AP253" i="1"/>
  <c r="AQ253" i="1"/>
  <c r="AX252" i="1"/>
  <c r="H216" i="18"/>
  <c r="J216" i="18"/>
  <c r="I216" i="18" s="1"/>
  <c r="Z273" i="18"/>
  <c r="Y273" i="18" s="1"/>
  <c r="W273" i="18"/>
  <c r="X273" i="18"/>
  <c r="AE272" i="18"/>
  <c r="L216" i="18"/>
  <c r="AU253" i="1" l="1"/>
  <c r="AV253" i="1"/>
  <c r="AT254" i="1" s="1"/>
  <c r="AE211" i="1"/>
  <c r="AF211" i="1" s="1"/>
  <c r="AD212" i="1" s="1"/>
  <c r="AW253" i="1"/>
  <c r="AG211" i="1"/>
  <c r="AA211" i="1"/>
  <c r="M216" i="18"/>
  <c r="K217" i="18" s="1"/>
  <c r="AB273" i="18"/>
  <c r="AC273" i="18"/>
  <c r="AA274" i="18" s="1"/>
  <c r="AD273" i="18"/>
  <c r="AQ254" i="1" l="1"/>
  <c r="AP254" i="1"/>
  <c r="AS254" i="1"/>
  <c r="AR254" i="1" s="1"/>
  <c r="AX253" i="1"/>
  <c r="Z212" i="1"/>
  <c r="AG212" i="1" s="1"/>
  <c r="AH211" i="1"/>
  <c r="AE273" i="18"/>
  <c r="G217" i="18"/>
  <c r="N217" i="18" s="1"/>
  <c r="X274" i="18"/>
  <c r="Z274" i="18"/>
  <c r="Y274" i="18" s="1"/>
  <c r="W274" i="18"/>
  <c r="O216" i="18"/>
  <c r="AU254" i="1" l="1"/>
  <c r="AV254" i="1"/>
  <c r="AT255" i="1" s="1"/>
  <c r="AE212" i="1"/>
  <c r="AW254" i="1"/>
  <c r="AC212" i="1"/>
  <c r="AB212" i="1" s="1"/>
  <c r="AA212" i="1"/>
  <c r="J217" i="18"/>
  <c r="I217" i="18" s="1"/>
  <c r="H217" i="18"/>
  <c r="AB274" i="18"/>
  <c r="AC274" i="18"/>
  <c r="AA275" i="18" s="1"/>
  <c r="L217" i="18"/>
  <c r="M217" i="18" s="1"/>
  <c r="K218" i="18" s="1"/>
  <c r="AD274" i="18"/>
  <c r="AS255" i="1" l="1"/>
  <c r="AR255" i="1" s="1"/>
  <c r="AP255" i="1"/>
  <c r="AW255" i="1" s="1"/>
  <c r="AQ255" i="1"/>
  <c r="AX254" i="1"/>
  <c r="AF212" i="1"/>
  <c r="AD213" i="1" s="1"/>
  <c r="G218" i="18"/>
  <c r="H218" i="18" s="1"/>
  <c r="Z275" i="18"/>
  <c r="Y275" i="18" s="1"/>
  <c r="X275" i="18"/>
  <c r="W275" i="18"/>
  <c r="O217" i="18"/>
  <c r="AE274" i="18"/>
  <c r="Z213" i="1" l="1"/>
  <c r="AG213" i="1" s="1"/>
  <c r="AH212" i="1"/>
  <c r="AU255" i="1"/>
  <c r="AV255" i="1"/>
  <c r="AT256" i="1" s="1"/>
  <c r="J218" i="18"/>
  <c r="I218" i="18" s="1"/>
  <c r="L218" i="18"/>
  <c r="AC275" i="18"/>
  <c r="AA276" i="18" s="1"/>
  <c r="AB275" i="18"/>
  <c r="AD275" i="18"/>
  <c r="N218" i="18"/>
  <c r="AA213" i="1" l="1"/>
  <c r="AE213" i="1"/>
  <c r="AQ256" i="1"/>
  <c r="AP256" i="1"/>
  <c r="AW256" i="1" s="1"/>
  <c r="AS256" i="1"/>
  <c r="AR256" i="1" s="1"/>
  <c r="AC213" i="1"/>
  <c r="AB213" i="1" s="1"/>
  <c r="AX255" i="1"/>
  <c r="AE275" i="18"/>
  <c r="X276" i="18"/>
  <c r="Z276" i="18"/>
  <c r="Y276" i="18" s="1"/>
  <c r="W276" i="18"/>
  <c r="AD276" i="18" s="1"/>
  <c r="M218" i="18"/>
  <c r="K219" i="18" s="1"/>
  <c r="AU256" i="1" l="1"/>
  <c r="AV256" i="1"/>
  <c r="AT257" i="1" s="1"/>
  <c r="AF213" i="1"/>
  <c r="AD214" i="1" s="1"/>
  <c r="G219" i="18"/>
  <c r="J219" i="18" s="1"/>
  <c r="I219" i="18" s="1"/>
  <c r="O218" i="18"/>
  <c r="AB276" i="18"/>
  <c r="AC276" i="18"/>
  <c r="AA277" i="18" s="1"/>
  <c r="AS257" i="1" l="1"/>
  <c r="AR257" i="1" s="1"/>
  <c r="AP257" i="1"/>
  <c r="AW257" i="1" s="1"/>
  <c r="AQ257" i="1"/>
  <c r="AX256" i="1"/>
  <c r="Z214" i="1"/>
  <c r="AA214" i="1" s="1"/>
  <c r="AH213" i="1"/>
  <c r="H219" i="18"/>
  <c r="N219" i="18"/>
  <c r="Z277" i="18"/>
  <c r="Y277" i="18" s="1"/>
  <c r="X277" i="18"/>
  <c r="W277" i="18"/>
  <c r="AE276" i="18"/>
  <c r="L219" i="18"/>
  <c r="M219" i="18" s="1"/>
  <c r="K220" i="18" s="1"/>
  <c r="AE214" i="1" l="1"/>
  <c r="AC214" i="1"/>
  <c r="AB214" i="1" s="1"/>
  <c r="AU257" i="1"/>
  <c r="AV257" i="1"/>
  <c r="AT258" i="1" s="1"/>
  <c r="AG214" i="1"/>
  <c r="O219" i="18"/>
  <c r="G220" i="18"/>
  <c r="N220" i="18" s="1"/>
  <c r="AC277" i="18"/>
  <c r="AA278" i="18" s="1"/>
  <c r="AB277" i="18"/>
  <c r="AD277" i="18"/>
  <c r="AX257" i="1" l="1"/>
  <c r="AQ258" i="1"/>
  <c r="AS258" i="1"/>
  <c r="AR258" i="1" s="1"/>
  <c r="AP258" i="1"/>
  <c r="AW258" i="1" s="1"/>
  <c r="AF214" i="1"/>
  <c r="AD215" i="1" s="1"/>
  <c r="H220" i="18"/>
  <c r="J220" i="18"/>
  <c r="I220" i="18" s="1"/>
  <c r="AE277" i="18"/>
  <c r="L220" i="18"/>
  <c r="M220" i="18" s="1"/>
  <c r="K221" i="18" s="1"/>
  <c r="X278" i="18"/>
  <c r="W278" i="18"/>
  <c r="Z278" i="18"/>
  <c r="Y278" i="18" s="1"/>
  <c r="AH214" i="1" l="1"/>
  <c r="AU258" i="1"/>
  <c r="AV258" i="1"/>
  <c r="AT259" i="1" s="1"/>
  <c r="Z215" i="1"/>
  <c r="AG215" i="1" s="1"/>
  <c r="AB278" i="18"/>
  <c r="AC278" i="18"/>
  <c r="AA279" i="18" s="1"/>
  <c r="AD278" i="18"/>
  <c r="O220" i="18"/>
  <c r="G221" i="18"/>
  <c r="H221" i="18" s="1"/>
  <c r="AX258" i="1" l="1"/>
  <c r="AC215" i="1"/>
  <c r="AB215" i="1" s="1"/>
  <c r="AE215" i="1"/>
  <c r="AF215" i="1" s="1"/>
  <c r="AD216" i="1" s="1"/>
  <c r="AS259" i="1"/>
  <c r="AR259" i="1" s="1"/>
  <c r="AQ259" i="1"/>
  <c r="AP259" i="1"/>
  <c r="AW259" i="1" s="1"/>
  <c r="AA215" i="1"/>
  <c r="J221" i="18"/>
  <c r="I221" i="18" s="1"/>
  <c r="N221" i="18"/>
  <c r="Z279" i="18"/>
  <c r="Y279" i="18" s="1"/>
  <c r="X279" i="18"/>
  <c r="W279" i="18"/>
  <c r="L221" i="18"/>
  <c r="M221" i="18" s="1"/>
  <c r="K222" i="18" s="1"/>
  <c r="AE278" i="18"/>
  <c r="Z216" i="1" l="1"/>
  <c r="AH215" i="1"/>
  <c r="AV259" i="1"/>
  <c r="AT260" i="1" s="1"/>
  <c r="AU259" i="1"/>
  <c r="O221" i="18"/>
  <c r="G222" i="18"/>
  <c r="J222" i="18" s="1"/>
  <c r="I222" i="18" s="1"/>
  <c r="AC279" i="18"/>
  <c r="AA280" i="18" s="1"/>
  <c r="AB279" i="18"/>
  <c r="AD279" i="18"/>
  <c r="AX259" i="1" l="1"/>
  <c r="AE216" i="1"/>
  <c r="AC216" i="1"/>
  <c r="AB216" i="1" s="1"/>
  <c r="AA216" i="1"/>
  <c r="AQ260" i="1"/>
  <c r="AP260" i="1"/>
  <c r="AS260" i="1"/>
  <c r="AR260" i="1" s="1"/>
  <c r="AG216" i="1"/>
  <c r="AE279" i="18"/>
  <c r="N222" i="18"/>
  <c r="L222" i="18"/>
  <c r="M222" i="18" s="1"/>
  <c r="K223" i="18" s="1"/>
  <c r="X280" i="18"/>
  <c r="W280" i="18"/>
  <c r="AD280" i="18" s="1"/>
  <c r="Z280" i="18"/>
  <c r="Y280" i="18" s="1"/>
  <c r="H222" i="18"/>
  <c r="AU260" i="1" l="1"/>
  <c r="AV260" i="1"/>
  <c r="AT261" i="1" s="1"/>
  <c r="AF216" i="1"/>
  <c r="AD217" i="1" s="1"/>
  <c r="AW260" i="1"/>
  <c r="AB280" i="18"/>
  <c r="AC280" i="18"/>
  <c r="AA281" i="18" s="1"/>
  <c r="O222" i="18"/>
  <c r="G223" i="18"/>
  <c r="H223" i="18" s="1"/>
  <c r="Z217" i="1" l="1"/>
  <c r="AC217" i="1" s="1"/>
  <c r="AB217" i="1" s="1"/>
  <c r="AH216" i="1"/>
  <c r="AS261" i="1"/>
  <c r="AR261" i="1" s="1"/>
  <c r="AP261" i="1"/>
  <c r="AW261" i="1" s="1"/>
  <c r="AQ261" i="1"/>
  <c r="AX260" i="1"/>
  <c r="J223" i="18"/>
  <c r="I223" i="18" s="1"/>
  <c r="L223" i="18"/>
  <c r="Z281" i="18"/>
  <c r="Y281" i="18" s="1"/>
  <c r="W281" i="18"/>
  <c r="AD281" i="18" s="1"/>
  <c r="X281" i="18"/>
  <c r="N223" i="18"/>
  <c r="AE280" i="18"/>
  <c r="AG217" i="1" l="1"/>
  <c r="AA217" i="1"/>
  <c r="AU261" i="1"/>
  <c r="AV261" i="1"/>
  <c r="AT262" i="1" s="1"/>
  <c r="AE217" i="1"/>
  <c r="AF217" i="1" s="1"/>
  <c r="AD218" i="1" s="1"/>
  <c r="AB281" i="18"/>
  <c r="AC281" i="18"/>
  <c r="AA282" i="18" s="1"/>
  <c r="M223" i="18"/>
  <c r="K224" i="18" s="1"/>
  <c r="Z218" i="1" l="1"/>
  <c r="AQ262" i="1"/>
  <c r="AP262" i="1"/>
  <c r="AS262" i="1"/>
  <c r="AR262" i="1" s="1"/>
  <c r="AX261" i="1"/>
  <c r="AH217" i="1"/>
  <c r="AE281" i="18"/>
  <c r="G224" i="18"/>
  <c r="J224" i="18" s="1"/>
  <c r="I224" i="18" s="1"/>
  <c r="X282" i="18"/>
  <c r="Z282" i="18"/>
  <c r="Y282" i="18" s="1"/>
  <c r="W282" i="18"/>
  <c r="AD282" i="18" s="1"/>
  <c r="O223" i="18"/>
  <c r="AE218" i="1" l="1"/>
  <c r="AU262" i="1"/>
  <c r="AV262" i="1"/>
  <c r="AT263" i="1" s="1"/>
  <c r="AG218" i="1"/>
  <c r="AA218" i="1"/>
  <c r="AW262" i="1"/>
  <c r="AC218" i="1"/>
  <c r="AB218" i="1" s="1"/>
  <c r="H224" i="18"/>
  <c r="L224" i="18"/>
  <c r="AB282" i="18"/>
  <c r="AC282" i="18"/>
  <c r="AA283" i="18" s="1"/>
  <c r="N224" i="18"/>
  <c r="AX262" i="1" l="1"/>
  <c r="AS263" i="1"/>
  <c r="AR263" i="1" s="1"/>
  <c r="AP263" i="1"/>
  <c r="AQ263" i="1"/>
  <c r="AF218" i="1"/>
  <c r="AD219" i="1" s="1"/>
  <c r="Z283" i="18"/>
  <c r="Y283" i="18" s="1"/>
  <c r="X283" i="18"/>
  <c r="W283" i="18"/>
  <c r="AE282" i="18"/>
  <c r="M224" i="18"/>
  <c r="K225" i="18" s="1"/>
  <c r="AH218" i="1" l="1"/>
  <c r="AU263" i="1"/>
  <c r="AV263" i="1"/>
  <c r="AT264" i="1" s="1"/>
  <c r="Z219" i="1"/>
  <c r="AG219" i="1" s="1"/>
  <c r="AW263" i="1"/>
  <c r="AC283" i="18"/>
  <c r="AA284" i="18" s="1"/>
  <c r="AB283" i="18"/>
  <c r="G225" i="18"/>
  <c r="H225" i="18" s="1"/>
  <c r="O224" i="18"/>
  <c r="AD283" i="18"/>
  <c r="AA219" i="1" l="1"/>
  <c r="AC219" i="1"/>
  <c r="AB219" i="1" s="1"/>
  <c r="AE219" i="1"/>
  <c r="AF219" i="1" s="1"/>
  <c r="AD220" i="1" s="1"/>
  <c r="AQ264" i="1"/>
  <c r="AP264" i="1"/>
  <c r="AW264" i="1" s="1"/>
  <c r="AS264" i="1"/>
  <c r="AR264" i="1" s="1"/>
  <c r="AX263" i="1"/>
  <c r="AE283" i="18"/>
  <c r="J225" i="18"/>
  <c r="I225" i="18" s="1"/>
  <c r="L225" i="18"/>
  <c r="N225" i="18"/>
  <c r="X284" i="18"/>
  <c r="Z284" i="18"/>
  <c r="Y284" i="18" s="1"/>
  <c r="W284" i="18"/>
  <c r="AD284" i="18" s="1"/>
  <c r="Z220" i="1" l="1"/>
  <c r="AG220" i="1" s="1"/>
  <c r="AU264" i="1"/>
  <c r="AV264" i="1"/>
  <c r="AT265" i="1" s="1"/>
  <c r="AH219" i="1"/>
  <c r="AB284" i="18"/>
  <c r="AC284" i="18"/>
  <c r="AA285" i="18" s="1"/>
  <c r="M225" i="18"/>
  <c r="K226" i="18" s="1"/>
  <c r="AC220" i="1" l="1"/>
  <c r="AB220" i="1" s="1"/>
  <c r="AS265" i="1"/>
  <c r="AR265" i="1" s="1"/>
  <c r="AP265" i="1"/>
  <c r="AW265" i="1" s="1"/>
  <c r="AQ265" i="1"/>
  <c r="AE220" i="1"/>
  <c r="AF220" i="1" s="1"/>
  <c r="AD221" i="1" s="1"/>
  <c r="AX264" i="1"/>
  <c r="AA220" i="1"/>
  <c r="O225" i="18"/>
  <c r="G226" i="18"/>
  <c r="N226" i="18" s="1"/>
  <c r="Z285" i="18"/>
  <c r="Y285" i="18" s="1"/>
  <c r="X285" i="18"/>
  <c r="W285" i="18"/>
  <c r="AE284" i="18"/>
  <c r="Z221" i="1" l="1"/>
  <c r="AC221" i="1" s="1"/>
  <c r="AB221" i="1" s="1"/>
  <c r="AH220" i="1"/>
  <c r="AU265" i="1"/>
  <c r="AV265" i="1"/>
  <c r="AT266" i="1" s="1"/>
  <c r="J226" i="18"/>
  <c r="I226" i="18" s="1"/>
  <c r="H226" i="18"/>
  <c r="AC285" i="18"/>
  <c r="AA286" i="18" s="1"/>
  <c r="AB285" i="18"/>
  <c r="AD285" i="18"/>
  <c r="L226" i="18"/>
  <c r="M226" i="18" s="1"/>
  <c r="K227" i="18" s="1"/>
  <c r="AA221" i="1" l="1"/>
  <c r="AE221" i="1"/>
  <c r="AQ266" i="1"/>
  <c r="AS266" i="1"/>
  <c r="AR266" i="1" s="1"/>
  <c r="AP266" i="1"/>
  <c r="AW266" i="1" s="1"/>
  <c r="AG221" i="1"/>
  <c r="AX265" i="1"/>
  <c r="G227" i="18"/>
  <c r="N227" i="18" s="1"/>
  <c r="AE285" i="18"/>
  <c r="O226" i="18"/>
  <c r="X286" i="18"/>
  <c r="W286" i="18"/>
  <c r="Z286" i="18"/>
  <c r="Y286" i="18" s="1"/>
  <c r="AU266" i="1" l="1"/>
  <c r="AV266" i="1"/>
  <c r="AT267" i="1" s="1"/>
  <c r="AF221" i="1"/>
  <c r="AD222" i="1" s="1"/>
  <c r="H227" i="18"/>
  <c r="J227" i="18"/>
  <c r="I227" i="18" s="1"/>
  <c r="AB286" i="18"/>
  <c r="AC286" i="18"/>
  <c r="AA287" i="18" s="1"/>
  <c r="AD286" i="18"/>
  <c r="L227" i="18"/>
  <c r="AX266" i="1" l="1"/>
  <c r="AH221" i="1"/>
  <c r="Z222" i="1"/>
  <c r="AS267" i="1"/>
  <c r="AR267" i="1" s="1"/>
  <c r="AQ267" i="1"/>
  <c r="AP267" i="1"/>
  <c r="AW267" i="1" s="1"/>
  <c r="Z287" i="18"/>
  <c r="Y287" i="18" s="1"/>
  <c r="X287" i="18"/>
  <c r="W287" i="18"/>
  <c r="M227" i="18"/>
  <c r="K228" i="18" s="1"/>
  <c r="AE286" i="18"/>
  <c r="AE222" i="1" l="1"/>
  <c r="AV267" i="1"/>
  <c r="AT268" i="1" s="1"/>
  <c r="AU267" i="1"/>
  <c r="AC222" i="1"/>
  <c r="AB222" i="1" s="1"/>
  <c r="AA222" i="1"/>
  <c r="AG222" i="1"/>
  <c r="G228" i="18"/>
  <c r="N228" i="18" s="1"/>
  <c r="AB287" i="18"/>
  <c r="AC287" i="18"/>
  <c r="AA288" i="18" s="1"/>
  <c r="AD287" i="18"/>
  <c r="O227" i="18"/>
  <c r="AX267" i="1" l="1"/>
  <c r="AQ268" i="1"/>
  <c r="AP268" i="1"/>
  <c r="AW268" i="1" s="1"/>
  <c r="AS268" i="1"/>
  <c r="AR268" i="1" s="1"/>
  <c r="AF222" i="1"/>
  <c r="AD223" i="1" s="1"/>
  <c r="J228" i="18"/>
  <c r="I228" i="18" s="1"/>
  <c r="H228" i="18"/>
  <c r="X288" i="18"/>
  <c r="W288" i="18"/>
  <c r="Z288" i="18"/>
  <c r="Y288" i="18" s="1"/>
  <c r="AE287" i="18"/>
  <c r="L228" i="18"/>
  <c r="Z223" i="1" l="1"/>
  <c r="AG223" i="1" s="1"/>
  <c r="AU268" i="1"/>
  <c r="AV268" i="1"/>
  <c r="AT269" i="1" s="1"/>
  <c r="AH222" i="1"/>
  <c r="AB288" i="18"/>
  <c r="AC288" i="18"/>
  <c r="AA289" i="18" s="1"/>
  <c r="AD288" i="18"/>
  <c r="M228" i="18"/>
  <c r="K229" i="18" s="1"/>
  <c r="AA223" i="1" l="1"/>
  <c r="AC223" i="1"/>
  <c r="AB223" i="1" s="1"/>
  <c r="AS269" i="1"/>
  <c r="AR269" i="1" s="1"/>
  <c r="AQ269" i="1"/>
  <c r="AP269" i="1"/>
  <c r="AW269" i="1" s="1"/>
  <c r="AX268" i="1"/>
  <c r="AE223" i="1"/>
  <c r="O228" i="18"/>
  <c r="Z289" i="18"/>
  <c r="Y289" i="18" s="1"/>
  <c r="X289" i="18"/>
  <c r="W289" i="18"/>
  <c r="G229" i="18"/>
  <c r="H229" i="18" s="1"/>
  <c r="AE288" i="18"/>
  <c r="AF223" i="1" l="1"/>
  <c r="AD224" i="1" s="1"/>
  <c r="AU269" i="1"/>
  <c r="AV269" i="1"/>
  <c r="AT270" i="1" s="1"/>
  <c r="J229" i="18"/>
  <c r="I229" i="18" s="1"/>
  <c r="L229" i="18"/>
  <c r="N229" i="18"/>
  <c r="AC289" i="18"/>
  <c r="AA290" i="18" s="1"/>
  <c r="AB289" i="18"/>
  <c r="AD289" i="18"/>
  <c r="Z224" i="1" l="1"/>
  <c r="AQ270" i="1"/>
  <c r="AP270" i="1"/>
  <c r="AW270" i="1" s="1"/>
  <c r="AS270" i="1"/>
  <c r="AR270" i="1" s="1"/>
  <c r="AX269" i="1"/>
  <c r="AH223" i="1"/>
  <c r="X290" i="18"/>
  <c r="Z290" i="18"/>
  <c r="Y290" i="18" s="1"/>
  <c r="W290" i="18"/>
  <c r="AE289" i="18"/>
  <c r="M229" i="18"/>
  <c r="K230" i="18" s="1"/>
  <c r="AE224" i="1" l="1"/>
  <c r="AG224" i="1"/>
  <c r="AU270" i="1"/>
  <c r="AV270" i="1"/>
  <c r="AT271" i="1" s="1"/>
  <c r="AC224" i="1"/>
  <c r="AB224" i="1" s="1"/>
  <c r="AA224" i="1"/>
  <c r="G230" i="18"/>
  <c r="AB290" i="18"/>
  <c r="AC290" i="18"/>
  <c r="AA291" i="18" s="1"/>
  <c r="AD290" i="18"/>
  <c r="O229" i="18"/>
  <c r="AS271" i="1" l="1"/>
  <c r="AR271" i="1" s="1"/>
  <c r="AQ271" i="1"/>
  <c r="AP271" i="1"/>
  <c r="AF224" i="1"/>
  <c r="AD225" i="1" s="1"/>
  <c r="AX270" i="1"/>
  <c r="AE290" i="18"/>
  <c r="L230" i="18"/>
  <c r="Z291" i="18"/>
  <c r="Y291" i="18" s="1"/>
  <c r="X291" i="18"/>
  <c r="W291" i="18"/>
  <c r="H230" i="18"/>
  <c r="J230" i="18"/>
  <c r="I230" i="18" s="1"/>
  <c r="N230" i="18"/>
  <c r="AH224" i="1" l="1"/>
  <c r="AU271" i="1"/>
  <c r="AV271" i="1"/>
  <c r="AT272" i="1" s="1"/>
  <c r="Z225" i="1"/>
  <c r="AC225" i="1" s="1"/>
  <c r="AB225" i="1" s="1"/>
  <c r="AW271" i="1"/>
  <c r="AC291" i="18"/>
  <c r="AA292" i="18" s="1"/>
  <c r="AB291" i="18"/>
  <c r="AD291" i="18"/>
  <c r="M230" i="18"/>
  <c r="K231" i="18" s="1"/>
  <c r="AE225" i="1" l="1"/>
  <c r="AG225" i="1"/>
  <c r="AQ272" i="1"/>
  <c r="AP272" i="1"/>
  <c r="AS272" i="1"/>
  <c r="AR272" i="1" s="1"/>
  <c r="AA225" i="1"/>
  <c r="AX271" i="1"/>
  <c r="O230" i="18"/>
  <c r="AE291" i="18"/>
  <c r="G231" i="18"/>
  <c r="N231" i="18" s="1"/>
  <c r="X292" i="18"/>
  <c r="W292" i="18"/>
  <c r="AD292" i="18" s="1"/>
  <c r="Z292" i="18"/>
  <c r="Y292" i="18" s="1"/>
  <c r="AU272" i="1" l="1"/>
  <c r="AV272" i="1"/>
  <c r="AT273" i="1" s="1"/>
  <c r="AW272" i="1"/>
  <c r="AF225" i="1"/>
  <c r="AD226" i="1" s="1"/>
  <c r="J231" i="18"/>
  <c r="I231" i="18" s="1"/>
  <c r="L231" i="18"/>
  <c r="AB292" i="18"/>
  <c r="AC292" i="18"/>
  <c r="AA293" i="18" s="1"/>
  <c r="H231" i="18"/>
  <c r="AH225" i="1" l="1"/>
  <c r="AS273" i="1"/>
  <c r="AR273" i="1" s="1"/>
  <c r="AP273" i="1"/>
  <c r="AQ273" i="1"/>
  <c r="Z226" i="1"/>
  <c r="AA226" i="1" s="1"/>
  <c r="AX272" i="1"/>
  <c r="W293" i="18"/>
  <c r="AD293" i="18" s="1"/>
  <c r="Z293" i="18"/>
  <c r="Y293" i="18" s="1"/>
  <c r="X293" i="18"/>
  <c r="AE292" i="18"/>
  <c r="M231" i="18"/>
  <c r="K232" i="18" s="1"/>
  <c r="AC226" i="1" l="1"/>
  <c r="AB226" i="1" s="1"/>
  <c r="AU273" i="1"/>
  <c r="AV273" i="1"/>
  <c r="AT274" i="1" s="1"/>
  <c r="AE226" i="1"/>
  <c r="AW273" i="1"/>
  <c r="AG226" i="1"/>
  <c r="G232" i="18"/>
  <c r="N232" i="18" s="1"/>
  <c r="O231" i="18"/>
  <c r="AC293" i="18"/>
  <c r="AA294" i="18" s="1"/>
  <c r="AB293" i="18"/>
  <c r="AF226" i="1" l="1"/>
  <c r="AD227" i="1" s="1"/>
  <c r="AQ274" i="1"/>
  <c r="AS274" i="1"/>
  <c r="AR274" i="1" s="1"/>
  <c r="AP274" i="1"/>
  <c r="AW274" i="1" s="1"/>
  <c r="AX273" i="1"/>
  <c r="J232" i="18"/>
  <c r="I232" i="18" s="1"/>
  <c r="AE293" i="18"/>
  <c r="H232" i="18"/>
  <c r="X294" i="18"/>
  <c r="W294" i="18"/>
  <c r="AD294" i="18" s="1"/>
  <c r="Z294" i="18"/>
  <c r="Y294" i="18" s="1"/>
  <c r="L232" i="18"/>
  <c r="M232" i="18" s="1"/>
  <c r="K233" i="18" s="1"/>
  <c r="Z227" i="1" l="1"/>
  <c r="AA227" i="1" s="1"/>
  <c r="AU274" i="1"/>
  <c r="AV274" i="1"/>
  <c r="AT275" i="1" s="1"/>
  <c r="AH226" i="1"/>
  <c r="O232" i="18"/>
  <c r="AC294" i="18"/>
  <c r="AA295" i="18" s="1"/>
  <c r="AB294" i="18"/>
  <c r="G233" i="18"/>
  <c r="H233" i="18" s="1"/>
  <c r="AC227" i="1" l="1"/>
  <c r="AB227" i="1" s="1"/>
  <c r="AG227" i="1"/>
  <c r="AX274" i="1"/>
  <c r="AS275" i="1"/>
  <c r="AR275" i="1" s="1"/>
  <c r="AQ275" i="1"/>
  <c r="AP275" i="1"/>
  <c r="AW275" i="1" s="1"/>
  <c r="AE227" i="1"/>
  <c r="AF227" i="1" s="1"/>
  <c r="AD228" i="1" s="1"/>
  <c r="L233" i="18"/>
  <c r="M233" i="18" s="1"/>
  <c r="K234" i="18" s="1"/>
  <c r="AE294" i="18"/>
  <c r="N233" i="18"/>
  <c r="W295" i="18"/>
  <c r="AD295" i="18" s="1"/>
  <c r="Z295" i="18"/>
  <c r="Y295" i="18" s="1"/>
  <c r="X295" i="18"/>
  <c r="J233" i="18"/>
  <c r="I233" i="18" s="1"/>
  <c r="Z228" i="1" l="1"/>
  <c r="AC228" i="1" s="1"/>
  <c r="AB228" i="1" s="1"/>
  <c r="AH227" i="1"/>
  <c r="AV275" i="1"/>
  <c r="AT276" i="1" s="1"/>
  <c r="AU275" i="1"/>
  <c r="G234" i="18"/>
  <c r="J234" i="18" s="1"/>
  <c r="I234" i="18" s="1"/>
  <c r="AC295" i="18"/>
  <c r="AA296" i="18" s="1"/>
  <c r="AB295" i="18"/>
  <c r="O233" i="18"/>
  <c r="AX275" i="1" l="1"/>
  <c r="AQ276" i="1"/>
  <c r="AS276" i="1"/>
  <c r="AR276" i="1" s="1"/>
  <c r="AP276" i="1"/>
  <c r="AW276" i="1" s="1"/>
  <c r="AE228" i="1"/>
  <c r="AA228" i="1"/>
  <c r="AG228" i="1"/>
  <c r="L234" i="18"/>
  <c r="AE295" i="18"/>
  <c r="H234" i="18"/>
  <c r="X296" i="18"/>
  <c r="Z296" i="18"/>
  <c r="Y296" i="18" s="1"/>
  <c r="W296" i="18"/>
  <c r="AD296" i="18" s="1"/>
  <c r="N234" i="18"/>
  <c r="AU276" i="1" l="1"/>
  <c r="AV276" i="1"/>
  <c r="AT277" i="1" s="1"/>
  <c r="AF228" i="1"/>
  <c r="AD229" i="1" s="1"/>
  <c r="AC296" i="18"/>
  <c r="AA297" i="18" s="1"/>
  <c r="AB296" i="18"/>
  <c r="M234" i="18"/>
  <c r="K235" i="18" s="1"/>
  <c r="Z229" i="1" l="1"/>
  <c r="AG229" i="1" s="1"/>
  <c r="AH228" i="1"/>
  <c r="AS277" i="1"/>
  <c r="AR277" i="1" s="1"/>
  <c r="AP277" i="1"/>
  <c r="AQ277" i="1"/>
  <c r="AX276" i="1"/>
  <c r="G235" i="18"/>
  <c r="H235" i="18" s="1"/>
  <c r="AE296" i="18"/>
  <c r="W297" i="18"/>
  <c r="AD297" i="18" s="1"/>
  <c r="Z297" i="18"/>
  <c r="Y297" i="18" s="1"/>
  <c r="X297" i="18"/>
  <c r="O234" i="18"/>
  <c r="AA229" i="1" l="1"/>
  <c r="AC229" i="1"/>
  <c r="AB229" i="1" s="1"/>
  <c r="AV277" i="1"/>
  <c r="AT278" i="1" s="1"/>
  <c r="AU277" i="1"/>
  <c r="AW277" i="1"/>
  <c r="AE229" i="1"/>
  <c r="J235" i="18"/>
  <c r="I235" i="18" s="1"/>
  <c r="N235" i="18"/>
  <c r="AC297" i="18"/>
  <c r="AA298" i="18" s="1"/>
  <c r="AB297" i="18"/>
  <c r="L235" i="18"/>
  <c r="M235" i="18" s="1"/>
  <c r="K236" i="18" s="1"/>
  <c r="AX277" i="1" l="1"/>
  <c r="AQ278" i="1"/>
  <c r="AP278" i="1"/>
  <c r="AS278" i="1"/>
  <c r="AR278" i="1" s="1"/>
  <c r="AF229" i="1"/>
  <c r="AD230" i="1" s="1"/>
  <c r="G236" i="18"/>
  <c r="N236" i="18" s="1"/>
  <c r="O235" i="18"/>
  <c r="AE297" i="18"/>
  <c r="X298" i="18"/>
  <c r="W298" i="18"/>
  <c r="Z298" i="18"/>
  <c r="Y298" i="18" s="1"/>
  <c r="Z230" i="1" l="1"/>
  <c r="AA230" i="1" s="1"/>
  <c r="AU278" i="1"/>
  <c r="AV278" i="1"/>
  <c r="AT279" i="1" s="1"/>
  <c r="AW278" i="1"/>
  <c r="AH229" i="1"/>
  <c r="J236" i="18"/>
  <c r="I236" i="18" s="1"/>
  <c r="H236" i="18"/>
  <c r="AC298" i="18"/>
  <c r="AA299" i="18" s="1"/>
  <c r="AB298" i="18"/>
  <c r="AD298" i="18"/>
  <c r="L236" i="18"/>
  <c r="M236" i="18" s="1"/>
  <c r="K237" i="18" s="1"/>
  <c r="AG230" i="1" l="1"/>
  <c r="AC230" i="1"/>
  <c r="AB230" i="1" s="1"/>
  <c r="AS279" i="1"/>
  <c r="AR279" i="1" s="1"/>
  <c r="AP279" i="1"/>
  <c r="AQ279" i="1"/>
  <c r="AX278" i="1"/>
  <c r="AE230" i="1"/>
  <c r="AF230" i="1" s="1"/>
  <c r="AD231" i="1" s="1"/>
  <c r="G237" i="18"/>
  <c r="H237" i="18" s="1"/>
  <c r="AE298" i="18"/>
  <c r="O236" i="18"/>
  <c r="W299" i="18"/>
  <c r="Z299" i="18"/>
  <c r="Y299" i="18" s="1"/>
  <c r="X299" i="18"/>
  <c r="Z231" i="1" l="1"/>
  <c r="AG231" i="1" s="1"/>
  <c r="AV279" i="1"/>
  <c r="AT280" i="1" s="1"/>
  <c r="AU279" i="1"/>
  <c r="AW279" i="1"/>
  <c r="AH230" i="1"/>
  <c r="N237" i="18"/>
  <c r="J237" i="18"/>
  <c r="I237" i="18" s="1"/>
  <c r="AC299" i="18"/>
  <c r="AA300" i="18" s="1"/>
  <c r="AB299" i="18"/>
  <c r="AD299" i="18"/>
  <c r="L237" i="18"/>
  <c r="M237" i="18" s="1"/>
  <c r="K238" i="18" s="1"/>
  <c r="AC231" i="1" l="1"/>
  <c r="AB231" i="1" s="1"/>
  <c r="AA231" i="1"/>
  <c r="AX279" i="1"/>
  <c r="AQ280" i="1"/>
  <c r="AS280" i="1"/>
  <c r="AR280" i="1" s="1"/>
  <c r="AP280" i="1"/>
  <c r="AW280" i="1" s="1"/>
  <c r="AE231" i="1"/>
  <c r="AF231" i="1" s="1"/>
  <c r="AD232" i="1" s="1"/>
  <c r="AE299" i="18"/>
  <c r="G238" i="18"/>
  <c r="N238" i="18" s="1"/>
  <c r="O237" i="18"/>
  <c r="X300" i="18"/>
  <c r="Z300" i="18"/>
  <c r="Y300" i="18" s="1"/>
  <c r="W300" i="18"/>
  <c r="AD300" i="18" s="1"/>
  <c r="Z232" i="1" l="1"/>
  <c r="AA232" i="1" s="1"/>
  <c r="AH231" i="1"/>
  <c r="AU280" i="1"/>
  <c r="AV280" i="1"/>
  <c r="AT281" i="1" s="1"/>
  <c r="J238" i="18"/>
  <c r="I238" i="18" s="1"/>
  <c r="L238" i="18"/>
  <c r="AC300" i="18"/>
  <c r="AA301" i="18" s="1"/>
  <c r="AB300" i="18"/>
  <c r="H238" i="18"/>
  <c r="AX280" i="1" l="1"/>
  <c r="AE232" i="1"/>
  <c r="AG232" i="1"/>
  <c r="AS281" i="1"/>
  <c r="AR281" i="1" s="1"/>
  <c r="AP281" i="1"/>
  <c r="AQ281" i="1"/>
  <c r="AC232" i="1"/>
  <c r="AB232" i="1" s="1"/>
  <c r="AE300" i="18"/>
  <c r="W301" i="18"/>
  <c r="AD301" i="18" s="1"/>
  <c r="Z301" i="18"/>
  <c r="Y301" i="18" s="1"/>
  <c r="X301" i="18"/>
  <c r="M238" i="18"/>
  <c r="K239" i="18" s="1"/>
  <c r="AU281" i="1" l="1"/>
  <c r="AV281" i="1"/>
  <c r="AT282" i="1" s="1"/>
  <c r="AW281" i="1"/>
  <c r="AF232" i="1"/>
  <c r="AD233" i="1" s="1"/>
  <c r="G239" i="18"/>
  <c r="N239" i="18" s="1"/>
  <c r="O238" i="18"/>
  <c r="AC301" i="18"/>
  <c r="AA302" i="18" s="1"/>
  <c r="AB301" i="18"/>
  <c r="AH232" i="1" l="1"/>
  <c r="AQ282" i="1"/>
  <c r="AS282" i="1"/>
  <c r="AR282" i="1" s="1"/>
  <c r="AP282" i="1"/>
  <c r="AW282" i="1" s="1"/>
  <c r="Z233" i="1"/>
  <c r="AC233" i="1" s="1"/>
  <c r="AB233" i="1" s="1"/>
  <c r="AX281" i="1"/>
  <c r="J239" i="18"/>
  <c r="I239" i="18" s="1"/>
  <c r="AE301" i="18"/>
  <c r="H239" i="18"/>
  <c r="X302" i="18"/>
  <c r="W302" i="18"/>
  <c r="Z302" i="18"/>
  <c r="Y302" i="18" s="1"/>
  <c r="L239" i="18"/>
  <c r="AA233" i="1" l="1"/>
  <c r="AU282" i="1"/>
  <c r="AV282" i="1"/>
  <c r="AT283" i="1" s="1"/>
  <c r="AE233" i="1"/>
  <c r="AF233" i="1" s="1"/>
  <c r="AD234" i="1" s="1"/>
  <c r="AG233" i="1"/>
  <c r="AC302" i="18"/>
  <c r="AA303" i="18" s="1"/>
  <c r="AB302" i="18"/>
  <c r="M239" i="18"/>
  <c r="K240" i="18" s="1"/>
  <c r="AD302" i="18"/>
  <c r="AX282" i="1" l="1"/>
  <c r="AH233" i="1"/>
  <c r="AS283" i="1"/>
  <c r="AR283" i="1" s="1"/>
  <c r="AQ283" i="1"/>
  <c r="AP283" i="1"/>
  <c r="AW283" i="1" s="1"/>
  <c r="Z234" i="1"/>
  <c r="AA234" i="1" s="1"/>
  <c r="G240" i="18"/>
  <c r="J240" i="18" s="1"/>
  <c r="I240" i="18" s="1"/>
  <c r="AE302" i="18"/>
  <c r="W303" i="18"/>
  <c r="AD303" i="18"/>
  <c r="Z303" i="18"/>
  <c r="Y303" i="18" s="1"/>
  <c r="X303" i="18"/>
  <c r="O239" i="18"/>
  <c r="AC234" i="1" l="1"/>
  <c r="AB234" i="1" s="1"/>
  <c r="AE234" i="1"/>
  <c r="AV283" i="1"/>
  <c r="AT284" i="1" s="1"/>
  <c r="AU283" i="1"/>
  <c r="AG234" i="1"/>
  <c r="H240" i="18"/>
  <c r="AC303" i="18"/>
  <c r="AA304" i="18" s="1"/>
  <c r="AB303" i="18"/>
  <c r="L240" i="18"/>
  <c r="M240" i="18" s="1"/>
  <c r="K241" i="18" s="1"/>
  <c r="N240" i="18"/>
  <c r="AX283" i="1" l="1"/>
  <c r="AQ284" i="1"/>
  <c r="AS284" i="1"/>
  <c r="AR284" i="1" s="1"/>
  <c r="AP284" i="1"/>
  <c r="AW284" i="1" s="1"/>
  <c r="AF234" i="1"/>
  <c r="AD235" i="1" s="1"/>
  <c r="AE303" i="18"/>
  <c r="G241" i="18"/>
  <c r="H241" i="18" s="1"/>
  <c r="O240" i="18"/>
  <c r="X304" i="18"/>
  <c r="W304" i="18"/>
  <c r="AD304" i="18" s="1"/>
  <c r="Z304" i="18"/>
  <c r="Y304" i="18" s="1"/>
  <c r="Z235" i="1" l="1"/>
  <c r="AC235" i="1" s="1"/>
  <c r="AB235" i="1" s="1"/>
  <c r="AU284" i="1"/>
  <c r="AV284" i="1"/>
  <c r="AT285" i="1" s="1"/>
  <c r="AH234" i="1"/>
  <c r="N241" i="18"/>
  <c r="J241" i="18"/>
  <c r="I241" i="18" s="1"/>
  <c r="AC304" i="18"/>
  <c r="AA305" i="18" s="1"/>
  <c r="AB304" i="18"/>
  <c r="L241" i="18"/>
  <c r="AX284" i="1" l="1"/>
  <c r="AA235" i="1"/>
  <c r="AG235" i="1"/>
  <c r="AS285" i="1"/>
  <c r="AR285" i="1" s="1"/>
  <c r="AP285" i="1"/>
  <c r="AW285" i="1" s="1"/>
  <c r="AQ285" i="1"/>
  <c r="AE235" i="1"/>
  <c r="M241" i="18"/>
  <c r="K242" i="18" s="1"/>
  <c r="AE304" i="18"/>
  <c r="W305" i="18"/>
  <c r="AD305" i="18"/>
  <c r="Z305" i="18"/>
  <c r="Y305" i="18" s="1"/>
  <c r="X305" i="18"/>
  <c r="AF235" i="1" l="1"/>
  <c r="AD236" i="1" s="1"/>
  <c r="AU285" i="1"/>
  <c r="AV285" i="1"/>
  <c r="AT286" i="1" s="1"/>
  <c r="AB305" i="18"/>
  <c r="AC305" i="18"/>
  <c r="AA306" i="18" s="1"/>
  <c r="G242" i="18"/>
  <c r="J242" i="18" s="1"/>
  <c r="I242" i="18" s="1"/>
  <c r="O241" i="18"/>
  <c r="AX285" i="1" l="1"/>
  <c r="AQ286" i="1"/>
  <c r="AP286" i="1"/>
  <c r="AW286" i="1" s="1"/>
  <c r="AS286" i="1"/>
  <c r="AR286" i="1" s="1"/>
  <c r="Z236" i="1"/>
  <c r="AA236" i="1" s="1"/>
  <c r="AH235" i="1"/>
  <c r="H242" i="18"/>
  <c r="N242" i="18"/>
  <c r="L242" i="18"/>
  <c r="M242" i="18" s="1"/>
  <c r="K243" i="18" s="1"/>
  <c r="X306" i="18"/>
  <c r="W306" i="18"/>
  <c r="AD306" i="18" s="1"/>
  <c r="Z306" i="18"/>
  <c r="Y306" i="18" s="1"/>
  <c r="AE305" i="18"/>
  <c r="AG236" i="1" l="1"/>
  <c r="AC236" i="1"/>
  <c r="AB236" i="1" s="1"/>
  <c r="AU286" i="1"/>
  <c r="AV286" i="1"/>
  <c r="AT287" i="1" s="1"/>
  <c r="AE236" i="1"/>
  <c r="G243" i="18"/>
  <c r="N243" i="18" s="1"/>
  <c r="O242" i="18"/>
  <c r="AC306" i="18"/>
  <c r="AA307" i="18" s="1"/>
  <c r="AB306" i="18"/>
  <c r="AS287" i="1" l="1"/>
  <c r="AR287" i="1" s="1"/>
  <c r="AP287" i="1"/>
  <c r="AQ287" i="1"/>
  <c r="AX286" i="1"/>
  <c r="AF236" i="1"/>
  <c r="AD237" i="1" s="1"/>
  <c r="J243" i="18"/>
  <c r="I243" i="18" s="1"/>
  <c r="H243" i="18"/>
  <c r="AE306" i="18"/>
  <c r="W307" i="18"/>
  <c r="AD307" i="18" s="1"/>
  <c r="Z307" i="18"/>
  <c r="Y307" i="18" s="1"/>
  <c r="X307" i="18"/>
  <c r="L243" i="18"/>
  <c r="M243" i="18" s="1"/>
  <c r="K244" i="18" s="1"/>
  <c r="AH236" i="1" l="1"/>
  <c r="AU287" i="1"/>
  <c r="AV287" i="1"/>
  <c r="AT288" i="1" s="1"/>
  <c r="AW287" i="1"/>
  <c r="Z237" i="1"/>
  <c r="AA237" i="1" s="1"/>
  <c r="G244" i="18"/>
  <c r="N244" i="18" s="1"/>
  <c r="O243" i="18"/>
  <c r="AC307" i="18"/>
  <c r="AA308" i="18" s="1"/>
  <c r="AB307" i="18"/>
  <c r="AC237" i="1" l="1"/>
  <c r="AB237" i="1" s="1"/>
  <c r="AG237" i="1"/>
  <c r="AQ288" i="1"/>
  <c r="AP288" i="1"/>
  <c r="AS288" i="1"/>
  <c r="AR288" i="1" s="1"/>
  <c r="AX287" i="1"/>
  <c r="AE237" i="1"/>
  <c r="AF237" i="1" s="1"/>
  <c r="AD238" i="1" s="1"/>
  <c r="J244" i="18"/>
  <c r="I244" i="18" s="1"/>
  <c r="AE307" i="18"/>
  <c r="H244" i="18"/>
  <c r="X308" i="18"/>
  <c r="Z308" i="18"/>
  <c r="Y308" i="18" s="1"/>
  <c r="W308" i="18"/>
  <c r="L244" i="18"/>
  <c r="M244" i="18" s="1"/>
  <c r="K245" i="18" s="1"/>
  <c r="Z238" i="1" l="1"/>
  <c r="AG238" i="1" s="1"/>
  <c r="AU288" i="1"/>
  <c r="AV288" i="1"/>
  <c r="AT289" i="1" s="1"/>
  <c r="AW288" i="1"/>
  <c r="AH237" i="1"/>
  <c r="AC308" i="18"/>
  <c r="AA309" i="18" s="1"/>
  <c r="AB308" i="18"/>
  <c r="O244" i="18"/>
  <c r="G245" i="18"/>
  <c r="H245" i="18" s="1"/>
  <c r="AD308" i="18"/>
  <c r="AS289" i="1" l="1"/>
  <c r="AR289" i="1" s="1"/>
  <c r="AP289" i="1"/>
  <c r="AW289" i="1" s="1"/>
  <c r="AQ289" i="1"/>
  <c r="AX288" i="1"/>
  <c r="AE238" i="1"/>
  <c r="AC238" i="1"/>
  <c r="AB238" i="1" s="1"/>
  <c r="AA238" i="1"/>
  <c r="J245" i="18"/>
  <c r="I245" i="18" s="1"/>
  <c r="L245" i="18"/>
  <c r="M245" i="18" s="1"/>
  <c r="K246" i="18" s="1"/>
  <c r="N245" i="18"/>
  <c r="AE308" i="18"/>
  <c r="W309" i="18"/>
  <c r="AD309" i="18" s="1"/>
  <c r="Z309" i="18"/>
  <c r="Y309" i="18" s="1"/>
  <c r="X309" i="18"/>
  <c r="AF238" i="1" l="1"/>
  <c r="AD239" i="1" s="1"/>
  <c r="AU289" i="1"/>
  <c r="AV289" i="1"/>
  <c r="AT290" i="1" s="1"/>
  <c r="O245" i="18"/>
  <c r="AC309" i="18"/>
  <c r="AA310" i="18" s="1"/>
  <c r="AB309" i="18"/>
  <c r="G246" i="18"/>
  <c r="N246" i="18" s="1"/>
  <c r="AQ290" i="1" l="1"/>
  <c r="AS290" i="1"/>
  <c r="AR290" i="1" s="1"/>
  <c r="AP290" i="1"/>
  <c r="AW290" i="1" s="1"/>
  <c r="AX289" i="1"/>
  <c r="Z239" i="1"/>
  <c r="AG239" i="1" s="1"/>
  <c r="AH238" i="1"/>
  <c r="H246" i="18"/>
  <c r="L246" i="18"/>
  <c r="AE309" i="18"/>
  <c r="X310" i="18"/>
  <c r="W310" i="18"/>
  <c r="AD310" i="18" s="1"/>
  <c r="Z310" i="18"/>
  <c r="Y310" i="18" s="1"/>
  <c r="J246" i="18"/>
  <c r="I246" i="18" s="1"/>
  <c r="AC239" i="1" l="1"/>
  <c r="AB239" i="1" s="1"/>
  <c r="AA239" i="1"/>
  <c r="AE239" i="1"/>
  <c r="AF239" i="1" s="1"/>
  <c r="AD240" i="1" s="1"/>
  <c r="AU290" i="1"/>
  <c r="AV290" i="1"/>
  <c r="AT291" i="1" s="1"/>
  <c r="AC310" i="18"/>
  <c r="AA311" i="18" s="1"/>
  <c r="AB310" i="18"/>
  <c r="M246" i="18"/>
  <c r="K247" i="18" s="1"/>
  <c r="AS291" i="1" l="1"/>
  <c r="AR291" i="1" s="1"/>
  <c r="AQ291" i="1"/>
  <c r="AP291" i="1"/>
  <c r="AW291" i="1" s="1"/>
  <c r="AX290" i="1"/>
  <c r="Z240" i="1"/>
  <c r="AH239" i="1"/>
  <c r="AE310" i="18"/>
  <c r="G247" i="18"/>
  <c r="N247" i="18" s="1"/>
  <c r="O246" i="18"/>
  <c r="W311" i="18"/>
  <c r="AD311" i="18" s="1"/>
  <c r="Z311" i="18"/>
  <c r="Y311" i="18" s="1"/>
  <c r="X311" i="18"/>
  <c r="AE240" i="1" l="1"/>
  <c r="AA240" i="1"/>
  <c r="AC240" i="1"/>
  <c r="AB240" i="1" s="1"/>
  <c r="AG240" i="1"/>
  <c r="AV291" i="1"/>
  <c r="AT292" i="1" s="1"/>
  <c r="AU291" i="1"/>
  <c r="J247" i="18"/>
  <c r="I247" i="18" s="1"/>
  <c r="H247" i="18"/>
  <c r="AC311" i="18"/>
  <c r="AA312" i="18" s="1"/>
  <c r="AB311" i="18"/>
  <c r="L247" i="18"/>
  <c r="M247" i="18" s="1"/>
  <c r="K248" i="18" s="1"/>
  <c r="AX291" i="1" l="1"/>
  <c r="AQ292" i="1"/>
  <c r="AP292" i="1"/>
  <c r="AW292" i="1" s="1"/>
  <c r="AS292" i="1"/>
  <c r="AR292" i="1" s="1"/>
  <c r="AF240" i="1"/>
  <c r="AD241" i="1" s="1"/>
  <c r="G248" i="18"/>
  <c r="N248" i="18" s="1"/>
  <c r="AE311" i="18"/>
  <c r="X312" i="18"/>
  <c r="Z312" i="18"/>
  <c r="Y312" i="18" s="1"/>
  <c r="W312" i="18"/>
  <c r="AD312" i="18" s="1"/>
  <c r="O247" i="18"/>
  <c r="Z241" i="1" l="1"/>
  <c r="AC241" i="1" s="1"/>
  <c r="AB241" i="1" s="1"/>
  <c r="AH240" i="1"/>
  <c r="AU292" i="1"/>
  <c r="AV292" i="1"/>
  <c r="AT293" i="1" s="1"/>
  <c r="J248" i="18"/>
  <c r="I248" i="18" s="1"/>
  <c r="H248" i="18"/>
  <c r="AC312" i="18"/>
  <c r="AA313" i="18" s="1"/>
  <c r="AB312" i="18"/>
  <c r="L248" i="18"/>
  <c r="AA241" i="1" l="1"/>
  <c r="AX292" i="1"/>
  <c r="AE241" i="1"/>
  <c r="AF241" i="1" s="1"/>
  <c r="AD242" i="1" s="1"/>
  <c r="AS293" i="1"/>
  <c r="AR293" i="1" s="1"/>
  <c r="AP293" i="1"/>
  <c r="AQ293" i="1"/>
  <c r="AG241" i="1"/>
  <c r="M248" i="18"/>
  <c r="K249" i="18" s="1"/>
  <c r="AE312" i="18"/>
  <c r="W313" i="18"/>
  <c r="Z313" i="18"/>
  <c r="Y313" i="18" s="1"/>
  <c r="X313" i="18"/>
  <c r="Z242" i="1" l="1"/>
  <c r="AG242" i="1" s="1"/>
  <c r="AU293" i="1"/>
  <c r="AV293" i="1"/>
  <c r="AT294" i="1" s="1"/>
  <c r="AH241" i="1"/>
  <c r="AW293" i="1"/>
  <c r="AC313" i="18"/>
  <c r="AA314" i="18" s="1"/>
  <c r="AB313" i="18"/>
  <c r="G249" i="18"/>
  <c r="J249" i="18" s="1"/>
  <c r="I249" i="18" s="1"/>
  <c r="AD313" i="18"/>
  <c r="O248" i="18"/>
  <c r="AC242" i="1" l="1"/>
  <c r="AB242" i="1" s="1"/>
  <c r="AA242" i="1"/>
  <c r="AQ294" i="1"/>
  <c r="AP294" i="1"/>
  <c r="AS294" i="1"/>
  <c r="AR294" i="1" s="1"/>
  <c r="AX293" i="1"/>
  <c r="AE242" i="1"/>
  <c r="AF242" i="1" s="1"/>
  <c r="AD243" i="1" s="1"/>
  <c r="H249" i="18"/>
  <c r="L249" i="18"/>
  <c r="AE313" i="18"/>
  <c r="N249" i="18"/>
  <c r="X314" i="18"/>
  <c r="W314" i="18"/>
  <c r="Z314" i="18"/>
  <c r="Y314" i="18" s="1"/>
  <c r="AD314" i="18"/>
  <c r="AU294" i="1" l="1"/>
  <c r="AV294" i="1"/>
  <c r="AT295" i="1" s="1"/>
  <c r="AH242" i="1"/>
  <c r="AW294" i="1"/>
  <c r="Z243" i="1"/>
  <c r="AA243" i="1" s="1"/>
  <c r="AC314" i="18"/>
  <c r="AA315" i="18" s="1"/>
  <c r="AB314" i="18"/>
  <c r="M249" i="18"/>
  <c r="K250" i="18" s="1"/>
  <c r="AG243" i="1" l="1"/>
  <c r="AC243" i="1"/>
  <c r="AB243" i="1" s="1"/>
  <c r="AS295" i="1"/>
  <c r="AR295" i="1" s="1"/>
  <c r="AP295" i="1"/>
  <c r="AW295" i="1" s="1"/>
  <c r="AQ295" i="1"/>
  <c r="AE243" i="1"/>
  <c r="AF243" i="1" s="1"/>
  <c r="AD244" i="1" s="1"/>
  <c r="AX294" i="1"/>
  <c r="G250" i="18"/>
  <c r="O249" i="18"/>
  <c r="AE314" i="18"/>
  <c r="W315" i="18"/>
  <c r="Z315" i="18"/>
  <c r="Y315" i="18" s="1"/>
  <c r="X315" i="18"/>
  <c r="Z244" i="1" l="1"/>
  <c r="AC244" i="1" s="1"/>
  <c r="AB244" i="1" s="1"/>
  <c r="AH243" i="1"/>
  <c r="AU295" i="1"/>
  <c r="AV295" i="1"/>
  <c r="AT296" i="1" s="1"/>
  <c r="AC315" i="18"/>
  <c r="AA316" i="18" s="1"/>
  <c r="AB315" i="18"/>
  <c r="L250" i="18"/>
  <c r="M250" i="18" s="1"/>
  <c r="K251" i="18" s="1"/>
  <c r="H250" i="18"/>
  <c r="N250" i="18"/>
  <c r="AD315" i="18"/>
  <c r="J250" i="18"/>
  <c r="I250" i="18" s="1"/>
  <c r="AA244" i="1" l="1"/>
  <c r="AG244" i="1"/>
  <c r="AQ296" i="1"/>
  <c r="AP296" i="1"/>
  <c r="AS296" i="1"/>
  <c r="AR296" i="1" s="1"/>
  <c r="AX295" i="1"/>
  <c r="AE244" i="1"/>
  <c r="G251" i="18"/>
  <c r="N251" i="18" s="1"/>
  <c r="O250" i="18"/>
  <c r="AE315" i="18"/>
  <c r="X316" i="18"/>
  <c r="Z316" i="18"/>
  <c r="Y316" i="18" s="1"/>
  <c r="W316" i="18"/>
  <c r="AD316" i="18" s="1"/>
  <c r="AU296" i="1" l="1"/>
  <c r="AV296" i="1"/>
  <c r="AT297" i="1" s="1"/>
  <c r="AW296" i="1"/>
  <c r="AF244" i="1"/>
  <c r="AD245" i="1" s="1"/>
  <c r="J251" i="18"/>
  <c r="I251" i="18" s="1"/>
  <c r="H251" i="18"/>
  <c r="AC316" i="18"/>
  <c r="AA317" i="18" s="1"/>
  <c r="AB316" i="18"/>
  <c r="L251" i="18"/>
  <c r="M251" i="18" s="1"/>
  <c r="K252" i="18" s="1"/>
  <c r="AS297" i="1" l="1"/>
  <c r="AR297" i="1" s="1"/>
  <c r="AP297" i="1"/>
  <c r="AQ297" i="1"/>
  <c r="AH244" i="1"/>
  <c r="Z245" i="1"/>
  <c r="AA245" i="1" s="1"/>
  <c r="AX296" i="1"/>
  <c r="G252" i="18"/>
  <c r="J252" i="18" s="1"/>
  <c r="I252" i="18" s="1"/>
  <c r="O251" i="18"/>
  <c r="AE316" i="18"/>
  <c r="W317" i="18"/>
  <c r="Z317" i="18"/>
  <c r="Y317" i="18" s="1"/>
  <c r="X317" i="18"/>
  <c r="AG245" i="1" l="1"/>
  <c r="AE245" i="1"/>
  <c r="AU297" i="1"/>
  <c r="AV297" i="1"/>
  <c r="AT298" i="1" s="1"/>
  <c r="AC245" i="1"/>
  <c r="AB245" i="1" s="1"/>
  <c r="AW297" i="1"/>
  <c r="H252" i="18"/>
  <c r="N252" i="18"/>
  <c r="AC317" i="18"/>
  <c r="AA318" i="18" s="1"/>
  <c r="AB317" i="18"/>
  <c r="AD317" i="18"/>
  <c r="L252" i="18"/>
  <c r="M252" i="18" s="1"/>
  <c r="K253" i="18" s="1"/>
  <c r="AF245" i="1" l="1"/>
  <c r="AD246" i="1" s="1"/>
  <c r="AQ298" i="1"/>
  <c r="AS298" i="1"/>
  <c r="AR298" i="1" s="1"/>
  <c r="AP298" i="1"/>
  <c r="AW298" i="1" s="1"/>
  <c r="AX297" i="1"/>
  <c r="AE317" i="18"/>
  <c r="G253" i="18"/>
  <c r="H253" i="18" s="1"/>
  <c r="O252" i="18"/>
  <c r="X318" i="18"/>
  <c r="W318" i="18"/>
  <c r="AD318" i="18" s="1"/>
  <c r="Z318" i="18"/>
  <c r="Y318" i="18" s="1"/>
  <c r="Z246" i="1" l="1"/>
  <c r="AG246" i="1" s="1"/>
  <c r="AU298" i="1"/>
  <c r="AV298" i="1"/>
  <c r="AT299" i="1" s="1"/>
  <c r="AH245" i="1"/>
  <c r="J253" i="18"/>
  <c r="I253" i="18" s="1"/>
  <c r="N253" i="18"/>
  <c r="AC318" i="18"/>
  <c r="AA319" i="18" s="1"/>
  <c r="AB318" i="18"/>
  <c r="L253" i="18"/>
  <c r="M253" i="18" s="1"/>
  <c r="K254" i="18" s="1"/>
  <c r="AS299" i="1" l="1"/>
  <c r="AR299" i="1" s="1"/>
  <c r="AQ299" i="1"/>
  <c r="AP299" i="1"/>
  <c r="AW299" i="1" s="1"/>
  <c r="AX298" i="1"/>
  <c r="AE246" i="1"/>
  <c r="AF246" i="1" s="1"/>
  <c r="AD247" i="1" s="1"/>
  <c r="AC246" i="1"/>
  <c r="AB246" i="1" s="1"/>
  <c r="AA246" i="1"/>
  <c r="AE318" i="18"/>
  <c r="O253" i="18"/>
  <c r="G254" i="18"/>
  <c r="J254" i="18" s="1"/>
  <c r="I254" i="18" s="1"/>
  <c r="W319" i="18"/>
  <c r="AD319" i="18" s="1"/>
  <c r="Z319" i="18"/>
  <c r="Y319" i="18" s="1"/>
  <c r="X319" i="18"/>
  <c r="AV299" i="1" l="1"/>
  <c r="AT300" i="1" s="1"/>
  <c r="AU299" i="1"/>
  <c r="AH246" i="1"/>
  <c r="Z247" i="1"/>
  <c r="AG247" i="1" s="1"/>
  <c r="H254" i="18"/>
  <c r="N254" i="18"/>
  <c r="AC319" i="18"/>
  <c r="AA320" i="18" s="1"/>
  <c r="AB319" i="18"/>
  <c r="L254" i="18"/>
  <c r="M254" i="18" s="1"/>
  <c r="K255" i="18" s="1"/>
  <c r="AX299" i="1" l="1"/>
  <c r="AA247" i="1"/>
  <c r="AC247" i="1"/>
  <c r="AB247" i="1" s="1"/>
  <c r="AE247" i="1"/>
  <c r="AF247" i="1" s="1"/>
  <c r="AD248" i="1" s="1"/>
  <c r="AQ300" i="1"/>
  <c r="AP300" i="1"/>
  <c r="AS300" i="1"/>
  <c r="AR300" i="1" s="1"/>
  <c r="AE319" i="18"/>
  <c r="X320" i="18"/>
  <c r="W320" i="18"/>
  <c r="Z320" i="18"/>
  <c r="Y320" i="18" s="1"/>
  <c r="G255" i="18"/>
  <c r="N255" i="18" s="1"/>
  <c r="O254" i="18"/>
  <c r="AU300" i="1" l="1"/>
  <c r="AV300" i="1"/>
  <c r="AT301" i="1" s="1"/>
  <c r="Z248" i="1"/>
  <c r="AA248" i="1" s="1"/>
  <c r="AW300" i="1"/>
  <c r="AH247" i="1"/>
  <c r="J255" i="18"/>
  <c r="I255" i="18" s="1"/>
  <c r="H255" i="18"/>
  <c r="L255" i="18"/>
  <c r="AC320" i="18"/>
  <c r="AA321" i="18" s="1"/>
  <c r="AB320" i="18"/>
  <c r="AD320" i="18"/>
  <c r="AE248" i="1" l="1"/>
  <c r="AC248" i="1"/>
  <c r="AB248" i="1" s="1"/>
  <c r="AS301" i="1"/>
  <c r="AR301" i="1" s="1"/>
  <c r="AQ301" i="1"/>
  <c r="AP301" i="1"/>
  <c r="AG248" i="1"/>
  <c r="AX300" i="1"/>
  <c r="AE320" i="18"/>
  <c r="W321" i="18"/>
  <c r="AD321" i="18" s="1"/>
  <c r="Z321" i="18"/>
  <c r="Y321" i="18" s="1"/>
  <c r="X321" i="18"/>
  <c r="M255" i="18"/>
  <c r="K256" i="18" s="1"/>
  <c r="AU301" i="1" l="1"/>
  <c r="AV301" i="1"/>
  <c r="AT302" i="1" s="1"/>
  <c r="AW301" i="1"/>
  <c r="AF248" i="1"/>
  <c r="AD249" i="1" s="1"/>
  <c r="G256" i="18"/>
  <c r="J256" i="18" s="1"/>
  <c r="I256" i="18" s="1"/>
  <c r="O255" i="18"/>
  <c r="AB321" i="18"/>
  <c r="AC321" i="18"/>
  <c r="AA322" i="18" s="1"/>
  <c r="AX301" i="1" l="1"/>
  <c r="Z249" i="1"/>
  <c r="AC249" i="1" s="1"/>
  <c r="AB249" i="1" s="1"/>
  <c r="AH248" i="1"/>
  <c r="AQ302" i="1"/>
  <c r="AP302" i="1"/>
  <c r="AW302" i="1" s="1"/>
  <c r="AS302" i="1"/>
  <c r="AR302" i="1" s="1"/>
  <c r="H256" i="18"/>
  <c r="AE321" i="18"/>
  <c r="L256" i="18"/>
  <c r="X322" i="18"/>
  <c r="W322" i="18"/>
  <c r="AD322" i="18" s="1"/>
  <c r="Z322" i="18"/>
  <c r="Y322" i="18" s="1"/>
  <c r="N256" i="18"/>
  <c r="AA249" i="1" l="1"/>
  <c r="AE249" i="1"/>
  <c r="AF249" i="1" s="1"/>
  <c r="AD250" i="1" s="1"/>
  <c r="AU302" i="1"/>
  <c r="AV302" i="1"/>
  <c r="AT303" i="1" s="1"/>
  <c r="AG249" i="1"/>
  <c r="M256" i="18"/>
  <c r="K257" i="18" s="1"/>
  <c r="AC322" i="18"/>
  <c r="AA323" i="18" s="1"/>
  <c r="AB322" i="18"/>
  <c r="AX302" i="1" l="1"/>
  <c r="Z250" i="1"/>
  <c r="AA250" i="1" s="1"/>
  <c r="AH249" i="1"/>
  <c r="AS303" i="1"/>
  <c r="AR303" i="1" s="1"/>
  <c r="AQ303" i="1"/>
  <c r="AP303" i="1"/>
  <c r="AW303" i="1" s="1"/>
  <c r="AE322" i="18"/>
  <c r="W323" i="18"/>
  <c r="AD323" i="18" s="1"/>
  <c r="Z323" i="18"/>
  <c r="Y323" i="18" s="1"/>
  <c r="X323" i="18"/>
  <c r="G257" i="18"/>
  <c r="N257" i="18" s="1"/>
  <c r="O256" i="18"/>
  <c r="AC250" i="1" l="1"/>
  <c r="AB250" i="1" s="1"/>
  <c r="AE250" i="1"/>
  <c r="AU303" i="1"/>
  <c r="AV303" i="1"/>
  <c r="AT304" i="1" s="1"/>
  <c r="AG250" i="1"/>
  <c r="J257" i="18"/>
  <c r="I257" i="18" s="1"/>
  <c r="H257" i="18"/>
  <c r="L257" i="18"/>
  <c r="AC323" i="18"/>
  <c r="AA324" i="18" s="1"/>
  <c r="AB323" i="18"/>
  <c r="AF250" i="1" l="1"/>
  <c r="AD251" i="1" s="1"/>
  <c r="AQ304" i="1"/>
  <c r="AP304" i="1"/>
  <c r="AS304" i="1"/>
  <c r="AR304" i="1" s="1"/>
  <c r="AX303" i="1"/>
  <c r="AE323" i="18"/>
  <c r="X324" i="18"/>
  <c r="Z324" i="18"/>
  <c r="Y324" i="18" s="1"/>
  <c r="W324" i="18"/>
  <c r="M257" i="18"/>
  <c r="K258" i="18" s="1"/>
  <c r="Z251" i="1" l="1"/>
  <c r="AA251" i="1" s="1"/>
  <c r="AU304" i="1"/>
  <c r="AV304" i="1"/>
  <c r="AT305" i="1" s="1"/>
  <c r="AH250" i="1"/>
  <c r="AW304" i="1"/>
  <c r="G258" i="18"/>
  <c r="H258" i="18" s="1"/>
  <c r="AC324" i="18"/>
  <c r="AA325" i="18" s="1"/>
  <c r="AB324" i="18"/>
  <c r="O257" i="18"/>
  <c r="AD324" i="18"/>
  <c r="AC251" i="1" l="1"/>
  <c r="AB251" i="1" s="1"/>
  <c r="AG251" i="1"/>
  <c r="AS305" i="1"/>
  <c r="AR305" i="1" s="1"/>
  <c r="AP305" i="1"/>
  <c r="AQ305" i="1"/>
  <c r="AX304" i="1"/>
  <c r="AE251" i="1"/>
  <c r="AE324" i="18"/>
  <c r="L258" i="18"/>
  <c r="W325" i="18"/>
  <c r="AD325" i="18" s="1"/>
  <c r="Z325" i="18"/>
  <c r="Y325" i="18" s="1"/>
  <c r="X325" i="18"/>
  <c r="N258" i="18"/>
  <c r="J258" i="18"/>
  <c r="I258" i="18" s="1"/>
  <c r="AU305" i="1" l="1"/>
  <c r="AV305" i="1"/>
  <c r="AT306" i="1" s="1"/>
  <c r="AW305" i="1"/>
  <c r="AF251" i="1"/>
  <c r="AD252" i="1" s="1"/>
  <c r="AC325" i="18"/>
  <c r="AA326" i="18" s="1"/>
  <c r="AB325" i="18"/>
  <c r="M258" i="18"/>
  <c r="K259" i="18" s="1"/>
  <c r="AQ306" i="1" l="1"/>
  <c r="AS306" i="1"/>
  <c r="AR306" i="1" s="1"/>
  <c r="AP306" i="1"/>
  <c r="AW306" i="1" s="1"/>
  <c r="AX305" i="1"/>
  <c r="Z252" i="1"/>
  <c r="AG252" i="1" s="1"/>
  <c r="AH251" i="1"/>
  <c r="AE325" i="18"/>
  <c r="O258" i="18"/>
  <c r="G259" i="18"/>
  <c r="N259" i="18" s="1"/>
  <c r="X326" i="18"/>
  <c r="W326" i="18"/>
  <c r="AD326" i="18"/>
  <c r="Z326" i="18"/>
  <c r="Y326" i="18" s="1"/>
  <c r="AE252" i="1" l="1"/>
  <c r="AF252" i="1" s="1"/>
  <c r="AD253" i="1" s="1"/>
  <c r="AC252" i="1"/>
  <c r="AB252" i="1" s="1"/>
  <c r="AA252" i="1"/>
  <c r="AU306" i="1"/>
  <c r="AV306" i="1"/>
  <c r="AT307" i="1" s="1"/>
  <c r="J259" i="18"/>
  <c r="I259" i="18" s="1"/>
  <c r="H259" i="18"/>
  <c r="L259" i="18"/>
  <c r="M259" i="18" s="1"/>
  <c r="K260" i="18" s="1"/>
  <c r="AC326" i="18"/>
  <c r="AA327" i="18" s="1"/>
  <c r="AB326" i="18"/>
  <c r="AX306" i="1" l="1"/>
  <c r="AS307" i="1"/>
  <c r="AR307" i="1" s="1"/>
  <c r="AQ307" i="1"/>
  <c r="AP307" i="1"/>
  <c r="AW307" i="1" s="1"/>
  <c r="AH252" i="1"/>
  <c r="Z253" i="1"/>
  <c r="AG253" i="1" s="1"/>
  <c r="AE326" i="18"/>
  <c r="W327" i="18"/>
  <c r="AD327" i="18"/>
  <c r="Z327" i="18"/>
  <c r="Y327" i="18" s="1"/>
  <c r="X327" i="18"/>
  <c r="G260" i="18"/>
  <c r="N260" i="18" s="1"/>
  <c r="O259" i="18"/>
  <c r="AC253" i="1" l="1"/>
  <c r="AB253" i="1" s="1"/>
  <c r="AA253" i="1"/>
  <c r="AE253" i="1"/>
  <c r="AV307" i="1"/>
  <c r="AT308" i="1" s="1"/>
  <c r="AU307" i="1"/>
  <c r="J260" i="18"/>
  <c r="I260" i="18" s="1"/>
  <c r="L260" i="18"/>
  <c r="H260" i="18"/>
  <c r="AC327" i="18"/>
  <c r="AA328" i="18" s="1"/>
  <c r="AB327" i="18"/>
  <c r="AQ308" i="1" l="1"/>
  <c r="AS308" i="1"/>
  <c r="AR308" i="1" s="1"/>
  <c r="AP308" i="1"/>
  <c r="AW308" i="1" s="1"/>
  <c r="AX307" i="1"/>
  <c r="AF253" i="1"/>
  <c r="AD254" i="1" s="1"/>
  <c r="X328" i="18"/>
  <c r="Z328" i="18"/>
  <c r="Y328" i="18" s="1"/>
  <c r="W328" i="18"/>
  <c r="AE327" i="18"/>
  <c r="M260" i="18"/>
  <c r="K261" i="18" s="1"/>
  <c r="AH253" i="1" l="1"/>
  <c r="Z254" i="1"/>
  <c r="AA254" i="1" s="1"/>
  <c r="AU308" i="1"/>
  <c r="AV308" i="1"/>
  <c r="AT309" i="1" s="1"/>
  <c r="G261" i="18"/>
  <c r="H261" i="18" s="1"/>
  <c r="AC328" i="18"/>
  <c r="AA329" i="18" s="1"/>
  <c r="AB328" i="18"/>
  <c r="O260" i="18"/>
  <c r="AD328" i="18"/>
  <c r="AX308" i="1" l="1"/>
  <c r="AC254" i="1"/>
  <c r="AB254" i="1" s="1"/>
  <c r="AG254" i="1"/>
  <c r="AS309" i="1"/>
  <c r="AR309" i="1" s="1"/>
  <c r="AP309" i="1"/>
  <c r="AQ309" i="1"/>
  <c r="AE254" i="1"/>
  <c r="AF254" i="1" s="1"/>
  <c r="AD255" i="1" s="1"/>
  <c r="J261" i="18"/>
  <c r="I261" i="18" s="1"/>
  <c r="N261" i="18"/>
  <c r="AE328" i="18"/>
  <c r="W329" i="18"/>
  <c r="AD329" i="18" s="1"/>
  <c r="Z329" i="18"/>
  <c r="Y329" i="18" s="1"/>
  <c r="X329" i="18"/>
  <c r="L261" i="18"/>
  <c r="Z255" i="1" l="1"/>
  <c r="AG255" i="1" s="1"/>
  <c r="AV309" i="1"/>
  <c r="AT310" i="1" s="1"/>
  <c r="AU309" i="1"/>
  <c r="AW309" i="1"/>
  <c r="AH254" i="1"/>
  <c r="M261" i="18"/>
  <c r="K262" i="18" s="1"/>
  <c r="AC329" i="18"/>
  <c r="AA330" i="18" s="1"/>
  <c r="AB329" i="18"/>
  <c r="AA255" i="1" l="1"/>
  <c r="AC255" i="1"/>
  <c r="AB255" i="1" s="1"/>
  <c r="AX309" i="1"/>
  <c r="AQ310" i="1"/>
  <c r="AP310" i="1"/>
  <c r="AW310" i="1" s="1"/>
  <c r="AS310" i="1"/>
  <c r="AR310" i="1" s="1"/>
  <c r="AE255" i="1"/>
  <c r="X330" i="18"/>
  <c r="W330" i="18"/>
  <c r="AD330" i="18"/>
  <c r="Z330" i="18"/>
  <c r="Y330" i="18" s="1"/>
  <c r="AE329" i="18"/>
  <c r="G262" i="18"/>
  <c r="N262" i="18" s="1"/>
  <c r="O261" i="18"/>
  <c r="AF255" i="1" l="1"/>
  <c r="AD256" i="1" s="1"/>
  <c r="AU310" i="1"/>
  <c r="AV310" i="1"/>
  <c r="AT311" i="1" s="1"/>
  <c r="J262" i="18"/>
  <c r="I262" i="18" s="1"/>
  <c r="H262" i="18"/>
  <c r="AC330" i="18"/>
  <c r="AA331" i="18" s="1"/>
  <c r="AB330" i="18"/>
  <c r="L262" i="18"/>
  <c r="AS311" i="1" l="1"/>
  <c r="AR311" i="1" s="1"/>
  <c r="AP311" i="1"/>
  <c r="AQ311" i="1"/>
  <c r="AX310" i="1"/>
  <c r="Z256" i="1"/>
  <c r="AG256" i="1" s="1"/>
  <c r="AH255" i="1"/>
  <c r="M262" i="18"/>
  <c r="K263" i="18" s="1"/>
  <c r="AE330" i="18"/>
  <c r="W331" i="18"/>
  <c r="Z331" i="18"/>
  <c r="Y331" i="18" s="1"/>
  <c r="X331" i="18"/>
  <c r="AC256" i="1" l="1"/>
  <c r="AB256" i="1" s="1"/>
  <c r="AA256" i="1"/>
  <c r="AV311" i="1"/>
  <c r="AT312" i="1" s="1"/>
  <c r="AU311" i="1"/>
  <c r="AW311" i="1"/>
  <c r="AE256" i="1"/>
  <c r="AC331" i="18"/>
  <c r="AA332" i="18" s="1"/>
  <c r="AB331" i="18"/>
  <c r="G263" i="18"/>
  <c r="J263" i="18" s="1"/>
  <c r="I263" i="18" s="1"/>
  <c r="AD331" i="18"/>
  <c r="O262" i="18"/>
  <c r="AX311" i="1" l="1"/>
  <c r="AQ312" i="1"/>
  <c r="AS312" i="1"/>
  <c r="AR312" i="1" s="1"/>
  <c r="AP312" i="1"/>
  <c r="AF256" i="1"/>
  <c r="AD257" i="1" s="1"/>
  <c r="N263" i="18"/>
  <c r="H263" i="18"/>
  <c r="L263" i="18"/>
  <c r="M263" i="18" s="1"/>
  <c r="K264" i="18" s="1"/>
  <c r="AE331" i="18"/>
  <c r="X332" i="18"/>
  <c r="Z332" i="18"/>
  <c r="Y332" i="18" s="1"/>
  <c r="W332" i="18"/>
  <c r="AD332" i="18" s="1"/>
  <c r="AH256" i="1" l="1"/>
  <c r="AU312" i="1"/>
  <c r="AV312" i="1"/>
  <c r="AT313" i="1" s="1"/>
  <c r="Z257" i="1"/>
  <c r="AC257" i="1" s="1"/>
  <c r="AB257" i="1" s="1"/>
  <c r="AW312" i="1"/>
  <c r="O263" i="18"/>
  <c r="AC332" i="18"/>
  <c r="AA333" i="18" s="1"/>
  <c r="AB332" i="18"/>
  <c r="G264" i="18"/>
  <c r="N264" i="18" s="1"/>
  <c r="AG257" i="1" l="1"/>
  <c r="AA257" i="1"/>
  <c r="AS313" i="1"/>
  <c r="AR313" i="1" s="1"/>
  <c r="AP313" i="1"/>
  <c r="AQ313" i="1"/>
  <c r="AX312" i="1"/>
  <c r="AE257" i="1"/>
  <c r="J264" i="18"/>
  <c r="I264" i="18" s="1"/>
  <c r="AE332" i="18"/>
  <c r="H264" i="18"/>
  <c r="W333" i="18"/>
  <c r="AD333" i="18" s="1"/>
  <c r="Z333" i="18"/>
  <c r="Y333" i="18" s="1"/>
  <c r="X333" i="18"/>
  <c r="L264" i="18"/>
  <c r="AF257" i="1" l="1"/>
  <c r="AD258" i="1" s="1"/>
  <c r="AU313" i="1"/>
  <c r="AV313" i="1"/>
  <c r="AT314" i="1" s="1"/>
  <c r="AW313" i="1"/>
  <c r="M264" i="18"/>
  <c r="K265" i="18" s="1"/>
  <c r="AC333" i="18"/>
  <c r="AA334" i="18" s="1"/>
  <c r="AB333" i="18"/>
  <c r="Z258" i="1" l="1"/>
  <c r="AA258" i="1" s="1"/>
  <c r="AH257" i="1"/>
  <c r="AQ314" i="1"/>
  <c r="AS314" i="1"/>
  <c r="AR314" i="1" s="1"/>
  <c r="AP314" i="1"/>
  <c r="AW314" i="1" s="1"/>
  <c r="AX313" i="1"/>
  <c r="AE333" i="18"/>
  <c r="X334" i="18"/>
  <c r="W334" i="18"/>
  <c r="AD334" i="18" s="1"/>
  <c r="Z334" i="18"/>
  <c r="Y334" i="18" s="1"/>
  <c r="G265" i="18"/>
  <c r="J265" i="18" s="1"/>
  <c r="I265" i="18" s="1"/>
  <c r="O264" i="18"/>
  <c r="AU314" i="1" l="1"/>
  <c r="AV314" i="1"/>
  <c r="AT315" i="1" s="1"/>
  <c r="AE258" i="1"/>
  <c r="AC258" i="1"/>
  <c r="AB258" i="1" s="1"/>
  <c r="AG258" i="1"/>
  <c r="H265" i="18"/>
  <c r="N265" i="18"/>
  <c r="AC334" i="18"/>
  <c r="AA335" i="18" s="1"/>
  <c r="AB334" i="18"/>
  <c r="L265" i="18"/>
  <c r="M265" i="18" s="1"/>
  <c r="K266" i="18" s="1"/>
  <c r="AF258" i="1" l="1"/>
  <c r="AD259" i="1" s="1"/>
  <c r="AS315" i="1"/>
  <c r="AR315" i="1" s="1"/>
  <c r="AQ315" i="1"/>
  <c r="AP315" i="1"/>
  <c r="AW315" i="1" s="1"/>
  <c r="AX314" i="1"/>
  <c r="G266" i="18"/>
  <c r="O265" i="18"/>
  <c r="AE334" i="18"/>
  <c r="W335" i="18"/>
  <c r="Z335" i="18"/>
  <c r="Y335" i="18" s="1"/>
  <c r="X335" i="18"/>
  <c r="AV315" i="1" l="1"/>
  <c r="AT316" i="1" s="1"/>
  <c r="AU315" i="1"/>
  <c r="Z259" i="1"/>
  <c r="AG259" i="1" s="1"/>
  <c r="AH258" i="1"/>
  <c r="AC335" i="18"/>
  <c r="AA336" i="18" s="1"/>
  <c r="AB335" i="18"/>
  <c r="L266" i="18"/>
  <c r="H266" i="18"/>
  <c r="N266" i="18"/>
  <c r="AD335" i="18"/>
  <c r="J266" i="18"/>
  <c r="I266" i="18" s="1"/>
  <c r="AA259" i="1" l="1"/>
  <c r="AX315" i="1"/>
  <c r="AC259" i="1"/>
  <c r="AB259" i="1" s="1"/>
  <c r="AE259" i="1"/>
  <c r="AF259" i="1" s="1"/>
  <c r="AD260" i="1" s="1"/>
  <c r="AQ316" i="1"/>
  <c r="AS316" i="1"/>
  <c r="AR316" i="1" s="1"/>
  <c r="AP316" i="1"/>
  <c r="AW316" i="1" s="1"/>
  <c r="M266" i="18"/>
  <c r="K267" i="18" s="1"/>
  <c r="AE335" i="18"/>
  <c r="X336" i="18"/>
  <c r="Z336" i="18"/>
  <c r="Y336" i="18" s="1"/>
  <c r="W336" i="18"/>
  <c r="AD336" i="18" s="1"/>
  <c r="Z260" i="1" l="1"/>
  <c r="AC260" i="1" s="1"/>
  <c r="AB260" i="1" s="1"/>
  <c r="AU316" i="1"/>
  <c r="AV316" i="1"/>
  <c r="AT317" i="1" s="1"/>
  <c r="AH259" i="1"/>
  <c r="G267" i="18"/>
  <c r="J267" i="18" s="1"/>
  <c r="I267" i="18" s="1"/>
  <c r="AC336" i="18"/>
  <c r="AA337" i="18" s="1"/>
  <c r="AB336" i="18"/>
  <c r="O266" i="18"/>
  <c r="AX316" i="1" l="1"/>
  <c r="AE260" i="1"/>
  <c r="AF260" i="1" s="1"/>
  <c r="AD261" i="1" s="1"/>
  <c r="AS317" i="1"/>
  <c r="AR317" i="1" s="1"/>
  <c r="AP317" i="1"/>
  <c r="AQ317" i="1"/>
  <c r="AA260" i="1"/>
  <c r="AG260" i="1"/>
  <c r="H267" i="18"/>
  <c r="N267" i="18"/>
  <c r="AE336" i="18"/>
  <c r="W337" i="18"/>
  <c r="AD337" i="18" s="1"/>
  <c r="Z337" i="18"/>
  <c r="Y337" i="18" s="1"/>
  <c r="X337" i="18"/>
  <c r="L267" i="18"/>
  <c r="M267" i="18" s="1"/>
  <c r="K268" i="18" s="1"/>
  <c r="AU317" i="1" l="1"/>
  <c r="AV317" i="1"/>
  <c r="AT318" i="1" s="1"/>
  <c r="AW317" i="1"/>
  <c r="AH260" i="1"/>
  <c r="Z261" i="1"/>
  <c r="AC261" i="1" s="1"/>
  <c r="AB261" i="1" s="1"/>
  <c r="G268" i="18"/>
  <c r="N268" i="18" s="1"/>
  <c r="O267" i="18"/>
  <c r="AB337" i="18"/>
  <c r="AC337" i="18"/>
  <c r="AA338" i="18" s="1"/>
  <c r="AA261" i="1" l="1"/>
  <c r="AQ318" i="1"/>
  <c r="AS318" i="1"/>
  <c r="AR318" i="1" s="1"/>
  <c r="AP318" i="1"/>
  <c r="AW318" i="1" s="1"/>
  <c r="AE261" i="1"/>
  <c r="AF261" i="1" s="1"/>
  <c r="AD262" i="1" s="1"/>
  <c r="AX317" i="1"/>
  <c r="AG261" i="1"/>
  <c r="J268" i="18"/>
  <c r="I268" i="18" s="1"/>
  <c r="H268" i="18"/>
  <c r="X338" i="18"/>
  <c r="W338" i="18"/>
  <c r="AD338" i="18" s="1"/>
  <c r="Z338" i="18"/>
  <c r="Y338" i="18" s="1"/>
  <c r="AE337" i="18"/>
  <c r="L268" i="18"/>
  <c r="M268" i="18" s="1"/>
  <c r="K269" i="18" s="1"/>
  <c r="Z262" i="1" l="1"/>
  <c r="AA262" i="1" s="1"/>
  <c r="AH261" i="1"/>
  <c r="AU318" i="1"/>
  <c r="AV318" i="1"/>
  <c r="AT319" i="1" s="1"/>
  <c r="G269" i="18"/>
  <c r="N269" i="18" s="1"/>
  <c r="AC338" i="18"/>
  <c r="AA339" i="18" s="1"/>
  <c r="AB338" i="18"/>
  <c r="O268" i="18"/>
  <c r="AS319" i="1" l="1"/>
  <c r="AR319" i="1" s="1"/>
  <c r="AQ319" i="1"/>
  <c r="AP319" i="1"/>
  <c r="AW319" i="1" s="1"/>
  <c r="AE262" i="1"/>
  <c r="AX318" i="1"/>
  <c r="AC262" i="1"/>
  <c r="AB262" i="1" s="1"/>
  <c r="AG262" i="1"/>
  <c r="H269" i="18"/>
  <c r="J269" i="18"/>
  <c r="I269" i="18" s="1"/>
  <c r="AE338" i="18"/>
  <c r="W339" i="18"/>
  <c r="AD339" i="18" s="1"/>
  <c r="Z339" i="18"/>
  <c r="Y339" i="18" s="1"/>
  <c r="X339" i="18"/>
  <c r="L269" i="18"/>
  <c r="AF262" i="1" l="1"/>
  <c r="AD263" i="1" s="1"/>
  <c r="AV319" i="1"/>
  <c r="AT320" i="1" s="1"/>
  <c r="AU319" i="1"/>
  <c r="M269" i="18"/>
  <c r="K270" i="18" s="1"/>
  <c r="AC339" i="18"/>
  <c r="AA340" i="18" s="1"/>
  <c r="AB339" i="18"/>
  <c r="AX319" i="1" l="1"/>
  <c r="Z263" i="1"/>
  <c r="AG263" i="1" s="1"/>
  <c r="AQ320" i="1"/>
  <c r="AP320" i="1"/>
  <c r="AS320" i="1"/>
  <c r="AR320" i="1" s="1"/>
  <c r="AH262" i="1"/>
  <c r="X340" i="18"/>
  <c r="Z340" i="18"/>
  <c r="Y340" i="18" s="1"/>
  <c r="W340" i="18"/>
  <c r="AD340" i="18" s="1"/>
  <c r="AE339" i="18"/>
  <c r="G270" i="18"/>
  <c r="J270" i="18" s="1"/>
  <c r="I270" i="18" s="1"/>
  <c r="O269" i="18"/>
  <c r="AC263" i="1" l="1"/>
  <c r="AB263" i="1" s="1"/>
  <c r="AA263" i="1"/>
  <c r="AU320" i="1"/>
  <c r="AV320" i="1"/>
  <c r="AT321" i="1" s="1"/>
  <c r="AW320" i="1"/>
  <c r="AE263" i="1"/>
  <c r="H270" i="18"/>
  <c r="L270" i="18"/>
  <c r="M270" i="18" s="1"/>
  <c r="K271" i="18" s="1"/>
  <c r="N270" i="18"/>
  <c r="AC340" i="18"/>
  <c r="AA341" i="18" s="1"/>
  <c r="AB340" i="18"/>
  <c r="AS321" i="1" l="1"/>
  <c r="AR321" i="1" s="1"/>
  <c r="AP321" i="1"/>
  <c r="AW321" i="1" s="1"/>
  <c r="AQ321" i="1"/>
  <c r="AF263" i="1"/>
  <c r="AD264" i="1" s="1"/>
  <c r="AX320" i="1"/>
  <c r="W341" i="18"/>
  <c r="AD341" i="18" s="1"/>
  <c r="Z341" i="18"/>
  <c r="Y341" i="18" s="1"/>
  <c r="X341" i="18"/>
  <c r="O270" i="18"/>
  <c r="AE340" i="18"/>
  <c r="G271" i="18"/>
  <c r="J271" i="18" s="1"/>
  <c r="I271" i="18" s="1"/>
  <c r="Z264" i="1" l="1"/>
  <c r="AC264" i="1" s="1"/>
  <c r="AB264" i="1" s="1"/>
  <c r="AH263" i="1"/>
  <c r="AU321" i="1"/>
  <c r="AV321" i="1"/>
  <c r="AT322" i="1" s="1"/>
  <c r="L271" i="18"/>
  <c r="H271" i="18"/>
  <c r="N271" i="18"/>
  <c r="AC341" i="18"/>
  <c r="AA342" i="18" s="1"/>
  <c r="AB341" i="18"/>
  <c r="AA264" i="1" l="1"/>
  <c r="AX321" i="1"/>
  <c r="AE264" i="1"/>
  <c r="AF264" i="1" s="1"/>
  <c r="AD265" i="1" s="1"/>
  <c r="AQ322" i="1"/>
  <c r="AP322" i="1"/>
  <c r="AW322" i="1" s="1"/>
  <c r="AS322" i="1"/>
  <c r="AR322" i="1" s="1"/>
  <c r="AG264" i="1"/>
  <c r="AE341" i="18"/>
  <c r="X342" i="18"/>
  <c r="W342" i="18"/>
  <c r="Z342" i="18"/>
  <c r="Y342" i="18" s="1"/>
  <c r="M271" i="18"/>
  <c r="K272" i="18" s="1"/>
  <c r="Z265" i="1" l="1"/>
  <c r="AA265" i="1" s="1"/>
  <c r="AH264" i="1"/>
  <c r="AU322" i="1"/>
  <c r="AV322" i="1"/>
  <c r="AT323" i="1" s="1"/>
  <c r="AC342" i="18"/>
  <c r="AA343" i="18" s="1"/>
  <c r="AB342" i="18"/>
  <c r="G272" i="18"/>
  <c r="H272" i="18" s="1"/>
  <c r="AD342" i="18"/>
  <c r="O271" i="18"/>
  <c r="AC265" i="1" l="1"/>
  <c r="AB265" i="1" s="1"/>
  <c r="AG265" i="1"/>
  <c r="AS323" i="1"/>
  <c r="AR323" i="1" s="1"/>
  <c r="AP323" i="1"/>
  <c r="AQ323" i="1"/>
  <c r="AX322" i="1"/>
  <c r="AE265" i="1"/>
  <c r="AF265" i="1" s="1"/>
  <c r="AD266" i="1" s="1"/>
  <c r="J272" i="18"/>
  <c r="I272" i="18" s="1"/>
  <c r="L272" i="18"/>
  <c r="M272" i="18" s="1"/>
  <c r="K273" i="18" s="1"/>
  <c r="N272" i="18"/>
  <c r="W343" i="18"/>
  <c r="Z343" i="18"/>
  <c r="Y343" i="18" s="1"/>
  <c r="X343" i="18"/>
  <c r="AE342" i="18"/>
  <c r="Z266" i="1" l="1"/>
  <c r="AC266" i="1" s="1"/>
  <c r="AB266" i="1" s="1"/>
  <c r="AH265" i="1"/>
  <c r="AU323" i="1"/>
  <c r="AV323" i="1"/>
  <c r="AT324" i="1" s="1"/>
  <c r="AW323" i="1"/>
  <c r="O272" i="18"/>
  <c r="AC343" i="18"/>
  <c r="AA344" i="18" s="1"/>
  <c r="AB343" i="18"/>
  <c r="AD343" i="18"/>
  <c r="G273" i="18"/>
  <c r="J273" i="18" s="1"/>
  <c r="I273" i="18" s="1"/>
  <c r="AA266" i="1" l="1"/>
  <c r="AQ324" i="1"/>
  <c r="AS324" i="1"/>
  <c r="AR324" i="1" s="1"/>
  <c r="AP324" i="1"/>
  <c r="AW324" i="1" s="1"/>
  <c r="AE266" i="1"/>
  <c r="AF266" i="1" s="1"/>
  <c r="AD267" i="1" s="1"/>
  <c r="AX323" i="1"/>
  <c r="AG266" i="1"/>
  <c r="H273" i="18"/>
  <c r="N273" i="18"/>
  <c r="AE343" i="18"/>
  <c r="X344" i="18"/>
  <c r="Z344" i="18"/>
  <c r="Y344" i="18" s="1"/>
  <c r="W344" i="18"/>
  <c r="AD344" i="18"/>
  <c r="L273" i="18"/>
  <c r="AU324" i="1" l="1"/>
  <c r="AV324" i="1"/>
  <c r="AT325" i="1" s="1"/>
  <c r="Z267" i="1"/>
  <c r="AA267" i="1" s="1"/>
  <c r="AH266" i="1"/>
  <c r="AC344" i="18"/>
  <c r="AA345" i="18" s="1"/>
  <c r="AB344" i="18"/>
  <c r="M273" i="18"/>
  <c r="K274" i="18" s="1"/>
  <c r="AC267" i="1" l="1"/>
  <c r="AB267" i="1" s="1"/>
  <c r="AG267" i="1"/>
  <c r="AE267" i="1"/>
  <c r="AF267" i="1" s="1"/>
  <c r="AD268" i="1" s="1"/>
  <c r="AS325" i="1"/>
  <c r="AR325" i="1" s="1"/>
  <c r="AP325" i="1"/>
  <c r="AW325" i="1" s="1"/>
  <c r="AQ325" i="1"/>
  <c r="AX324" i="1"/>
  <c r="AE344" i="18"/>
  <c r="W345" i="18"/>
  <c r="AD345" i="18" s="1"/>
  <c r="Z345" i="18"/>
  <c r="Y345" i="18" s="1"/>
  <c r="X345" i="18"/>
  <c r="G274" i="18"/>
  <c r="H274" i="18" s="1"/>
  <c r="O273" i="18"/>
  <c r="Z268" i="1" l="1"/>
  <c r="AG268" i="1" s="1"/>
  <c r="AU325" i="1"/>
  <c r="AV325" i="1"/>
  <c r="AT326" i="1" s="1"/>
  <c r="AH267" i="1"/>
  <c r="J274" i="18"/>
  <c r="I274" i="18" s="1"/>
  <c r="N274" i="18"/>
  <c r="L274" i="18"/>
  <c r="AC345" i="18"/>
  <c r="AA346" i="18" s="1"/>
  <c r="AB345" i="18"/>
  <c r="AC268" i="1" l="1"/>
  <c r="AB268" i="1" s="1"/>
  <c r="AX325" i="1"/>
  <c r="AA268" i="1"/>
  <c r="AQ326" i="1"/>
  <c r="AS326" i="1"/>
  <c r="AR326" i="1" s="1"/>
  <c r="AP326" i="1"/>
  <c r="AW326" i="1" s="1"/>
  <c r="AE268" i="1"/>
  <c r="AF268" i="1" s="1"/>
  <c r="AD269" i="1" s="1"/>
  <c r="AE345" i="18"/>
  <c r="X346" i="18"/>
  <c r="W346" i="18"/>
  <c r="AD346" i="18" s="1"/>
  <c r="Z346" i="18"/>
  <c r="Y346" i="18" s="1"/>
  <c r="M274" i="18"/>
  <c r="K275" i="18" s="1"/>
  <c r="Z269" i="1" l="1"/>
  <c r="AG269" i="1" s="1"/>
  <c r="AH268" i="1"/>
  <c r="AU326" i="1"/>
  <c r="AV326" i="1"/>
  <c r="AT327" i="1" s="1"/>
  <c r="G275" i="18"/>
  <c r="J275" i="18" s="1"/>
  <c r="I275" i="18" s="1"/>
  <c r="AC346" i="18"/>
  <c r="AA347" i="18" s="1"/>
  <c r="AB346" i="18"/>
  <c r="O274" i="18"/>
  <c r="AA269" i="1" l="1"/>
  <c r="AX326" i="1"/>
  <c r="AE269" i="1"/>
  <c r="AS327" i="1"/>
  <c r="AR327" i="1" s="1"/>
  <c r="AQ327" i="1"/>
  <c r="AP327" i="1"/>
  <c r="AC269" i="1"/>
  <c r="AB269" i="1" s="1"/>
  <c r="AE346" i="18"/>
  <c r="N275" i="18"/>
  <c r="H275" i="18"/>
  <c r="W347" i="18"/>
  <c r="AD347" i="18" s="1"/>
  <c r="Z347" i="18"/>
  <c r="Y347" i="18" s="1"/>
  <c r="X347" i="18"/>
  <c r="L275" i="18"/>
  <c r="M275" i="18" s="1"/>
  <c r="K276" i="18" s="1"/>
  <c r="AV327" i="1" l="1"/>
  <c r="AT328" i="1" s="1"/>
  <c r="AU327" i="1"/>
  <c r="AF269" i="1"/>
  <c r="AD270" i="1" s="1"/>
  <c r="AW327" i="1"/>
  <c r="O275" i="18"/>
  <c r="G276" i="18"/>
  <c r="J276" i="18" s="1"/>
  <c r="I276" i="18" s="1"/>
  <c r="AC347" i="18"/>
  <c r="AA348" i="18" s="1"/>
  <c r="AB347" i="18"/>
  <c r="AX327" i="1" l="1"/>
  <c r="AH269" i="1"/>
  <c r="AQ328" i="1"/>
  <c r="AP328" i="1"/>
  <c r="AS328" i="1"/>
  <c r="AR328" i="1" s="1"/>
  <c r="Z270" i="1"/>
  <c r="AC270" i="1" s="1"/>
  <c r="AB270" i="1" s="1"/>
  <c r="AE347" i="18"/>
  <c r="H276" i="18"/>
  <c r="N276" i="18"/>
  <c r="X348" i="18"/>
  <c r="Z348" i="18"/>
  <c r="Y348" i="18" s="1"/>
  <c r="W348" i="18"/>
  <c r="AD348" i="18" s="1"/>
  <c r="L276" i="18"/>
  <c r="M276" i="18" s="1"/>
  <c r="K277" i="18" s="1"/>
  <c r="AA270" i="1" l="1"/>
  <c r="AG270" i="1"/>
  <c r="AU328" i="1"/>
  <c r="AV328" i="1"/>
  <c r="AT329" i="1" s="1"/>
  <c r="AW328" i="1"/>
  <c r="AE270" i="1"/>
  <c r="O276" i="18"/>
  <c r="G277" i="18"/>
  <c r="H277" i="18" s="1"/>
  <c r="AC348" i="18"/>
  <c r="AA349" i="18" s="1"/>
  <c r="AB348" i="18"/>
  <c r="AS329" i="1" l="1"/>
  <c r="AR329" i="1" s="1"/>
  <c r="AP329" i="1"/>
  <c r="AQ329" i="1"/>
  <c r="AX328" i="1"/>
  <c r="AF270" i="1"/>
  <c r="AD271" i="1" s="1"/>
  <c r="J277" i="18"/>
  <c r="I277" i="18" s="1"/>
  <c r="AE348" i="18"/>
  <c r="W349" i="18"/>
  <c r="AD349" i="18" s="1"/>
  <c r="Z349" i="18"/>
  <c r="Y349" i="18" s="1"/>
  <c r="X349" i="18"/>
  <c r="L277" i="18"/>
  <c r="N277" i="18"/>
  <c r="AH270" i="1" l="1"/>
  <c r="AU329" i="1"/>
  <c r="AV329" i="1"/>
  <c r="AT330" i="1" s="1"/>
  <c r="AW329" i="1"/>
  <c r="Z271" i="1"/>
  <c r="AC271" i="1" s="1"/>
  <c r="AB271" i="1" s="1"/>
  <c r="M277" i="18"/>
  <c r="K278" i="18" s="1"/>
  <c r="AC349" i="18"/>
  <c r="AA350" i="18" s="1"/>
  <c r="AB349" i="18"/>
  <c r="AE271" i="1" l="1"/>
  <c r="AF271" i="1" s="1"/>
  <c r="AD272" i="1" s="1"/>
  <c r="AA271" i="1"/>
  <c r="AQ330" i="1"/>
  <c r="AP330" i="1"/>
  <c r="AW330" i="1" s="1"/>
  <c r="AS330" i="1"/>
  <c r="AR330" i="1" s="1"/>
  <c r="AG271" i="1"/>
  <c r="AX329" i="1"/>
  <c r="G278" i="18"/>
  <c r="H278" i="18" s="1"/>
  <c r="O277" i="18"/>
  <c r="AE349" i="18"/>
  <c r="X350" i="18"/>
  <c r="W350" i="18"/>
  <c r="AD350" i="18" s="1"/>
  <c r="Z350" i="18"/>
  <c r="Y350" i="18" s="1"/>
  <c r="Z272" i="1" l="1"/>
  <c r="AA272" i="1" s="1"/>
  <c r="AU330" i="1"/>
  <c r="AV330" i="1"/>
  <c r="AT331" i="1" s="1"/>
  <c r="AH271" i="1"/>
  <c r="N278" i="18"/>
  <c r="L278" i="18"/>
  <c r="AC350" i="18"/>
  <c r="AA351" i="18" s="1"/>
  <c r="AB350" i="18"/>
  <c r="J278" i="18"/>
  <c r="I278" i="18" s="1"/>
  <c r="AX330" i="1" l="1"/>
  <c r="AC272" i="1"/>
  <c r="AB272" i="1" s="1"/>
  <c r="AE272" i="1"/>
  <c r="AF272" i="1" s="1"/>
  <c r="AD273" i="1" s="1"/>
  <c r="AS331" i="1"/>
  <c r="AR331" i="1" s="1"/>
  <c r="AP331" i="1"/>
  <c r="AQ331" i="1"/>
  <c r="AG272" i="1"/>
  <c r="M278" i="18"/>
  <c r="K279" i="18" s="1"/>
  <c r="AE350" i="18"/>
  <c r="W351" i="18"/>
  <c r="AD351" i="18"/>
  <c r="Z351" i="18"/>
  <c r="Y351" i="18" s="1"/>
  <c r="X351" i="18"/>
  <c r="AU331" i="1" l="1"/>
  <c r="AV331" i="1"/>
  <c r="AT332" i="1" s="1"/>
  <c r="Z273" i="1"/>
  <c r="AA273" i="1" s="1"/>
  <c r="AW331" i="1"/>
  <c r="AH272" i="1"/>
  <c r="O278" i="18"/>
  <c r="AC351" i="18"/>
  <c r="AA352" i="18" s="1"/>
  <c r="AB351" i="18"/>
  <c r="G279" i="18"/>
  <c r="J279" i="18" s="1"/>
  <c r="I279" i="18" s="1"/>
  <c r="AC273" i="1" l="1"/>
  <c r="AB273" i="1" s="1"/>
  <c r="AG273" i="1"/>
  <c r="AQ332" i="1"/>
  <c r="AS332" i="1"/>
  <c r="AR332" i="1" s="1"/>
  <c r="AP332" i="1"/>
  <c r="AE273" i="1"/>
  <c r="AF273" i="1" s="1"/>
  <c r="AD274" i="1" s="1"/>
  <c r="AX331" i="1"/>
  <c r="H279" i="18"/>
  <c r="N279" i="18"/>
  <c r="X352" i="18"/>
  <c r="Z352" i="18"/>
  <c r="Y352" i="18" s="1"/>
  <c r="W352" i="18"/>
  <c r="AD352" i="18" s="1"/>
  <c r="L279" i="18"/>
  <c r="AE351" i="18"/>
  <c r="Z274" i="1" l="1"/>
  <c r="AA274" i="1" s="1"/>
  <c r="AU332" i="1"/>
  <c r="AV332" i="1"/>
  <c r="AT333" i="1" s="1"/>
  <c r="AH273" i="1"/>
  <c r="AW332" i="1"/>
  <c r="AC352" i="18"/>
  <c r="AA353" i="18" s="1"/>
  <c r="AB352" i="18"/>
  <c r="M279" i="18"/>
  <c r="K280" i="18" s="1"/>
  <c r="AX332" i="1" l="1"/>
  <c r="AE274" i="1"/>
  <c r="AS333" i="1"/>
  <c r="AR333" i="1" s="1"/>
  <c r="AP333" i="1"/>
  <c r="AW333" i="1" s="1"/>
  <c r="AQ333" i="1"/>
  <c r="AG274" i="1"/>
  <c r="AC274" i="1"/>
  <c r="AB274" i="1" s="1"/>
  <c r="O279" i="18"/>
  <c r="AE352" i="18"/>
  <c r="G280" i="18"/>
  <c r="W353" i="18"/>
  <c r="Z353" i="18"/>
  <c r="Y353" i="18" s="1"/>
  <c r="X353" i="18"/>
  <c r="AU333" i="1" l="1"/>
  <c r="AV333" i="1"/>
  <c r="AT334" i="1" s="1"/>
  <c r="AF274" i="1"/>
  <c r="AD275" i="1" s="1"/>
  <c r="AC353" i="18"/>
  <c r="AA354" i="18" s="1"/>
  <c r="AB353" i="18"/>
  <c r="L280" i="18"/>
  <c r="M280" i="18" s="1"/>
  <c r="K281" i="18" s="1"/>
  <c r="H280" i="18"/>
  <c r="J280" i="18"/>
  <c r="I280" i="18" s="1"/>
  <c r="AD353" i="18"/>
  <c r="N280" i="18"/>
  <c r="AX333" i="1" l="1"/>
  <c r="Z275" i="1"/>
  <c r="AG275" i="1" s="1"/>
  <c r="AQ334" i="1"/>
  <c r="AS334" i="1"/>
  <c r="AR334" i="1" s="1"/>
  <c r="AP334" i="1"/>
  <c r="AW334" i="1" s="1"/>
  <c r="AH274" i="1"/>
  <c r="AE353" i="18"/>
  <c r="X354" i="18"/>
  <c r="W354" i="18"/>
  <c r="AD354" i="18" s="1"/>
  <c r="Z354" i="18"/>
  <c r="Y354" i="18" s="1"/>
  <c r="O280" i="18"/>
  <c r="G281" i="18"/>
  <c r="N281" i="18" s="1"/>
  <c r="AA275" i="1" l="1"/>
  <c r="AC275" i="1"/>
  <c r="AB275" i="1" s="1"/>
  <c r="AU334" i="1"/>
  <c r="AV334" i="1"/>
  <c r="AT335" i="1" s="1"/>
  <c r="AE275" i="1"/>
  <c r="AF275" i="1" s="1"/>
  <c r="AD276" i="1" s="1"/>
  <c r="J281" i="18"/>
  <c r="I281" i="18" s="1"/>
  <c r="H281" i="18"/>
  <c r="L281" i="18"/>
  <c r="M281" i="18" s="1"/>
  <c r="K282" i="18" s="1"/>
  <c r="AC354" i="18"/>
  <c r="AA355" i="18" s="1"/>
  <c r="AB354" i="18"/>
  <c r="Z276" i="1" l="1"/>
  <c r="AC276" i="1" s="1"/>
  <c r="AB276" i="1" s="1"/>
  <c r="AH275" i="1"/>
  <c r="AS335" i="1"/>
  <c r="AR335" i="1" s="1"/>
  <c r="AQ335" i="1"/>
  <c r="AP335" i="1"/>
  <c r="AW335" i="1" s="1"/>
  <c r="AX334" i="1"/>
  <c r="AE354" i="18"/>
  <c r="G282" i="18"/>
  <c r="H282" i="18" s="1"/>
  <c r="W355" i="18"/>
  <c r="AD355" i="18" s="1"/>
  <c r="Z355" i="18"/>
  <c r="Y355" i="18" s="1"/>
  <c r="X355" i="18"/>
  <c r="O281" i="18"/>
  <c r="AA276" i="1" l="1"/>
  <c r="AG276" i="1"/>
  <c r="AV335" i="1"/>
  <c r="AT336" i="1" s="1"/>
  <c r="AU335" i="1"/>
  <c r="AE276" i="1"/>
  <c r="J282" i="18"/>
  <c r="I282" i="18" s="1"/>
  <c r="L282" i="18"/>
  <c r="AC355" i="18"/>
  <c r="AA356" i="18" s="1"/>
  <c r="AB355" i="18"/>
  <c r="N282" i="18"/>
  <c r="AX335" i="1" l="1"/>
  <c r="AQ336" i="1"/>
  <c r="AP336" i="1"/>
  <c r="AS336" i="1"/>
  <c r="AR336" i="1" s="1"/>
  <c r="AF276" i="1"/>
  <c r="AD277" i="1" s="1"/>
  <c r="AE355" i="18"/>
  <c r="X356" i="18"/>
  <c r="Z356" i="18"/>
  <c r="Y356" i="18" s="1"/>
  <c r="W356" i="18"/>
  <c r="AD356" i="18" s="1"/>
  <c r="M282" i="18"/>
  <c r="K283" i="18" s="1"/>
  <c r="Z277" i="1" l="1"/>
  <c r="AG277" i="1" s="1"/>
  <c r="AH276" i="1"/>
  <c r="AU336" i="1"/>
  <c r="AV336" i="1"/>
  <c r="AT337" i="1" s="1"/>
  <c r="AW336" i="1"/>
  <c r="AC356" i="18"/>
  <c r="AA357" i="18" s="1"/>
  <c r="AB356" i="18"/>
  <c r="G283" i="18"/>
  <c r="N283" i="18" s="1"/>
  <c r="O282" i="18"/>
  <c r="AA277" i="1" l="1"/>
  <c r="AX336" i="1"/>
  <c r="AE277" i="1"/>
  <c r="AS337" i="1"/>
  <c r="AR337" i="1" s="1"/>
  <c r="AP337" i="1"/>
  <c r="AQ337" i="1"/>
  <c r="AC277" i="1"/>
  <c r="AB277" i="1" s="1"/>
  <c r="J283" i="18"/>
  <c r="I283" i="18" s="1"/>
  <c r="H283" i="18"/>
  <c r="L283" i="18"/>
  <c r="M283" i="18" s="1"/>
  <c r="K284" i="18" s="1"/>
  <c r="AE356" i="18"/>
  <c r="W357" i="18"/>
  <c r="Z357" i="18"/>
  <c r="Y357" i="18" s="1"/>
  <c r="X357" i="18"/>
  <c r="AU337" i="1" l="1"/>
  <c r="AV337" i="1"/>
  <c r="AT338" i="1" s="1"/>
  <c r="AF277" i="1"/>
  <c r="AD278" i="1" s="1"/>
  <c r="AW337" i="1"/>
  <c r="G284" i="18"/>
  <c r="J284" i="18" s="1"/>
  <c r="I284" i="18" s="1"/>
  <c r="AC357" i="18"/>
  <c r="AA358" i="18" s="1"/>
  <c r="AB357" i="18"/>
  <c r="AD357" i="18"/>
  <c r="O283" i="18"/>
  <c r="Z278" i="1" l="1"/>
  <c r="AG278" i="1" s="1"/>
  <c r="AQ338" i="1"/>
  <c r="AP338" i="1"/>
  <c r="AW338" i="1" s="1"/>
  <c r="AS338" i="1"/>
  <c r="AR338" i="1" s="1"/>
  <c r="AX337" i="1"/>
  <c r="AH277" i="1"/>
  <c r="H284" i="18"/>
  <c r="N284" i="18"/>
  <c r="AE357" i="18"/>
  <c r="X358" i="18"/>
  <c r="W358" i="18"/>
  <c r="Z358" i="18"/>
  <c r="Y358" i="18" s="1"/>
  <c r="L284" i="18"/>
  <c r="AC278" i="1" l="1"/>
  <c r="AB278" i="1" s="1"/>
  <c r="AA278" i="1"/>
  <c r="AU338" i="1"/>
  <c r="AV338" i="1"/>
  <c r="AT339" i="1" s="1"/>
  <c r="AE278" i="1"/>
  <c r="M284" i="18"/>
  <c r="K285" i="18" s="1"/>
  <c r="AC358" i="18"/>
  <c r="AA359" i="18" s="1"/>
  <c r="AB358" i="18"/>
  <c r="AD358" i="18"/>
  <c r="AX338" i="1" l="1"/>
  <c r="AF278" i="1"/>
  <c r="AD279" i="1" s="1"/>
  <c r="AS339" i="1"/>
  <c r="AR339" i="1" s="1"/>
  <c r="AP339" i="1"/>
  <c r="AW339" i="1" s="1"/>
  <c r="AQ339" i="1"/>
  <c r="AE358" i="18"/>
  <c r="W359" i="18"/>
  <c r="AD359" i="18" s="1"/>
  <c r="Z359" i="18"/>
  <c r="Y359" i="18" s="1"/>
  <c r="X359" i="18"/>
  <c r="G285" i="18"/>
  <c r="H285" i="18" s="1"/>
  <c r="O284" i="18"/>
  <c r="Z279" i="1" l="1"/>
  <c r="AG279" i="1" s="1"/>
  <c r="AU339" i="1"/>
  <c r="AV339" i="1"/>
  <c r="AT340" i="1" s="1"/>
  <c r="AH278" i="1"/>
  <c r="J285" i="18"/>
  <c r="I285" i="18" s="1"/>
  <c r="N285" i="18"/>
  <c r="L285" i="18"/>
  <c r="AC359" i="18"/>
  <c r="AA360" i="18" s="1"/>
  <c r="AB359" i="18"/>
  <c r="AC279" i="1" l="1"/>
  <c r="AB279" i="1" s="1"/>
  <c r="AA279" i="1"/>
  <c r="AQ340" i="1"/>
  <c r="AS340" i="1"/>
  <c r="AR340" i="1" s="1"/>
  <c r="AP340" i="1"/>
  <c r="AW340" i="1" s="1"/>
  <c r="AX339" i="1"/>
  <c r="AE279" i="1"/>
  <c r="AE359" i="18"/>
  <c r="X360" i="18"/>
  <c r="Z360" i="18"/>
  <c r="Y360" i="18" s="1"/>
  <c r="W360" i="18"/>
  <c r="AD360" i="18" s="1"/>
  <c r="M285" i="18"/>
  <c r="K286" i="18" s="1"/>
  <c r="AF279" i="1" l="1"/>
  <c r="AD280" i="1" s="1"/>
  <c r="AU340" i="1"/>
  <c r="AV340" i="1"/>
  <c r="AT341" i="1" s="1"/>
  <c r="G286" i="18"/>
  <c r="N286" i="18" s="1"/>
  <c r="O285" i="18"/>
  <c r="AC360" i="18"/>
  <c r="AA361" i="18" s="1"/>
  <c r="AB360" i="18"/>
  <c r="AX340" i="1" l="1"/>
  <c r="Z280" i="1"/>
  <c r="AH279" i="1"/>
  <c r="AS341" i="1"/>
  <c r="AR341" i="1" s="1"/>
  <c r="AP341" i="1"/>
  <c r="AQ341" i="1"/>
  <c r="J286" i="18"/>
  <c r="I286" i="18" s="1"/>
  <c r="AE360" i="18"/>
  <c r="H286" i="18"/>
  <c r="W361" i="18"/>
  <c r="AD361" i="18" s="1"/>
  <c r="Z361" i="18"/>
  <c r="Y361" i="18" s="1"/>
  <c r="X361" i="18"/>
  <c r="L286" i="18"/>
  <c r="M286" i="18" s="1"/>
  <c r="K287" i="18" s="1"/>
  <c r="AE280" i="1" l="1"/>
  <c r="AU341" i="1"/>
  <c r="AV341" i="1"/>
  <c r="AT342" i="1" s="1"/>
  <c r="AC280" i="1"/>
  <c r="AB280" i="1" s="1"/>
  <c r="AW341" i="1"/>
  <c r="AA280" i="1"/>
  <c r="AG280" i="1"/>
  <c r="G287" i="18"/>
  <c r="N287" i="18" s="1"/>
  <c r="O286" i="18"/>
  <c r="AC361" i="18"/>
  <c r="AA362" i="18" s="1"/>
  <c r="AB361" i="18"/>
  <c r="AQ342" i="1" l="1"/>
  <c r="AS342" i="1"/>
  <c r="AR342" i="1" s="1"/>
  <c r="AP342" i="1"/>
  <c r="AW342" i="1" s="1"/>
  <c r="AX341" i="1"/>
  <c r="AF280" i="1"/>
  <c r="AD281" i="1" s="1"/>
  <c r="J287" i="18"/>
  <c r="I287" i="18" s="1"/>
  <c r="H287" i="18"/>
  <c r="AE361" i="18"/>
  <c r="X362" i="18"/>
  <c r="W362" i="18"/>
  <c r="Z362" i="18"/>
  <c r="Y362" i="18" s="1"/>
  <c r="L287" i="18"/>
  <c r="Z281" i="1" l="1"/>
  <c r="AA281" i="1" s="1"/>
  <c r="AH280" i="1"/>
  <c r="AU342" i="1"/>
  <c r="AV342" i="1"/>
  <c r="AT343" i="1" s="1"/>
  <c r="AC362" i="18"/>
  <c r="AA363" i="18" s="1"/>
  <c r="AB362" i="18"/>
  <c r="M287" i="18"/>
  <c r="K288" i="18" s="1"/>
  <c r="AD362" i="18"/>
  <c r="AG281" i="1" l="1"/>
  <c r="AC281" i="1"/>
  <c r="AB281" i="1" s="1"/>
  <c r="AX342" i="1"/>
  <c r="AS343" i="1"/>
  <c r="AR343" i="1" s="1"/>
  <c r="AQ343" i="1"/>
  <c r="AP343" i="1"/>
  <c r="AE281" i="1"/>
  <c r="AF281" i="1" s="1"/>
  <c r="AD282" i="1" s="1"/>
  <c r="G288" i="18"/>
  <c r="J288" i="18" s="1"/>
  <c r="I288" i="18" s="1"/>
  <c r="AE362" i="18"/>
  <c r="W363" i="18"/>
  <c r="AD363" i="18" s="1"/>
  <c r="Z363" i="18"/>
  <c r="Y363" i="18" s="1"/>
  <c r="X363" i="18"/>
  <c r="O287" i="18"/>
  <c r="AV343" i="1" l="1"/>
  <c r="AT344" i="1" s="1"/>
  <c r="AU343" i="1"/>
  <c r="Z282" i="1"/>
  <c r="AH281" i="1"/>
  <c r="AW343" i="1"/>
  <c r="H288" i="18"/>
  <c r="AC363" i="18"/>
  <c r="AA364" i="18" s="1"/>
  <c r="AB363" i="18"/>
  <c r="L288" i="18"/>
  <c r="N288" i="18"/>
  <c r="AX343" i="1" l="1"/>
  <c r="AE282" i="1"/>
  <c r="AG282" i="1"/>
  <c r="AQ344" i="1"/>
  <c r="AP344" i="1"/>
  <c r="AS344" i="1"/>
  <c r="AR344" i="1" s="1"/>
  <c r="AA282" i="1"/>
  <c r="AC282" i="1"/>
  <c r="AB282" i="1" s="1"/>
  <c r="AE363" i="18"/>
  <c r="M288" i="18"/>
  <c r="K289" i="18" s="1"/>
  <c r="X364" i="18"/>
  <c r="Z364" i="18"/>
  <c r="Y364" i="18" s="1"/>
  <c r="W364" i="18"/>
  <c r="AD364" i="18" s="1"/>
  <c r="AU344" i="1" l="1"/>
  <c r="AV344" i="1"/>
  <c r="AT345" i="1" s="1"/>
  <c r="AF282" i="1"/>
  <c r="AD283" i="1" s="1"/>
  <c r="AW344" i="1"/>
  <c r="AC364" i="18"/>
  <c r="AA365" i="18" s="1"/>
  <c r="AB364" i="18"/>
  <c r="G289" i="18"/>
  <c r="N289" i="18" s="1"/>
  <c r="O288" i="18"/>
  <c r="AH282" i="1" l="1"/>
  <c r="AS345" i="1"/>
  <c r="AR345" i="1" s="1"/>
  <c r="AP345" i="1"/>
  <c r="AW345" i="1" s="1"/>
  <c r="AQ345" i="1"/>
  <c r="Z283" i="1"/>
  <c r="AA283" i="1" s="1"/>
  <c r="AX344" i="1"/>
  <c r="J289" i="18"/>
  <c r="I289" i="18" s="1"/>
  <c r="AE364" i="18"/>
  <c r="H289" i="18"/>
  <c r="L289" i="18"/>
  <c r="M289" i="18" s="1"/>
  <c r="K290" i="18" s="1"/>
  <c r="W365" i="18"/>
  <c r="AD365" i="18" s="1"/>
  <c r="Z365" i="18"/>
  <c r="Y365" i="18" s="1"/>
  <c r="X365" i="18"/>
  <c r="AG283" i="1" l="1"/>
  <c r="AC283" i="1"/>
  <c r="AB283" i="1" s="1"/>
  <c r="AU345" i="1"/>
  <c r="AV345" i="1"/>
  <c r="AT346" i="1" s="1"/>
  <c r="AE283" i="1"/>
  <c r="AF283" i="1" s="1"/>
  <c r="AD284" i="1" s="1"/>
  <c r="AC365" i="18"/>
  <c r="AA366" i="18" s="1"/>
  <c r="AB365" i="18"/>
  <c r="G290" i="18"/>
  <c r="H290" i="18" s="1"/>
  <c r="O289" i="18"/>
  <c r="Z284" i="1" l="1"/>
  <c r="AG284" i="1" s="1"/>
  <c r="AQ346" i="1"/>
  <c r="AP346" i="1"/>
  <c r="AW346" i="1" s="1"/>
  <c r="AS346" i="1"/>
  <c r="AR346" i="1" s="1"/>
  <c r="AX345" i="1"/>
  <c r="AH283" i="1"/>
  <c r="AE365" i="18"/>
  <c r="J290" i="18"/>
  <c r="I290" i="18" s="1"/>
  <c r="L290" i="18"/>
  <c r="N290" i="18"/>
  <c r="X366" i="18"/>
  <c r="W366" i="18"/>
  <c r="AD366" i="18" s="1"/>
  <c r="Z366" i="18"/>
  <c r="Y366" i="18" s="1"/>
  <c r="AC284" i="1" l="1"/>
  <c r="AB284" i="1" s="1"/>
  <c r="AA284" i="1"/>
  <c r="AU346" i="1"/>
  <c r="AV346" i="1"/>
  <c r="AT347" i="1" s="1"/>
  <c r="AE284" i="1"/>
  <c r="AC366" i="18"/>
  <c r="AA367" i="18" s="1"/>
  <c r="AB366" i="18"/>
  <c r="M290" i="18"/>
  <c r="K291" i="18" s="1"/>
  <c r="AS347" i="1" l="1"/>
  <c r="AR347" i="1" s="1"/>
  <c r="AP347" i="1"/>
  <c r="AQ347" i="1"/>
  <c r="AX346" i="1"/>
  <c r="AF284" i="1"/>
  <c r="AD285" i="1" s="1"/>
  <c r="AE366" i="18"/>
  <c r="G291" i="18"/>
  <c r="H291" i="18" s="1"/>
  <c r="O290" i="18"/>
  <c r="W367" i="18"/>
  <c r="AD367" i="18" s="1"/>
  <c r="Z367" i="18"/>
  <c r="Y367" i="18" s="1"/>
  <c r="X367" i="18"/>
  <c r="AH284" i="1" l="1"/>
  <c r="AU347" i="1"/>
  <c r="AV347" i="1"/>
  <c r="AT348" i="1" s="1"/>
  <c r="AW347" i="1"/>
  <c r="Z285" i="1"/>
  <c r="AA285" i="1" s="1"/>
  <c r="N291" i="18"/>
  <c r="J291" i="18"/>
  <c r="I291" i="18" s="1"/>
  <c r="AC367" i="18"/>
  <c r="AA368" i="18" s="1"/>
  <c r="AB367" i="18"/>
  <c r="L291" i="18"/>
  <c r="M291" i="18" s="1"/>
  <c r="K292" i="18" s="1"/>
  <c r="AC285" i="1" l="1"/>
  <c r="AB285" i="1" s="1"/>
  <c r="AG285" i="1"/>
  <c r="AQ348" i="1"/>
  <c r="AS348" i="1"/>
  <c r="AR348" i="1" s="1"/>
  <c r="AP348" i="1"/>
  <c r="AW348" i="1" s="1"/>
  <c r="AX347" i="1"/>
  <c r="AE285" i="1"/>
  <c r="AF285" i="1" s="1"/>
  <c r="AD286" i="1" s="1"/>
  <c r="G292" i="18"/>
  <c r="N292" i="18" s="1"/>
  <c r="AE367" i="18"/>
  <c r="X368" i="18"/>
  <c r="Z368" i="18"/>
  <c r="Y368" i="18" s="1"/>
  <c r="W368" i="18"/>
  <c r="AD368" i="18" s="1"/>
  <c r="O291" i="18"/>
  <c r="Z286" i="1" l="1"/>
  <c r="AH285" i="1"/>
  <c r="AU348" i="1"/>
  <c r="AV348" i="1"/>
  <c r="AT349" i="1" s="1"/>
  <c r="J292" i="18"/>
  <c r="I292" i="18" s="1"/>
  <c r="H292" i="18"/>
  <c r="L292" i="18"/>
  <c r="AC368" i="18"/>
  <c r="AA369" i="18" s="1"/>
  <c r="AB368" i="18"/>
  <c r="AX348" i="1" l="1"/>
  <c r="AE286" i="1"/>
  <c r="AC286" i="1"/>
  <c r="AB286" i="1" s="1"/>
  <c r="AA286" i="1"/>
  <c r="AS349" i="1"/>
  <c r="AR349" i="1" s="1"/>
  <c r="AP349" i="1"/>
  <c r="AQ349" i="1"/>
  <c r="AG286" i="1"/>
  <c r="AE368" i="18"/>
  <c r="W369" i="18"/>
  <c r="AD369" i="18" s="1"/>
  <c r="Z369" i="18"/>
  <c r="Y369" i="18" s="1"/>
  <c r="X369" i="18"/>
  <c r="M292" i="18"/>
  <c r="K293" i="18" s="1"/>
  <c r="AU349" i="1" l="1"/>
  <c r="AV349" i="1"/>
  <c r="AT350" i="1" s="1"/>
  <c r="AW349" i="1"/>
  <c r="AF286" i="1"/>
  <c r="AD287" i="1" s="1"/>
  <c r="G293" i="18"/>
  <c r="N293" i="18" s="1"/>
  <c r="O292" i="18"/>
  <c r="AB369" i="18"/>
  <c r="AC369" i="18"/>
  <c r="AA370" i="18" s="1"/>
  <c r="AQ350" i="1" l="1"/>
  <c r="AS350" i="1"/>
  <c r="AR350" i="1" s="1"/>
  <c r="AP350" i="1"/>
  <c r="AW350" i="1" s="1"/>
  <c r="Z287" i="1"/>
  <c r="AA287" i="1" s="1"/>
  <c r="AX349" i="1"/>
  <c r="AH286" i="1"/>
  <c r="J293" i="18"/>
  <c r="I293" i="18" s="1"/>
  <c r="X370" i="18"/>
  <c r="W370" i="18"/>
  <c r="AD370" i="18" s="1"/>
  <c r="Z370" i="18"/>
  <c r="Y370" i="18" s="1"/>
  <c r="AE369" i="18"/>
  <c r="L293" i="18"/>
  <c r="M293" i="18" s="1"/>
  <c r="K294" i="18" s="1"/>
  <c r="H293" i="18"/>
  <c r="AC287" i="1" l="1"/>
  <c r="AB287" i="1" s="1"/>
  <c r="AG287" i="1"/>
  <c r="AU350" i="1"/>
  <c r="AV350" i="1"/>
  <c r="AT351" i="1" s="1"/>
  <c r="AE287" i="1"/>
  <c r="O293" i="18"/>
  <c r="AC370" i="18"/>
  <c r="AA371" i="18" s="1"/>
  <c r="AB370" i="18"/>
  <c r="G294" i="18"/>
  <c r="H294" i="18" s="1"/>
  <c r="AS351" i="1" l="1"/>
  <c r="AR351" i="1" s="1"/>
  <c r="AQ351" i="1"/>
  <c r="AP351" i="1"/>
  <c r="AX350" i="1"/>
  <c r="AF287" i="1"/>
  <c r="AD288" i="1" s="1"/>
  <c r="AE370" i="18"/>
  <c r="W371" i="18"/>
  <c r="AD371" i="18" s="1"/>
  <c r="Z371" i="18"/>
  <c r="Y371" i="18" s="1"/>
  <c r="X371" i="18"/>
  <c r="L294" i="18"/>
  <c r="N294" i="18"/>
  <c r="J294" i="18"/>
  <c r="I294" i="18" s="1"/>
  <c r="AV351" i="1" l="1"/>
  <c r="AT352" i="1" s="1"/>
  <c r="AU351" i="1"/>
  <c r="Z288" i="1"/>
  <c r="AG288" i="1" s="1"/>
  <c r="AH287" i="1"/>
  <c r="AW351" i="1"/>
  <c r="M294" i="18"/>
  <c r="K295" i="18" s="1"/>
  <c r="AC371" i="18"/>
  <c r="AA372" i="18" s="1"/>
  <c r="AB371" i="18"/>
  <c r="AC288" i="1" l="1"/>
  <c r="AB288" i="1" s="1"/>
  <c r="AX351" i="1"/>
  <c r="AQ352" i="1"/>
  <c r="AP352" i="1"/>
  <c r="AW352" i="1" s="1"/>
  <c r="AS352" i="1"/>
  <c r="AR352" i="1" s="1"/>
  <c r="AE288" i="1"/>
  <c r="AF288" i="1" s="1"/>
  <c r="AD289" i="1" s="1"/>
  <c r="AA288" i="1"/>
  <c r="AE371" i="18"/>
  <c r="X372" i="18"/>
  <c r="Z372" i="18"/>
  <c r="Y372" i="18" s="1"/>
  <c r="W372" i="18"/>
  <c r="AD372" i="18" s="1"/>
  <c r="G295" i="18"/>
  <c r="H295" i="18" s="1"/>
  <c r="O294" i="18"/>
  <c r="AH288" i="1" l="1"/>
  <c r="Z289" i="1"/>
  <c r="AA289" i="1" s="1"/>
  <c r="AU352" i="1"/>
  <c r="AV352" i="1"/>
  <c r="AT353" i="1" s="1"/>
  <c r="J295" i="18"/>
  <c r="I295" i="18" s="1"/>
  <c r="N295" i="18"/>
  <c r="L295" i="18"/>
  <c r="M295" i="18" s="1"/>
  <c r="K296" i="18" s="1"/>
  <c r="AC372" i="18"/>
  <c r="AA373" i="18" s="1"/>
  <c r="AB372" i="18"/>
  <c r="AX352" i="1" l="1"/>
  <c r="AG289" i="1"/>
  <c r="AS353" i="1"/>
  <c r="AR353" i="1" s="1"/>
  <c r="AP353" i="1"/>
  <c r="AQ353" i="1"/>
  <c r="AE289" i="1"/>
  <c r="AC289" i="1"/>
  <c r="AB289" i="1" s="1"/>
  <c r="AE372" i="18"/>
  <c r="G296" i="18"/>
  <c r="H296" i="18" s="1"/>
  <c r="W373" i="18"/>
  <c r="AD373" i="18" s="1"/>
  <c r="Z373" i="18"/>
  <c r="Y373" i="18" s="1"/>
  <c r="X373" i="18"/>
  <c r="O295" i="18"/>
  <c r="AU353" i="1" l="1"/>
  <c r="AV353" i="1"/>
  <c r="AT354" i="1" s="1"/>
  <c r="AF289" i="1"/>
  <c r="AD290" i="1" s="1"/>
  <c r="AW353" i="1"/>
  <c r="J296" i="18"/>
  <c r="I296" i="18" s="1"/>
  <c r="AC373" i="18"/>
  <c r="AA374" i="18" s="1"/>
  <c r="AB373" i="18"/>
  <c r="L296" i="18"/>
  <c r="M296" i="18" s="1"/>
  <c r="K297" i="18" s="1"/>
  <c r="N296" i="18"/>
  <c r="AX353" i="1" l="1"/>
  <c r="Z290" i="1"/>
  <c r="AG290" i="1" s="1"/>
  <c r="AQ354" i="1"/>
  <c r="AP354" i="1"/>
  <c r="AS354" i="1"/>
  <c r="AR354" i="1" s="1"/>
  <c r="AH289" i="1"/>
  <c r="G297" i="18"/>
  <c r="H297" i="18" s="1"/>
  <c r="O296" i="18"/>
  <c r="AE373" i="18"/>
  <c r="X374" i="18"/>
  <c r="W374" i="18"/>
  <c r="AD374" i="18" s="1"/>
  <c r="Z374" i="18"/>
  <c r="Y374" i="18" s="1"/>
  <c r="AC290" i="1" l="1"/>
  <c r="AB290" i="1" s="1"/>
  <c r="AA290" i="1"/>
  <c r="AU354" i="1"/>
  <c r="AV354" i="1"/>
  <c r="AT355" i="1" s="1"/>
  <c r="AW354" i="1"/>
  <c r="AE290" i="1"/>
  <c r="J297" i="18"/>
  <c r="I297" i="18" s="1"/>
  <c r="N297" i="18"/>
  <c r="AC374" i="18"/>
  <c r="AA375" i="18" s="1"/>
  <c r="AB374" i="18"/>
  <c r="L297" i="18"/>
  <c r="M297" i="18" s="1"/>
  <c r="K298" i="18" s="1"/>
  <c r="AX354" i="1" l="1"/>
  <c r="AF290" i="1"/>
  <c r="AD291" i="1" s="1"/>
  <c r="AS355" i="1"/>
  <c r="AR355" i="1" s="1"/>
  <c r="AP355" i="1"/>
  <c r="AW355" i="1" s="1"/>
  <c r="AQ355" i="1"/>
  <c r="G298" i="18"/>
  <c r="H298" i="18" s="1"/>
  <c r="O297" i="18"/>
  <c r="AE374" i="18"/>
  <c r="W375" i="18"/>
  <c r="Z375" i="18"/>
  <c r="Y375" i="18" s="1"/>
  <c r="X375" i="18"/>
  <c r="AH290" i="1" l="1"/>
  <c r="Z291" i="1"/>
  <c r="AG291" i="1" s="1"/>
  <c r="AU355" i="1"/>
  <c r="AV355" i="1"/>
  <c r="AT356" i="1" s="1"/>
  <c r="J298" i="18"/>
  <c r="I298" i="18" s="1"/>
  <c r="AC375" i="18"/>
  <c r="AA376" i="18" s="1"/>
  <c r="AB375" i="18"/>
  <c r="AD375" i="18"/>
  <c r="L298" i="18"/>
  <c r="M298" i="18" s="1"/>
  <c r="K299" i="18" s="1"/>
  <c r="N298" i="18"/>
  <c r="AC291" i="1" l="1"/>
  <c r="AB291" i="1" s="1"/>
  <c r="AX355" i="1"/>
  <c r="AA291" i="1"/>
  <c r="AQ356" i="1"/>
  <c r="AS356" i="1"/>
  <c r="AR356" i="1" s="1"/>
  <c r="AP356" i="1"/>
  <c r="AE291" i="1"/>
  <c r="AF291" i="1" s="1"/>
  <c r="AD292" i="1" s="1"/>
  <c r="G299" i="18"/>
  <c r="N299" i="18" s="1"/>
  <c r="AE375" i="18"/>
  <c r="O298" i="18"/>
  <c r="X376" i="18"/>
  <c r="Z376" i="18"/>
  <c r="Y376" i="18" s="1"/>
  <c r="W376" i="18"/>
  <c r="AD376" i="18" s="1"/>
  <c r="Z292" i="1" l="1"/>
  <c r="AG292" i="1" s="1"/>
  <c r="AU356" i="1"/>
  <c r="AV356" i="1"/>
  <c r="AT357" i="1" s="1"/>
  <c r="AH291" i="1"/>
  <c r="AW356" i="1"/>
  <c r="J299" i="18"/>
  <c r="I299" i="18" s="1"/>
  <c r="H299" i="18"/>
  <c r="AC376" i="18"/>
  <c r="AA377" i="18" s="1"/>
  <c r="AB376" i="18"/>
  <c r="L299" i="18"/>
  <c r="M299" i="18" s="1"/>
  <c r="K300" i="18" s="1"/>
  <c r="AE292" i="1" l="1"/>
  <c r="AS357" i="1"/>
  <c r="AR357" i="1" s="1"/>
  <c r="AP357" i="1"/>
  <c r="AW357" i="1" s="1"/>
  <c r="AQ357" i="1"/>
  <c r="AA292" i="1"/>
  <c r="AX356" i="1"/>
  <c r="AC292" i="1"/>
  <c r="AB292" i="1" s="1"/>
  <c r="O299" i="18"/>
  <c r="G300" i="18"/>
  <c r="J300" i="18" s="1"/>
  <c r="I300" i="18" s="1"/>
  <c r="AE376" i="18"/>
  <c r="W377" i="18"/>
  <c r="Z377" i="18"/>
  <c r="Y377" i="18" s="1"/>
  <c r="X377" i="18"/>
  <c r="AU357" i="1" l="1"/>
  <c r="AV357" i="1"/>
  <c r="AT358" i="1" s="1"/>
  <c r="AF292" i="1"/>
  <c r="AD293" i="1" s="1"/>
  <c r="H300" i="18"/>
  <c r="AC377" i="18"/>
  <c r="AA378" i="18" s="1"/>
  <c r="AB377" i="18"/>
  <c r="L300" i="18"/>
  <c r="M300" i="18" s="1"/>
  <c r="K301" i="18" s="1"/>
  <c r="N300" i="18"/>
  <c r="AD377" i="18"/>
  <c r="AX357" i="1" l="1"/>
  <c r="Z293" i="1"/>
  <c r="AC293" i="1" s="1"/>
  <c r="AB293" i="1" s="1"/>
  <c r="AQ358" i="1"/>
  <c r="AS358" i="1"/>
  <c r="AR358" i="1" s="1"/>
  <c r="AP358" i="1"/>
  <c r="AW358" i="1" s="1"/>
  <c r="AH292" i="1"/>
  <c r="G301" i="18"/>
  <c r="H301" i="18" s="1"/>
  <c r="O300" i="18"/>
  <c r="AE377" i="18"/>
  <c r="X378" i="18"/>
  <c r="W378" i="18"/>
  <c r="AD378" i="18"/>
  <c r="Z378" i="18"/>
  <c r="Y378" i="18" s="1"/>
  <c r="AA293" i="1" l="1"/>
  <c r="AG293" i="1"/>
  <c r="AU358" i="1"/>
  <c r="AV358" i="1"/>
  <c r="AT359" i="1" s="1"/>
  <c r="AE293" i="1"/>
  <c r="J301" i="18"/>
  <c r="I301" i="18" s="1"/>
  <c r="N301" i="18"/>
  <c r="AC378" i="18"/>
  <c r="AA379" i="18" s="1"/>
  <c r="AB378" i="18"/>
  <c r="L301" i="18"/>
  <c r="M301" i="18" s="1"/>
  <c r="K302" i="18" s="1"/>
  <c r="AF293" i="1" l="1"/>
  <c r="AD294" i="1" s="1"/>
  <c r="AS359" i="1"/>
  <c r="AR359" i="1" s="1"/>
  <c r="AQ359" i="1"/>
  <c r="AP359" i="1"/>
  <c r="AW359" i="1" s="1"/>
  <c r="AX358" i="1"/>
  <c r="G302" i="18"/>
  <c r="H302" i="18" s="1"/>
  <c r="O301" i="18"/>
  <c r="AE378" i="18"/>
  <c r="W379" i="18"/>
  <c r="Z379" i="18"/>
  <c r="Y379" i="18" s="1"/>
  <c r="X379" i="18"/>
  <c r="AV359" i="1" l="1"/>
  <c r="AT360" i="1" s="1"/>
  <c r="AU359" i="1"/>
  <c r="Z294" i="1"/>
  <c r="AG294" i="1" s="1"/>
  <c r="AH293" i="1"/>
  <c r="J302" i="18"/>
  <c r="I302" i="18" s="1"/>
  <c r="AC379" i="18"/>
  <c r="AA380" i="18" s="1"/>
  <c r="AB379" i="18"/>
  <c r="AD379" i="18"/>
  <c r="L302" i="18"/>
  <c r="M302" i="18" s="1"/>
  <c r="K303" i="18" s="1"/>
  <c r="N302" i="18"/>
  <c r="AX359" i="1" l="1"/>
  <c r="AA294" i="1"/>
  <c r="AE294" i="1"/>
  <c r="AF294" i="1" s="1"/>
  <c r="AD295" i="1" s="1"/>
  <c r="AC294" i="1"/>
  <c r="AB294" i="1" s="1"/>
  <c r="AQ360" i="1"/>
  <c r="AP360" i="1"/>
  <c r="AS360" i="1"/>
  <c r="AR360" i="1" s="1"/>
  <c r="G303" i="18"/>
  <c r="N303" i="18" s="1"/>
  <c r="AE379" i="18"/>
  <c r="O302" i="18"/>
  <c r="X380" i="18"/>
  <c r="Z380" i="18"/>
  <c r="Y380" i="18" s="1"/>
  <c r="W380" i="18"/>
  <c r="AU360" i="1" l="1"/>
  <c r="AV360" i="1"/>
  <c r="AT361" i="1" s="1"/>
  <c r="AW360" i="1"/>
  <c r="Z295" i="1"/>
  <c r="AG295" i="1" s="1"/>
  <c r="AH294" i="1"/>
  <c r="J303" i="18"/>
  <c r="I303" i="18" s="1"/>
  <c r="H303" i="18"/>
  <c r="AC380" i="18"/>
  <c r="AA381" i="18" s="1"/>
  <c r="AB380" i="18"/>
  <c r="AD380" i="18"/>
  <c r="L303" i="18"/>
  <c r="M303" i="18" s="1"/>
  <c r="K304" i="18" s="1"/>
  <c r="AC295" i="1" l="1"/>
  <c r="AB295" i="1" s="1"/>
  <c r="AA295" i="1"/>
  <c r="AS361" i="1"/>
  <c r="AR361" i="1" s="1"/>
  <c r="AP361" i="1"/>
  <c r="AQ361" i="1"/>
  <c r="AX360" i="1"/>
  <c r="AE295" i="1"/>
  <c r="O303" i="18"/>
  <c r="AE380" i="18"/>
  <c r="G304" i="18"/>
  <c r="N304" i="18" s="1"/>
  <c r="W381" i="18"/>
  <c r="AD381" i="18" s="1"/>
  <c r="Z381" i="18"/>
  <c r="Y381" i="18" s="1"/>
  <c r="X381" i="18"/>
  <c r="AU361" i="1" l="1"/>
  <c r="AV361" i="1"/>
  <c r="AT362" i="1" s="1"/>
  <c r="AW361" i="1"/>
  <c r="AF295" i="1"/>
  <c r="AD296" i="1" s="1"/>
  <c r="AC381" i="18"/>
  <c r="AA382" i="18" s="1"/>
  <c r="AB381" i="18"/>
  <c r="J304" i="18"/>
  <c r="I304" i="18" s="1"/>
  <c r="H304" i="18"/>
  <c r="L304" i="18"/>
  <c r="M304" i="18" s="1"/>
  <c r="K305" i="18" s="1"/>
  <c r="AX361" i="1" l="1"/>
  <c r="Z296" i="1"/>
  <c r="AG296" i="1" s="1"/>
  <c r="AH295" i="1"/>
  <c r="AQ362" i="1"/>
  <c r="AP362" i="1"/>
  <c r="AS362" i="1"/>
  <c r="AR362" i="1" s="1"/>
  <c r="O304" i="18"/>
  <c r="AE381" i="18"/>
  <c r="G305" i="18"/>
  <c r="J305" i="18" s="1"/>
  <c r="I305" i="18" s="1"/>
  <c r="X382" i="18"/>
  <c r="W382" i="18"/>
  <c r="AD382" i="18" s="1"/>
  <c r="Z382" i="18"/>
  <c r="Y382" i="18" s="1"/>
  <c r="AA296" i="1" l="1"/>
  <c r="AC296" i="1"/>
  <c r="AB296" i="1" s="1"/>
  <c r="AU362" i="1"/>
  <c r="AV362" i="1"/>
  <c r="AT363" i="1" s="1"/>
  <c r="AW362" i="1"/>
  <c r="AE296" i="1"/>
  <c r="AF296" i="1" s="1"/>
  <c r="AD297" i="1" s="1"/>
  <c r="L305" i="18"/>
  <c r="M305" i="18" s="1"/>
  <c r="K306" i="18" s="1"/>
  <c r="N305" i="18"/>
  <c r="H305" i="18"/>
  <c r="AC382" i="18"/>
  <c r="AA383" i="18" s="1"/>
  <c r="AB382" i="18"/>
  <c r="Z297" i="1" l="1"/>
  <c r="AS363" i="1"/>
  <c r="AR363" i="1" s="1"/>
  <c r="AP363" i="1"/>
  <c r="AQ363" i="1"/>
  <c r="AH296" i="1"/>
  <c r="AX362" i="1"/>
  <c r="G306" i="18"/>
  <c r="H306" i="18" s="1"/>
  <c r="AE382" i="18"/>
  <c r="W383" i="18"/>
  <c r="AD383" i="18" s="1"/>
  <c r="Z383" i="18"/>
  <c r="Y383" i="18" s="1"/>
  <c r="X383" i="18"/>
  <c r="O305" i="18"/>
  <c r="AE297" i="1" l="1"/>
  <c r="AF297" i="1" s="1"/>
  <c r="AD298" i="1" s="1"/>
  <c r="AU363" i="1"/>
  <c r="AV363" i="1"/>
  <c r="AT364" i="1" s="1"/>
  <c r="AG297" i="1"/>
  <c r="AW363" i="1"/>
  <c r="AA297" i="1"/>
  <c r="AC297" i="1"/>
  <c r="AB297" i="1" s="1"/>
  <c r="J306" i="18"/>
  <c r="I306" i="18" s="1"/>
  <c r="AC383" i="18"/>
  <c r="AA384" i="18" s="1"/>
  <c r="AB383" i="18"/>
  <c r="L306" i="18"/>
  <c r="N306" i="18"/>
  <c r="AX363" i="1" l="1"/>
  <c r="Z298" i="1"/>
  <c r="AA298" i="1" s="1"/>
  <c r="AH297" i="1"/>
  <c r="AQ364" i="1"/>
  <c r="AS364" i="1"/>
  <c r="AR364" i="1" s="1"/>
  <c r="AP364" i="1"/>
  <c r="AE383" i="18"/>
  <c r="M306" i="18"/>
  <c r="K307" i="18" s="1"/>
  <c r="X384" i="18"/>
  <c r="W384" i="18"/>
  <c r="Z384" i="18"/>
  <c r="Y384" i="18" s="1"/>
  <c r="AC298" i="1" l="1"/>
  <c r="AB298" i="1" s="1"/>
  <c r="AU364" i="1"/>
  <c r="AV364" i="1"/>
  <c r="AT365" i="1" s="1"/>
  <c r="AW364" i="1"/>
  <c r="AE298" i="1"/>
  <c r="AG298" i="1"/>
  <c r="AB384" i="18"/>
  <c r="AC384" i="18"/>
  <c r="AA385" i="18" s="1"/>
  <c r="G307" i="18"/>
  <c r="N307" i="18" s="1"/>
  <c r="AD384" i="18"/>
  <c r="O306" i="18"/>
  <c r="AS365" i="1" l="1"/>
  <c r="AR365" i="1" s="1"/>
  <c r="AP365" i="1"/>
  <c r="AW365" i="1" s="1"/>
  <c r="AQ365" i="1"/>
  <c r="AX364" i="1"/>
  <c r="AF298" i="1"/>
  <c r="AD299" i="1" s="1"/>
  <c r="J307" i="18"/>
  <c r="I307" i="18" s="1"/>
  <c r="H307" i="18"/>
  <c r="L307" i="18"/>
  <c r="M307" i="18" s="1"/>
  <c r="K308" i="18" s="1"/>
  <c r="Z385" i="18"/>
  <c r="Y385" i="18" s="1"/>
  <c r="X385" i="18"/>
  <c r="W385" i="18"/>
  <c r="AE384" i="18"/>
  <c r="AH298" i="1" l="1"/>
  <c r="Z299" i="1"/>
  <c r="AC299" i="1" s="1"/>
  <c r="AB299" i="1" s="1"/>
  <c r="AU365" i="1"/>
  <c r="AV365" i="1"/>
  <c r="AT366" i="1" s="1"/>
  <c r="AC385" i="18"/>
  <c r="AA386" i="18" s="1"/>
  <c r="AB385" i="18"/>
  <c r="AD385" i="18"/>
  <c r="G308" i="18"/>
  <c r="H308" i="18" s="1"/>
  <c r="O307" i="18"/>
  <c r="AX365" i="1" l="1"/>
  <c r="AE299" i="1"/>
  <c r="AF299" i="1" s="1"/>
  <c r="AD300" i="1" s="1"/>
  <c r="AG299" i="1"/>
  <c r="AQ366" i="1"/>
  <c r="AS366" i="1"/>
  <c r="AR366" i="1" s="1"/>
  <c r="AP366" i="1"/>
  <c r="AW366" i="1" s="1"/>
  <c r="AA299" i="1"/>
  <c r="J308" i="18"/>
  <c r="I308" i="18" s="1"/>
  <c r="L308" i="18"/>
  <c r="M308" i="18" s="1"/>
  <c r="K309" i="18" s="1"/>
  <c r="N308" i="18"/>
  <c r="AE385" i="18"/>
  <c r="X386" i="18"/>
  <c r="W386" i="18"/>
  <c r="AD386" i="18" s="1"/>
  <c r="Z386" i="18"/>
  <c r="Y386" i="18" s="1"/>
  <c r="AU366" i="1" l="1"/>
  <c r="AV366" i="1"/>
  <c r="AT367" i="1" s="1"/>
  <c r="Z300" i="1"/>
  <c r="AA300" i="1" s="1"/>
  <c r="AH299" i="1"/>
  <c r="AB386" i="18"/>
  <c r="AC386" i="18"/>
  <c r="AA387" i="18" s="1"/>
  <c r="O308" i="18"/>
  <c r="G309" i="18"/>
  <c r="N309" i="18" s="1"/>
  <c r="AG300" i="1" l="1"/>
  <c r="AS367" i="1"/>
  <c r="AR367" i="1" s="1"/>
  <c r="AQ367" i="1"/>
  <c r="AP367" i="1"/>
  <c r="AW367" i="1" s="1"/>
  <c r="AE300" i="1"/>
  <c r="AX366" i="1"/>
  <c r="AC300" i="1"/>
  <c r="AB300" i="1" s="1"/>
  <c r="H309" i="18"/>
  <c r="J309" i="18"/>
  <c r="I309" i="18" s="1"/>
  <c r="Z387" i="18"/>
  <c r="Y387" i="18" s="1"/>
  <c r="X387" i="18"/>
  <c r="W387" i="18"/>
  <c r="L309" i="18"/>
  <c r="M309" i="18" s="1"/>
  <c r="K310" i="18" s="1"/>
  <c r="AE386" i="18"/>
  <c r="AF300" i="1" l="1"/>
  <c r="AD301" i="1" s="1"/>
  <c r="AV367" i="1"/>
  <c r="AT368" i="1" s="1"/>
  <c r="AU367" i="1"/>
  <c r="G310" i="18"/>
  <c r="J310" i="18" s="1"/>
  <c r="I310" i="18" s="1"/>
  <c r="O309" i="18"/>
  <c r="AC387" i="18"/>
  <c r="AA388" i="18" s="1"/>
  <c r="AB387" i="18"/>
  <c r="AD387" i="18"/>
  <c r="AH300" i="1" l="1"/>
  <c r="AX367" i="1"/>
  <c r="Z301" i="1"/>
  <c r="AC301" i="1" s="1"/>
  <c r="AB301" i="1" s="1"/>
  <c r="AQ368" i="1"/>
  <c r="AP368" i="1"/>
  <c r="AS368" i="1"/>
  <c r="AR368" i="1" s="1"/>
  <c r="H310" i="18"/>
  <c r="AE387" i="18"/>
  <c r="X388" i="18"/>
  <c r="W388" i="18"/>
  <c r="AD388" i="18" s="1"/>
  <c r="Z388" i="18"/>
  <c r="Y388" i="18" s="1"/>
  <c r="L310" i="18"/>
  <c r="M310" i="18" s="1"/>
  <c r="K311" i="18" s="1"/>
  <c r="N310" i="18"/>
  <c r="AA301" i="1" l="1"/>
  <c r="AG301" i="1"/>
  <c r="AU368" i="1"/>
  <c r="AV368" i="1"/>
  <c r="AT369" i="1" s="1"/>
  <c r="AW368" i="1"/>
  <c r="AE301" i="1"/>
  <c r="AF301" i="1" s="1"/>
  <c r="AD302" i="1" s="1"/>
  <c r="O310" i="18"/>
  <c r="G311" i="18"/>
  <c r="N311" i="18" s="1"/>
  <c r="AB388" i="18"/>
  <c r="AC388" i="18"/>
  <c r="AA389" i="18" s="1"/>
  <c r="Z302" i="1" l="1"/>
  <c r="AG302" i="1" s="1"/>
  <c r="AS369" i="1"/>
  <c r="AR369" i="1" s="1"/>
  <c r="AP369" i="1"/>
  <c r="AQ369" i="1"/>
  <c r="AH301" i="1"/>
  <c r="AX368" i="1"/>
  <c r="J311" i="18"/>
  <c r="I311" i="18" s="1"/>
  <c r="H311" i="18"/>
  <c r="AE388" i="18"/>
  <c r="Z389" i="18"/>
  <c r="Y389" i="18" s="1"/>
  <c r="X389" i="18"/>
  <c r="W389" i="18"/>
  <c r="L311" i="18"/>
  <c r="M311" i="18" s="1"/>
  <c r="K312" i="18" s="1"/>
  <c r="AU369" i="1" l="1"/>
  <c r="AV369" i="1"/>
  <c r="AT370" i="1" s="1"/>
  <c r="AA302" i="1"/>
  <c r="AW369" i="1"/>
  <c r="AE302" i="1"/>
  <c r="AC302" i="1"/>
  <c r="AB302" i="1" s="1"/>
  <c r="O311" i="18"/>
  <c r="G312" i="18"/>
  <c r="J312" i="18" s="1"/>
  <c r="I312" i="18" s="1"/>
  <c r="AC389" i="18"/>
  <c r="AA390" i="18" s="1"/>
  <c r="AB389" i="18"/>
  <c r="AD389" i="18"/>
  <c r="AQ370" i="1" l="1"/>
  <c r="AP370" i="1"/>
  <c r="AW370" i="1" s="1"/>
  <c r="AS370" i="1"/>
  <c r="AR370" i="1" s="1"/>
  <c r="AF302" i="1"/>
  <c r="AD303" i="1" s="1"/>
  <c r="AX369" i="1"/>
  <c r="H312" i="18"/>
  <c r="X390" i="18"/>
  <c r="W390" i="18"/>
  <c r="AD390" i="18" s="1"/>
  <c r="Z390" i="18"/>
  <c r="Y390" i="18" s="1"/>
  <c r="AE389" i="18"/>
  <c r="L312" i="18"/>
  <c r="M312" i="18" s="1"/>
  <c r="K313" i="18" s="1"/>
  <c r="N312" i="18"/>
  <c r="AH302" i="1" l="1"/>
  <c r="Z303" i="1"/>
  <c r="AG303" i="1" s="1"/>
  <c r="AU370" i="1"/>
  <c r="AV370" i="1"/>
  <c r="AT371" i="1" s="1"/>
  <c r="O312" i="18"/>
  <c r="G313" i="18"/>
  <c r="N313" i="18" s="1"/>
  <c r="AB390" i="18"/>
  <c r="AC390" i="18"/>
  <c r="AA391" i="18" s="1"/>
  <c r="AC303" i="1" l="1"/>
  <c r="AB303" i="1" s="1"/>
  <c r="AA303" i="1"/>
  <c r="AS371" i="1"/>
  <c r="AR371" i="1" s="1"/>
  <c r="AP371" i="1"/>
  <c r="AW371" i="1" s="1"/>
  <c r="AQ371" i="1"/>
  <c r="AX370" i="1"/>
  <c r="AE303" i="1"/>
  <c r="AF303" i="1" s="1"/>
  <c r="AD304" i="1" s="1"/>
  <c r="J313" i="18"/>
  <c r="I313" i="18" s="1"/>
  <c r="H313" i="18"/>
  <c r="Z391" i="18"/>
  <c r="Y391" i="18" s="1"/>
  <c r="X391" i="18"/>
  <c r="W391" i="18"/>
  <c r="L313" i="18"/>
  <c r="M313" i="18" s="1"/>
  <c r="K314" i="18" s="1"/>
  <c r="AE390" i="18"/>
  <c r="Z304" i="1" l="1"/>
  <c r="AG304" i="1" s="1"/>
  <c r="AH303" i="1"/>
  <c r="AU371" i="1"/>
  <c r="AV371" i="1"/>
  <c r="AT372" i="1" s="1"/>
  <c r="O313" i="18"/>
  <c r="G314" i="18"/>
  <c r="H314" i="18" s="1"/>
  <c r="AC391" i="18"/>
  <c r="AA392" i="18" s="1"/>
  <c r="AB391" i="18"/>
  <c r="AD391" i="18"/>
  <c r="AX371" i="1" l="1"/>
  <c r="AE304" i="1"/>
  <c r="AC304" i="1"/>
  <c r="AB304" i="1" s="1"/>
  <c r="AQ372" i="1"/>
  <c r="AS372" i="1"/>
  <c r="AR372" i="1" s="1"/>
  <c r="AP372" i="1"/>
  <c r="AA304" i="1"/>
  <c r="J314" i="18"/>
  <c r="I314" i="18" s="1"/>
  <c r="AE391" i="18"/>
  <c r="X392" i="18"/>
  <c r="W392" i="18"/>
  <c r="AD392" i="18" s="1"/>
  <c r="Z392" i="18"/>
  <c r="Y392" i="18" s="1"/>
  <c r="L314" i="18"/>
  <c r="M314" i="18" s="1"/>
  <c r="K315" i="18" s="1"/>
  <c r="N314" i="18"/>
  <c r="AU372" i="1" l="1"/>
  <c r="AV372" i="1"/>
  <c r="AT373" i="1" s="1"/>
  <c r="AW372" i="1"/>
  <c r="AF304" i="1"/>
  <c r="AD305" i="1" s="1"/>
  <c r="O314" i="18"/>
  <c r="G315" i="18"/>
  <c r="N315" i="18" s="1"/>
  <c r="AB392" i="18"/>
  <c r="AC392" i="18"/>
  <c r="AA393" i="18" s="1"/>
  <c r="AS373" i="1" l="1"/>
  <c r="AR373" i="1" s="1"/>
  <c r="AP373" i="1"/>
  <c r="AW373" i="1" s="1"/>
  <c r="AQ373" i="1"/>
  <c r="Z305" i="1"/>
  <c r="AH304" i="1"/>
  <c r="AX372" i="1"/>
  <c r="J315" i="18"/>
  <c r="I315" i="18" s="1"/>
  <c r="H315" i="18"/>
  <c r="Z393" i="18"/>
  <c r="Y393" i="18" s="1"/>
  <c r="X393" i="18"/>
  <c r="W393" i="18"/>
  <c r="L315" i="18"/>
  <c r="M315" i="18" s="1"/>
  <c r="K316" i="18" s="1"/>
  <c r="AE392" i="18"/>
  <c r="AE305" i="1" l="1"/>
  <c r="AF305" i="1" s="1"/>
  <c r="AD306" i="1" s="1"/>
  <c r="AA305" i="1"/>
  <c r="AC305" i="1"/>
  <c r="AB305" i="1" s="1"/>
  <c r="AU373" i="1"/>
  <c r="AV373" i="1"/>
  <c r="AT374" i="1" s="1"/>
  <c r="AG305" i="1"/>
  <c r="O315" i="18"/>
  <c r="G316" i="18"/>
  <c r="J316" i="18" s="1"/>
  <c r="I316" i="18" s="1"/>
  <c r="AC393" i="18"/>
  <c r="AA394" i="18" s="1"/>
  <c r="AB393" i="18"/>
  <c r="AD393" i="18"/>
  <c r="AQ374" i="1" l="1"/>
  <c r="AS374" i="1"/>
  <c r="AR374" i="1" s="1"/>
  <c r="AP374" i="1"/>
  <c r="AW374" i="1" s="1"/>
  <c r="Z306" i="1"/>
  <c r="AC306" i="1" s="1"/>
  <c r="AB306" i="1" s="1"/>
  <c r="AX373" i="1"/>
  <c r="AH305" i="1"/>
  <c r="H316" i="18"/>
  <c r="AE393" i="18"/>
  <c r="X394" i="18"/>
  <c r="W394" i="18"/>
  <c r="AD394" i="18" s="1"/>
  <c r="Z394" i="18"/>
  <c r="Y394" i="18" s="1"/>
  <c r="L316" i="18"/>
  <c r="M316" i="18" s="1"/>
  <c r="K317" i="18" s="1"/>
  <c r="N316" i="18"/>
  <c r="AE306" i="1" l="1"/>
  <c r="AG306" i="1"/>
  <c r="AA306" i="1"/>
  <c r="AU374" i="1"/>
  <c r="AV374" i="1"/>
  <c r="AT375" i="1" s="1"/>
  <c r="O316" i="18"/>
  <c r="G317" i="18"/>
  <c r="H317" i="18" s="1"/>
  <c r="AB394" i="18"/>
  <c r="AC394" i="18"/>
  <c r="AA395" i="18" s="1"/>
  <c r="AS375" i="1" l="1"/>
  <c r="AR375" i="1" s="1"/>
  <c r="AQ375" i="1"/>
  <c r="AP375" i="1"/>
  <c r="AW375" i="1" s="1"/>
  <c r="AX374" i="1"/>
  <c r="AF306" i="1"/>
  <c r="AD307" i="1" s="1"/>
  <c r="J317" i="18"/>
  <c r="I317" i="18" s="1"/>
  <c r="Z395" i="18"/>
  <c r="Y395" i="18" s="1"/>
  <c r="X395" i="18"/>
  <c r="W395" i="18"/>
  <c r="AE394" i="18"/>
  <c r="L317" i="18"/>
  <c r="M317" i="18" s="1"/>
  <c r="K318" i="18" s="1"/>
  <c r="N317" i="18"/>
  <c r="Z307" i="1" l="1"/>
  <c r="AC307" i="1" s="1"/>
  <c r="AB307" i="1" s="1"/>
  <c r="AH306" i="1"/>
  <c r="AV375" i="1"/>
  <c r="AT376" i="1" s="1"/>
  <c r="AU375" i="1"/>
  <c r="O317" i="18"/>
  <c r="G318" i="18"/>
  <c r="J318" i="18" s="1"/>
  <c r="I318" i="18" s="1"/>
  <c r="AC395" i="18"/>
  <c r="AA396" i="18" s="1"/>
  <c r="AB395" i="18"/>
  <c r="AD395" i="18"/>
  <c r="AX375" i="1" l="1"/>
  <c r="AE307" i="1"/>
  <c r="AF307" i="1" s="1"/>
  <c r="AD308" i="1" s="1"/>
  <c r="AG307" i="1"/>
  <c r="AQ376" i="1"/>
  <c r="AP376" i="1"/>
  <c r="AS376" i="1"/>
  <c r="AR376" i="1" s="1"/>
  <c r="AA307" i="1"/>
  <c r="H318" i="18"/>
  <c r="AE395" i="18"/>
  <c r="X396" i="18"/>
  <c r="W396" i="18"/>
  <c r="AD396" i="18" s="1"/>
  <c r="Z396" i="18"/>
  <c r="Y396" i="18" s="1"/>
  <c r="L318" i="18"/>
  <c r="M318" i="18" s="1"/>
  <c r="K319" i="18" s="1"/>
  <c r="N318" i="18"/>
  <c r="Z308" i="1" l="1"/>
  <c r="AG308" i="1" s="1"/>
  <c r="AU376" i="1"/>
  <c r="AV376" i="1"/>
  <c r="AT377" i="1" s="1"/>
  <c r="AH307" i="1"/>
  <c r="AW376" i="1"/>
  <c r="O318" i="18"/>
  <c r="G319" i="18"/>
  <c r="N319" i="18" s="1"/>
  <c r="AB396" i="18"/>
  <c r="AC396" i="18"/>
  <c r="AA397" i="18" s="1"/>
  <c r="AC308" i="1" l="1"/>
  <c r="AB308" i="1" s="1"/>
  <c r="AA308" i="1"/>
  <c r="AX376" i="1"/>
  <c r="AS377" i="1"/>
  <c r="AR377" i="1" s="1"/>
  <c r="AP377" i="1"/>
  <c r="AQ377" i="1"/>
  <c r="AE308" i="1"/>
  <c r="J319" i="18"/>
  <c r="I319" i="18" s="1"/>
  <c r="H319" i="18"/>
  <c r="AE396" i="18"/>
  <c r="Z397" i="18"/>
  <c r="Y397" i="18" s="1"/>
  <c r="X397" i="18"/>
  <c r="W397" i="18"/>
  <c r="L319" i="18"/>
  <c r="M319" i="18" s="1"/>
  <c r="K320" i="18" s="1"/>
  <c r="AU377" i="1" l="1"/>
  <c r="AV377" i="1"/>
  <c r="AT378" i="1" s="1"/>
  <c r="AF308" i="1"/>
  <c r="AD309" i="1" s="1"/>
  <c r="AW377" i="1"/>
  <c r="O319" i="18"/>
  <c r="G320" i="18"/>
  <c r="H320" i="18" s="1"/>
  <c r="AC397" i="18"/>
  <c r="AA398" i="18" s="1"/>
  <c r="AB397" i="18"/>
  <c r="AD397" i="18"/>
  <c r="AH308" i="1" l="1"/>
  <c r="AQ378" i="1"/>
  <c r="AP378" i="1"/>
  <c r="AS378" i="1"/>
  <c r="AR378" i="1" s="1"/>
  <c r="AX377" i="1"/>
  <c r="Z309" i="1"/>
  <c r="AG309" i="1" s="1"/>
  <c r="J320" i="18"/>
  <c r="I320" i="18" s="1"/>
  <c r="AE397" i="18"/>
  <c r="L320" i="18"/>
  <c r="M320" i="18" s="1"/>
  <c r="K321" i="18" s="1"/>
  <c r="X398" i="18"/>
  <c r="W398" i="18"/>
  <c r="Z398" i="18"/>
  <c r="Y398" i="18" s="1"/>
  <c r="N320" i="18"/>
  <c r="AC309" i="1" l="1"/>
  <c r="AB309" i="1" s="1"/>
  <c r="AA309" i="1"/>
  <c r="AU378" i="1"/>
  <c r="AV378" i="1"/>
  <c r="AT379" i="1" s="1"/>
  <c r="AW378" i="1"/>
  <c r="AE309" i="1"/>
  <c r="O320" i="18"/>
  <c r="AB398" i="18"/>
  <c r="AC398" i="18"/>
  <c r="AA399" i="18" s="1"/>
  <c r="AD398" i="18"/>
  <c r="G321" i="18"/>
  <c r="H321" i="18" s="1"/>
  <c r="AS379" i="1" l="1"/>
  <c r="AR379" i="1" s="1"/>
  <c r="AP379" i="1"/>
  <c r="AQ379" i="1"/>
  <c r="AX378" i="1"/>
  <c r="AF309" i="1"/>
  <c r="AD310" i="1" s="1"/>
  <c r="J321" i="18"/>
  <c r="I321" i="18" s="1"/>
  <c r="N321" i="18"/>
  <c r="Z399" i="18"/>
  <c r="Y399" i="18" s="1"/>
  <c r="X399" i="18"/>
  <c r="W399" i="18"/>
  <c r="L321" i="18"/>
  <c r="M321" i="18" s="1"/>
  <c r="K322" i="18" s="1"/>
  <c r="AE398" i="18"/>
  <c r="AH309" i="1" l="1"/>
  <c r="AU379" i="1"/>
  <c r="AV379" i="1"/>
  <c r="AT380" i="1" s="1"/>
  <c r="AW379" i="1"/>
  <c r="Z310" i="1"/>
  <c r="AA310" i="1" s="1"/>
  <c r="G322" i="18"/>
  <c r="H322" i="18" s="1"/>
  <c r="O321" i="18"/>
  <c r="AC399" i="18"/>
  <c r="AA400" i="18" s="1"/>
  <c r="AB399" i="18"/>
  <c r="AD399" i="18"/>
  <c r="AC310" i="1" l="1"/>
  <c r="AB310" i="1" s="1"/>
  <c r="AG310" i="1"/>
  <c r="AQ380" i="1"/>
  <c r="AS380" i="1"/>
  <c r="AR380" i="1" s="1"/>
  <c r="AP380" i="1"/>
  <c r="AW380" i="1" s="1"/>
  <c r="AE310" i="1"/>
  <c r="AF310" i="1" s="1"/>
  <c r="AD311" i="1" s="1"/>
  <c r="AX379" i="1"/>
  <c r="J322" i="18"/>
  <c r="I322" i="18" s="1"/>
  <c r="AE399" i="18"/>
  <c r="X400" i="18"/>
  <c r="W400" i="18"/>
  <c r="AD400" i="18" s="1"/>
  <c r="Z400" i="18"/>
  <c r="Y400" i="18" s="1"/>
  <c r="L322" i="18"/>
  <c r="M322" i="18" s="1"/>
  <c r="K323" i="18" s="1"/>
  <c r="N322" i="18"/>
  <c r="Z311" i="1" l="1"/>
  <c r="AA311" i="1" s="1"/>
  <c r="AU380" i="1"/>
  <c r="AV380" i="1"/>
  <c r="AT381" i="1" s="1"/>
  <c r="AH310" i="1"/>
  <c r="O322" i="18"/>
  <c r="G323" i="18"/>
  <c r="H323" i="18" s="1"/>
  <c r="AB400" i="18"/>
  <c r="AC400" i="18"/>
  <c r="AA401" i="18" s="1"/>
  <c r="AC311" i="1" l="1"/>
  <c r="AB311" i="1" s="1"/>
  <c r="AG311" i="1"/>
  <c r="AX380" i="1"/>
  <c r="AS381" i="1"/>
  <c r="AR381" i="1" s="1"/>
  <c r="AP381" i="1"/>
  <c r="AW381" i="1" s="1"/>
  <c r="AQ381" i="1"/>
  <c r="AE311" i="1"/>
  <c r="AF311" i="1" s="1"/>
  <c r="AD312" i="1" s="1"/>
  <c r="J323" i="18"/>
  <c r="I323" i="18" s="1"/>
  <c r="N323" i="18"/>
  <c r="AE400" i="18"/>
  <c r="L323" i="18"/>
  <c r="M323" i="18" s="1"/>
  <c r="K324" i="18" s="1"/>
  <c r="Z401" i="18"/>
  <c r="Y401" i="18" s="1"/>
  <c r="X401" i="18"/>
  <c r="W401" i="18"/>
  <c r="Z312" i="1" l="1"/>
  <c r="AG312" i="1" s="1"/>
  <c r="AU381" i="1"/>
  <c r="AV381" i="1"/>
  <c r="AT382" i="1" s="1"/>
  <c r="AH311" i="1"/>
  <c r="G324" i="18"/>
  <c r="H324" i="18" s="1"/>
  <c r="AC401" i="18"/>
  <c r="AA402" i="18" s="1"/>
  <c r="AB401" i="18"/>
  <c r="AD401" i="18"/>
  <c r="O323" i="18"/>
  <c r="AX381" i="1" l="1"/>
  <c r="AC312" i="1"/>
  <c r="AB312" i="1" s="1"/>
  <c r="AA312" i="1"/>
  <c r="AQ382" i="1"/>
  <c r="AP382" i="1"/>
  <c r="AS382" i="1"/>
  <c r="AR382" i="1" s="1"/>
  <c r="AE312" i="1"/>
  <c r="J324" i="18"/>
  <c r="I324" i="18" s="1"/>
  <c r="AE401" i="18"/>
  <c r="X402" i="18"/>
  <c r="W402" i="18"/>
  <c r="Z402" i="18"/>
  <c r="Y402" i="18" s="1"/>
  <c r="L324" i="18"/>
  <c r="M324" i="18" s="1"/>
  <c r="K325" i="18" s="1"/>
  <c r="N324" i="18"/>
  <c r="AF312" i="1" l="1"/>
  <c r="AD313" i="1" s="1"/>
  <c r="AU382" i="1"/>
  <c r="AV382" i="1"/>
  <c r="AT383" i="1" s="1"/>
  <c r="AW382" i="1"/>
  <c r="O324" i="18"/>
  <c r="G325" i="18"/>
  <c r="N325" i="18" s="1"/>
  <c r="AB402" i="18"/>
  <c r="AC402" i="18"/>
  <c r="AA403" i="18" s="1"/>
  <c r="AD402" i="18"/>
  <c r="AS383" i="1" l="1"/>
  <c r="AR383" i="1" s="1"/>
  <c r="AP383" i="1"/>
  <c r="AW383" i="1" s="1"/>
  <c r="AQ383" i="1"/>
  <c r="AX382" i="1"/>
  <c r="Z313" i="1"/>
  <c r="AC313" i="1" s="1"/>
  <c r="AB313" i="1" s="1"/>
  <c r="AH312" i="1"/>
  <c r="J325" i="18"/>
  <c r="I325" i="18" s="1"/>
  <c r="H325" i="18"/>
  <c r="Z403" i="18"/>
  <c r="Y403" i="18" s="1"/>
  <c r="X403" i="18"/>
  <c r="W403" i="18"/>
  <c r="AE402" i="18"/>
  <c r="L325" i="18"/>
  <c r="M325" i="18" s="1"/>
  <c r="K326" i="18" s="1"/>
  <c r="AG313" i="1" l="1"/>
  <c r="AA313" i="1"/>
  <c r="AE313" i="1"/>
  <c r="AF313" i="1" s="1"/>
  <c r="AD314" i="1" s="1"/>
  <c r="AU383" i="1"/>
  <c r="AV383" i="1"/>
  <c r="AT384" i="1" s="1"/>
  <c r="O325" i="18"/>
  <c r="G326" i="18"/>
  <c r="N326" i="18" s="1"/>
  <c r="AC403" i="18"/>
  <c r="AA404" i="18" s="1"/>
  <c r="AB403" i="18"/>
  <c r="AD403" i="18"/>
  <c r="Z314" i="1" l="1"/>
  <c r="AQ384" i="1"/>
  <c r="AP384" i="1"/>
  <c r="AW384" i="1" s="1"/>
  <c r="AS384" i="1"/>
  <c r="AR384" i="1" s="1"/>
  <c r="AX383" i="1"/>
  <c r="AH313" i="1"/>
  <c r="J326" i="18"/>
  <c r="I326" i="18" s="1"/>
  <c r="H326" i="18"/>
  <c r="AE403" i="18"/>
  <c r="X404" i="18"/>
  <c r="W404" i="18"/>
  <c r="Z404" i="18"/>
  <c r="Y404" i="18" s="1"/>
  <c r="L326" i="18"/>
  <c r="M326" i="18" s="1"/>
  <c r="K327" i="18" s="1"/>
  <c r="AE314" i="1" l="1"/>
  <c r="AU384" i="1"/>
  <c r="AV384" i="1"/>
  <c r="AT385" i="1" s="1"/>
  <c r="AG314" i="1"/>
  <c r="AA314" i="1"/>
  <c r="AC314" i="1"/>
  <c r="AB314" i="1" s="1"/>
  <c r="O326" i="18"/>
  <c r="AB404" i="18"/>
  <c r="AC404" i="18"/>
  <c r="AA405" i="18" s="1"/>
  <c r="G327" i="18"/>
  <c r="N327" i="18" s="1"/>
  <c r="AD404" i="18"/>
  <c r="AX384" i="1" l="1"/>
  <c r="AS385" i="1"/>
  <c r="AR385" i="1" s="1"/>
  <c r="AP385" i="1"/>
  <c r="AW385" i="1" s="1"/>
  <c r="AQ385" i="1"/>
  <c r="AF314" i="1"/>
  <c r="AD315" i="1" s="1"/>
  <c r="J327" i="18"/>
  <c r="I327" i="18" s="1"/>
  <c r="H327" i="18"/>
  <c r="L327" i="18"/>
  <c r="M327" i="18" s="1"/>
  <c r="K328" i="18" s="1"/>
  <c r="Z405" i="18"/>
  <c r="Y405" i="18" s="1"/>
  <c r="W405" i="18"/>
  <c r="AD405" i="18" s="1"/>
  <c r="X405" i="18"/>
  <c r="AE404" i="18"/>
  <c r="AH314" i="1" l="1"/>
  <c r="Z315" i="1"/>
  <c r="AA315" i="1" s="1"/>
  <c r="AU385" i="1"/>
  <c r="AV385" i="1"/>
  <c r="AT386" i="1" s="1"/>
  <c r="G328" i="18"/>
  <c r="J328" i="18" s="1"/>
  <c r="I328" i="18" s="1"/>
  <c r="AB405" i="18"/>
  <c r="AC405" i="18"/>
  <c r="AA406" i="18" s="1"/>
  <c r="O327" i="18"/>
  <c r="AC315" i="1" l="1"/>
  <c r="AB315" i="1" s="1"/>
  <c r="AG315" i="1"/>
  <c r="AQ386" i="1"/>
  <c r="AS386" i="1"/>
  <c r="AR386" i="1" s="1"/>
  <c r="AP386" i="1"/>
  <c r="AX385" i="1"/>
  <c r="AE315" i="1"/>
  <c r="AF315" i="1" s="1"/>
  <c r="AD316" i="1" s="1"/>
  <c r="AE405" i="18"/>
  <c r="H328" i="18"/>
  <c r="L328" i="18"/>
  <c r="M328" i="18" s="1"/>
  <c r="K329" i="18" s="1"/>
  <c r="N328" i="18"/>
  <c r="X406" i="18"/>
  <c r="Z406" i="18"/>
  <c r="Y406" i="18" s="1"/>
  <c r="W406" i="18"/>
  <c r="AD406" i="18" s="1"/>
  <c r="Z316" i="1" l="1"/>
  <c r="AC316" i="1" s="1"/>
  <c r="AB316" i="1" s="1"/>
  <c r="AU386" i="1"/>
  <c r="AV386" i="1"/>
  <c r="AT387" i="1" s="1"/>
  <c r="AH315" i="1"/>
  <c r="AW386" i="1"/>
  <c r="O328" i="18"/>
  <c r="AB406" i="18"/>
  <c r="AC406" i="18"/>
  <c r="AA407" i="18" s="1"/>
  <c r="G329" i="18"/>
  <c r="N329" i="18" s="1"/>
  <c r="AX386" i="1" l="1"/>
  <c r="AG316" i="1"/>
  <c r="AS387" i="1"/>
  <c r="AR387" i="1" s="1"/>
  <c r="AP387" i="1"/>
  <c r="AQ387" i="1"/>
  <c r="AE316" i="1"/>
  <c r="AA316" i="1"/>
  <c r="H329" i="18"/>
  <c r="J329" i="18"/>
  <c r="I329" i="18" s="1"/>
  <c r="AE406" i="18"/>
  <c r="Z407" i="18"/>
  <c r="Y407" i="18" s="1"/>
  <c r="X407" i="18"/>
  <c r="W407" i="18"/>
  <c r="L329" i="18"/>
  <c r="M329" i="18" s="1"/>
  <c r="K330" i="18" s="1"/>
  <c r="AU387" i="1" l="1"/>
  <c r="AV387" i="1"/>
  <c r="AT388" i="1" s="1"/>
  <c r="AF316" i="1"/>
  <c r="AD317" i="1" s="1"/>
  <c r="AW387" i="1"/>
  <c r="O329" i="18"/>
  <c r="G330" i="18"/>
  <c r="H330" i="18" s="1"/>
  <c r="AC407" i="18"/>
  <c r="AA408" i="18" s="1"/>
  <c r="AB407" i="18"/>
  <c r="AD407" i="18"/>
  <c r="AQ388" i="1" l="1"/>
  <c r="AS388" i="1"/>
  <c r="AR388" i="1" s="1"/>
  <c r="AP388" i="1"/>
  <c r="AW388" i="1" s="1"/>
  <c r="Z317" i="1"/>
  <c r="AA317" i="1" s="1"/>
  <c r="AX387" i="1"/>
  <c r="AH316" i="1"/>
  <c r="J330" i="18"/>
  <c r="I330" i="18" s="1"/>
  <c r="AE407" i="18"/>
  <c r="X408" i="18"/>
  <c r="Z408" i="18"/>
  <c r="Y408" i="18" s="1"/>
  <c r="W408" i="18"/>
  <c r="AD408" i="18" s="1"/>
  <c r="L330" i="18"/>
  <c r="M330" i="18" s="1"/>
  <c r="K331" i="18" s="1"/>
  <c r="N330" i="18"/>
  <c r="AG317" i="1" l="1"/>
  <c r="AU388" i="1"/>
  <c r="AV388" i="1"/>
  <c r="AT389" i="1" s="1"/>
  <c r="AE317" i="1"/>
  <c r="AF317" i="1" s="1"/>
  <c r="AD318" i="1" s="1"/>
  <c r="AC317" i="1"/>
  <c r="AB317" i="1" s="1"/>
  <c r="O330" i="18"/>
  <c r="G331" i="18"/>
  <c r="N331" i="18" s="1"/>
  <c r="AB408" i="18"/>
  <c r="AC408" i="18"/>
  <c r="AA409" i="18" s="1"/>
  <c r="AX388" i="1" l="1"/>
  <c r="Z318" i="1"/>
  <c r="AG318" i="1" s="1"/>
  <c r="AS389" i="1"/>
  <c r="AR389" i="1" s="1"/>
  <c r="AQ389" i="1"/>
  <c r="AP389" i="1"/>
  <c r="AW389" i="1" s="1"/>
  <c r="AH317" i="1"/>
  <c r="J331" i="18"/>
  <c r="I331" i="18" s="1"/>
  <c r="H331" i="18"/>
  <c r="AE408" i="18"/>
  <c r="Z409" i="18"/>
  <c r="Y409" i="18" s="1"/>
  <c r="X409" i="18"/>
  <c r="W409" i="18"/>
  <c r="L331" i="18"/>
  <c r="M331" i="18" s="1"/>
  <c r="K332" i="18" s="1"/>
  <c r="AC318" i="1" l="1"/>
  <c r="AB318" i="1" s="1"/>
  <c r="AA318" i="1"/>
  <c r="AV389" i="1"/>
  <c r="AT390" i="1" s="1"/>
  <c r="AU389" i="1"/>
  <c r="AE318" i="1"/>
  <c r="AF318" i="1" s="1"/>
  <c r="AD319" i="1" s="1"/>
  <c r="O331" i="18"/>
  <c r="G332" i="18"/>
  <c r="H332" i="18" s="1"/>
  <c r="AC409" i="18"/>
  <c r="AA410" i="18" s="1"/>
  <c r="AB409" i="18"/>
  <c r="AD409" i="18"/>
  <c r="AX389" i="1" l="1"/>
  <c r="Z319" i="1"/>
  <c r="AG319" i="1" s="1"/>
  <c r="AH318" i="1"/>
  <c r="AQ390" i="1"/>
  <c r="AP390" i="1"/>
  <c r="AS390" i="1"/>
  <c r="AR390" i="1" s="1"/>
  <c r="J332" i="18"/>
  <c r="I332" i="18" s="1"/>
  <c r="AE409" i="18"/>
  <c r="X410" i="18"/>
  <c r="W410" i="18"/>
  <c r="Z410" i="18"/>
  <c r="Y410" i="18" s="1"/>
  <c r="L332" i="18"/>
  <c r="M332" i="18" s="1"/>
  <c r="K333" i="18" s="1"/>
  <c r="N332" i="18"/>
  <c r="AC319" i="1" l="1"/>
  <c r="AB319" i="1" s="1"/>
  <c r="AA319" i="1"/>
  <c r="AU390" i="1"/>
  <c r="AV390" i="1"/>
  <c r="AT391" i="1" s="1"/>
  <c r="AW390" i="1"/>
  <c r="AE319" i="1"/>
  <c r="AF319" i="1" s="1"/>
  <c r="AD320" i="1" s="1"/>
  <c r="G333" i="18"/>
  <c r="H333" i="18" s="1"/>
  <c r="AB410" i="18"/>
  <c r="AC410" i="18"/>
  <c r="AA411" i="18" s="1"/>
  <c r="O332" i="18"/>
  <c r="AD410" i="18"/>
  <c r="Z320" i="1" l="1"/>
  <c r="AG320" i="1" s="1"/>
  <c r="AH319" i="1"/>
  <c r="AS391" i="1"/>
  <c r="AR391" i="1" s="1"/>
  <c r="AP391" i="1"/>
  <c r="AQ391" i="1"/>
  <c r="AX390" i="1"/>
  <c r="J333" i="18"/>
  <c r="I333" i="18" s="1"/>
  <c r="Z411" i="18"/>
  <c r="Y411" i="18" s="1"/>
  <c r="X411" i="18"/>
  <c r="W411" i="18"/>
  <c r="AE410" i="18"/>
  <c r="L333" i="18"/>
  <c r="M333" i="18" s="1"/>
  <c r="K334" i="18" s="1"/>
  <c r="N333" i="18"/>
  <c r="AC320" i="1" l="1"/>
  <c r="AB320" i="1" s="1"/>
  <c r="AA320" i="1"/>
  <c r="AU391" i="1"/>
  <c r="AV391" i="1"/>
  <c r="AT392" i="1" s="1"/>
  <c r="AW391" i="1"/>
  <c r="AE320" i="1"/>
  <c r="AF320" i="1" s="1"/>
  <c r="AD321" i="1" s="1"/>
  <c r="G334" i="18"/>
  <c r="H334" i="18" s="1"/>
  <c r="O333" i="18"/>
  <c r="AC411" i="18"/>
  <c r="AA412" i="18" s="1"/>
  <c r="AB411" i="18"/>
  <c r="AD411" i="18"/>
  <c r="AQ392" i="1" l="1"/>
  <c r="AP392" i="1"/>
  <c r="AW392" i="1" s="1"/>
  <c r="AS392" i="1"/>
  <c r="AR392" i="1" s="1"/>
  <c r="Z321" i="1"/>
  <c r="AA321" i="1" s="1"/>
  <c r="AH320" i="1"/>
  <c r="AX391" i="1"/>
  <c r="J334" i="18"/>
  <c r="I334" i="18" s="1"/>
  <c r="AE411" i="18"/>
  <c r="X412" i="18"/>
  <c r="W412" i="18"/>
  <c r="AD412" i="18" s="1"/>
  <c r="Z412" i="18"/>
  <c r="Y412" i="18" s="1"/>
  <c r="L334" i="18"/>
  <c r="M334" i="18" s="1"/>
  <c r="K335" i="18" s="1"/>
  <c r="N334" i="18"/>
  <c r="AC321" i="1" l="1"/>
  <c r="AB321" i="1" s="1"/>
  <c r="AE321" i="1"/>
  <c r="AU392" i="1"/>
  <c r="AV392" i="1"/>
  <c r="AT393" i="1" s="1"/>
  <c r="AG321" i="1"/>
  <c r="O334" i="18"/>
  <c r="G335" i="18"/>
  <c r="H335" i="18" s="1"/>
  <c r="AB412" i="18"/>
  <c r="AC412" i="18"/>
  <c r="AA413" i="18" s="1"/>
  <c r="AX392" i="1" l="1"/>
  <c r="AS393" i="1"/>
  <c r="AR393" i="1" s="1"/>
  <c r="AP393" i="1"/>
  <c r="AW393" i="1" s="1"/>
  <c r="AQ393" i="1"/>
  <c r="AF321" i="1"/>
  <c r="AD322" i="1" s="1"/>
  <c r="J335" i="18"/>
  <c r="I335" i="18" s="1"/>
  <c r="N335" i="18"/>
  <c r="Z413" i="18"/>
  <c r="Y413" i="18" s="1"/>
  <c r="W413" i="18"/>
  <c r="AD413" i="18" s="1"/>
  <c r="X413" i="18"/>
  <c r="AE412" i="18"/>
  <c r="L335" i="18"/>
  <c r="M335" i="18" s="1"/>
  <c r="K336" i="18" s="1"/>
  <c r="Z322" i="1" l="1"/>
  <c r="AG322" i="1" s="1"/>
  <c r="AH321" i="1"/>
  <c r="AU393" i="1"/>
  <c r="AV393" i="1"/>
  <c r="AT394" i="1" s="1"/>
  <c r="G336" i="18"/>
  <c r="H336" i="18" s="1"/>
  <c r="O335" i="18"/>
  <c r="AB413" i="18"/>
  <c r="AC413" i="18"/>
  <c r="AA414" i="18" s="1"/>
  <c r="AC322" i="1" l="1"/>
  <c r="AB322" i="1" s="1"/>
  <c r="AA322" i="1"/>
  <c r="AQ394" i="1"/>
  <c r="AS394" i="1"/>
  <c r="AR394" i="1" s="1"/>
  <c r="AP394" i="1"/>
  <c r="AX393" i="1"/>
  <c r="AE322" i="1"/>
  <c r="J336" i="18"/>
  <c r="I336" i="18" s="1"/>
  <c r="X414" i="18"/>
  <c r="Z414" i="18"/>
  <c r="Y414" i="18" s="1"/>
  <c r="W414" i="18"/>
  <c r="AE413" i="18"/>
  <c r="L336" i="18"/>
  <c r="M336" i="18" s="1"/>
  <c r="K337" i="18" s="1"/>
  <c r="N336" i="18"/>
  <c r="AU394" i="1" l="1"/>
  <c r="AV394" i="1"/>
  <c r="AT395" i="1" s="1"/>
  <c r="AF322" i="1"/>
  <c r="AD323" i="1" s="1"/>
  <c r="AW394" i="1"/>
  <c r="O336" i="18"/>
  <c r="AB414" i="18"/>
  <c r="AC414" i="18"/>
  <c r="AA415" i="18" s="1"/>
  <c r="G337" i="18"/>
  <c r="N337" i="18" s="1"/>
  <c r="AD414" i="18"/>
  <c r="AS395" i="1" l="1"/>
  <c r="AR395" i="1" s="1"/>
  <c r="AP395" i="1"/>
  <c r="AW395" i="1" s="1"/>
  <c r="AQ395" i="1"/>
  <c r="Z323" i="1"/>
  <c r="AX394" i="1"/>
  <c r="AH322" i="1"/>
  <c r="H337" i="18"/>
  <c r="J337" i="18"/>
  <c r="I337" i="18" s="1"/>
  <c r="Z415" i="18"/>
  <c r="Y415" i="18" s="1"/>
  <c r="X415" i="18"/>
  <c r="W415" i="18"/>
  <c r="AE414" i="18"/>
  <c r="L337" i="18"/>
  <c r="M337" i="18" s="1"/>
  <c r="K338" i="18" s="1"/>
  <c r="AE323" i="1" l="1"/>
  <c r="AF323" i="1" s="1"/>
  <c r="AD324" i="1" s="1"/>
  <c r="AA323" i="1"/>
  <c r="AC323" i="1"/>
  <c r="AB323" i="1" s="1"/>
  <c r="AG323" i="1"/>
  <c r="AU395" i="1"/>
  <c r="AV395" i="1"/>
  <c r="AT396" i="1" s="1"/>
  <c r="G338" i="18"/>
  <c r="H338" i="18" s="1"/>
  <c r="O337" i="18"/>
  <c r="AC415" i="18"/>
  <c r="AA416" i="18" s="1"/>
  <c r="AB415" i="18"/>
  <c r="AD415" i="18"/>
  <c r="AQ396" i="1" l="1"/>
  <c r="AS396" i="1"/>
  <c r="AR396" i="1" s="1"/>
  <c r="AP396" i="1"/>
  <c r="AW396" i="1" s="1"/>
  <c r="Z324" i="1"/>
  <c r="AA324" i="1" s="1"/>
  <c r="AX395" i="1"/>
  <c r="AH323" i="1"/>
  <c r="J338" i="18"/>
  <c r="I338" i="18" s="1"/>
  <c r="AE415" i="18"/>
  <c r="X416" i="18"/>
  <c r="Z416" i="18"/>
  <c r="Y416" i="18" s="1"/>
  <c r="W416" i="18"/>
  <c r="AD416" i="18" s="1"/>
  <c r="L338" i="18"/>
  <c r="M338" i="18" s="1"/>
  <c r="K339" i="18" s="1"/>
  <c r="N338" i="18"/>
  <c r="AC324" i="1" l="1"/>
  <c r="AB324" i="1" s="1"/>
  <c r="AG324" i="1"/>
  <c r="AE324" i="1"/>
  <c r="AU396" i="1"/>
  <c r="AV396" i="1"/>
  <c r="AT397" i="1" s="1"/>
  <c r="O338" i="18"/>
  <c r="G339" i="18"/>
  <c r="H339" i="18" s="1"/>
  <c r="AB416" i="18"/>
  <c r="AC416" i="18"/>
  <c r="AA417" i="18" s="1"/>
  <c r="AS397" i="1" l="1"/>
  <c r="AR397" i="1" s="1"/>
  <c r="AQ397" i="1"/>
  <c r="AP397" i="1"/>
  <c r="AW397" i="1" s="1"/>
  <c r="AX396" i="1"/>
  <c r="AF324" i="1"/>
  <c r="AD325" i="1" s="1"/>
  <c r="J339" i="18"/>
  <c r="I339" i="18" s="1"/>
  <c r="AE416" i="18"/>
  <c r="L339" i="18"/>
  <c r="M339" i="18" s="1"/>
  <c r="K340" i="18" s="1"/>
  <c r="Z417" i="18"/>
  <c r="Y417" i="18" s="1"/>
  <c r="X417" i="18"/>
  <c r="W417" i="18"/>
  <c r="N339" i="18"/>
  <c r="AH324" i="1" l="1"/>
  <c r="Z325" i="1"/>
  <c r="AC325" i="1" s="1"/>
  <c r="AB325" i="1" s="1"/>
  <c r="AV397" i="1"/>
  <c r="AT398" i="1" s="1"/>
  <c r="AU397" i="1"/>
  <c r="AC417" i="18"/>
  <c r="AA418" i="18" s="1"/>
  <c r="AB417" i="18"/>
  <c r="AD417" i="18"/>
  <c r="G340" i="18"/>
  <c r="H340" i="18" s="1"/>
  <c r="O339" i="18"/>
  <c r="AX397" i="1" l="1"/>
  <c r="AG325" i="1"/>
  <c r="AA325" i="1"/>
  <c r="AQ398" i="1"/>
  <c r="AP398" i="1"/>
  <c r="AW398" i="1" s="1"/>
  <c r="AS398" i="1"/>
  <c r="AR398" i="1" s="1"/>
  <c r="AE325" i="1"/>
  <c r="AF325" i="1" s="1"/>
  <c r="AD326" i="1" s="1"/>
  <c r="J340" i="18"/>
  <c r="I340" i="18" s="1"/>
  <c r="L340" i="18"/>
  <c r="M340" i="18" s="1"/>
  <c r="K341" i="18" s="1"/>
  <c r="N340" i="18"/>
  <c r="AE417" i="18"/>
  <c r="X418" i="18"/>
  <c r="W418" i="18"/>
  <c r="AD418" i="18" s="1"/>
  <c r="Z418" i="18"/>
  <c r="Y418" i="18" s="1"/>
  <c r="Z326" i="1" l="1"/>
  <c r="AG326" i="1" s="1"/>
  <c r="AH325" i="1"/>
  <c r="AU398" i="1"/>
  <c r="AV398" i="1"/>
  <c r="AT399" i="1" s="1"/>
  <c r="O340" i="18"/>
  <c r="AB418" i="18"/>
  <c r="AC418" i="18"/>
  <c r="AA419" i="18" s="1"/>
  <c r="G341" i="18"/>
  <c r="N341" i="18" s="1"/>
  <c r="AC326" i="1" l="1"/>
  <c r="AB326" i="1" s="1"/>
  <c r="AA326" i="1"/>
  <c r="AS399" i="1"/>
  <c r="AR399" i="1" s="1"/>
  <c r="AP399" i="1"/>
  <c r="AW399" i="1" s="1"/>
  <c r="AQ399" i="1"/>
  <c r="AX398" i="1"/>
  <c r="AE326" i="1"/>
  <c r="J341" i="18"/>
  <c r="I341" i="18" s="1"/>
  <c r="H341" i="18"/>
  <c r="AE418" i="18"/>
  <c r="Z419" i="18"/>
  <c r="Y419" i="18" s="1"/>
  <c r="X419" i="18"/>
  <c r="W419" i="18"/>
  <c r="L341" i="18"/>
  <c r="M341" i="18" s="1"/>
  <c r="K342" i="18" s="1"/>
  <c r="AF326" i="1" l="1"/>
  <c r="AD327" i="1" s="1"/>
  <c r="AU399" i="1"/>
  <c r="AV399" i="1"/>
  <c r="AT400" i="1" s="1"/>
  <c r="O341" i="18"/>
  <c r="G342" i="18"/>
  <c r="H342" i="18" s="1"/>
  <c r="AC419" i="18"/>
  <c r="AA420" i="18" s="1"/>
  <c r="AB419" i="18"/>
  <c r="AD419" i="18"/>
  <c r="AQ400" i="1" l="1"/>
  <c r="AP400" i="1"/>
  <c r="AW400" i="1" s="1"/>
  <c r="AS400" i="1"/>
  <c r="AR400" i="1" s="1"/>
  <c r="AX399" i="1"/>
  <c r="Z327" i="1"/>
  <c r="AC327" i="1" s="1"/>
  <c r="AB327" i="1" s="1"/>
  <c r="AH326" i="1"/>
  <c r="J342" i="18"/>
  <c r="I342" i="18" s="1"/>
  <c r="AE419" i="18"/>
  <c r="X420" i="18"/>
  <c r="W420" i="18"/>
  <c r="AD420" i="18" s="1"/>
  <c r="Z420" i="18"/>
  <c r="Y420" i="18" s="1"/>
  <c r="L342" i="18"/>
  <c r="M342" i="18" s="1"/>
  <c r="K343" i="18" s="1"/>
  <c r="N342" i="18"/>
  <c r="AG327" i="1" l="1"/>
  <c r="AA327" i="1"/>
  <c r="AE327" i="1"/>
  <c r="AF327" i="1" s="1"/>
  <c r="AD328" i="1" s="1"/>
  <c r="AU400" i="1"/>
  <c r="AV400" i="1"/>
  <c r="AT401" i="1" s="1"/>
  <c r="O342" i="18"/>
  <c r="G343" i="18"/>
  <c r="N343" i="18" s="1"/>
  <c r="AB420" i="18"/>
  <c r="AC420" i="18"/>
  <c r="AA421" i="18" s="1"/>
  <c r="Z328" i="1" l="1"/>
  <c r="AC328" i="1" s="1"/>
  <c r="AB328" i="1" s="1"/>
  <c r="AS401" i="1"/>
  <c r="AR401" i="1" s="1"/>
  <c r="AP401" i="1"/>
  <c r="AQ401" i="1"/>
  <c r="AX400" i="1"/>
  <c r="AH327" i="1"/>
  <c r="J343" i="18"/>
  <c r="I343" i="18" s="1"/>
  <c r="H343" i="18"/>
  <c r="Z421" i="18"/>
  <c r="Y421" i="18" s="1"/>
  <c r="W421" i="18"/>
  <c r="AD421" i="18" s="1"/>
  <c r="X421" i="18"/>
  <c r="L343" i="18"/>
  <c r="M343" i="18" s="1"/>
  <c r="K344" i="18" s="1"/>
  <c r="AE420" i="18"/>
  <c r="AG328" i="1" l="1"/>
  <c r="AA328" i="1"/>
  <c r="AU401" i="1"/>
  <c r="AV401" i="1"/>
  <c r="AT402" i="1" s="1"/>
  <c r="AW401" i="1"/>
  <c r="AE328" i="1"/>
  <c r="AF328" i="1" s="1"/>
  <c r="AD329" i="1" s="1"/>
  <c r="O343" i="18"/>
  <c r="G344" i="18"/>
  <c r="H344" i="18" s="1"/>
  <c r="AB421" i="18"/>
  <c r="AC421" i="18"/>
  <c r="AA422" i="18" s="1"/>
  <c r="Z329" i="1" l="1"/>
  <c r="AC329" i="1" s="1"/>
  <c r="AB329" i="1" s="1"/>
  <c r="AQ402" i="1"/>
  <c r="AS402" i="1"/>
  <c r="AR402" i="1" s="1"/>
  <c r="AP402" i="1"/>
  <c r="AH328" i="1"/>
  <c r="AX401" i="1"/>
  <c r="J344" i="18"/>
  <c r="I344" i="18" s="1"/>
  <c r="AE421" i="18"/>
  <c r="X422" i="18"/>
  <c r="Z422" i="18"/>
  <c r="Y422" i="18" s="1"/>
  <c r="W422" i="18"/>
  <c r="AD422" i="18" s="1"/>
  <c r="L344" i="18"/>
  <c r="M344" i="18" s="1"/>
  <c r="K345" i="18" s="1"/>
  <c r="N344" i="18"/>
  <c r="AA329" i="1" l="1"/>
  <c r="AU402" i="1"/>
  <c r="AV402" i="1"/>
  <c r="AT403" i="1" s="1"/>
  <c r="AE329" i="1"/>
  <c r="AG329" i="1"/>
  <c r="AW402" i="1"/>
  <c r="G345" i="18"/>
  <c r="N345" i="18" s="1"/>
  <c r="O344" i="18"/>
  <c r="AB422" i="18"/>
  <c r="AC422" i="18"/>
  <c r="AA423" i="18" s="1"/>
  <c r="AF329" i="1" l="1"/>
  <c r="AD330" i="1" s="1"/>
  <c r="AS403" i="1"/>
  <c r="AR403" i="1" s="1"/>
  <c r="AP403" i="1"/>
  <c r="AW403" i="1" s="1"/>
  <c r="AQ403" i="1"/>
  <c r="AX402" i="1"/>
  <c r="J345" i="18"/>
  <c r="I345" i="18" s="1"/>
  <c r="H345" i="18"/>
  <c r="AE422" i="18"/>
  <c r="Z423" i="18"/>
  <c r="Y423" i="18" s="1"/>
  <c r="X423" i="18"/>
  <c r="W423" i="18"/>
  <c r="L345" i="18"/>
  <c r="M345" i="18" s="1"/>
  <c r="K346" i="18" s="1"/>
  <c r="Z330" i="1" l="1"/>
  <c r="AA330" i="1" s="1"/>
  <c r="AU403" i="1"/>
  <c r="AV403" i="1"/>
  <c r="AT404" i="1" s="1"/>
  <c r="AH329" i="1"/>
  <c r="G346" i="18"/>
  <c r="H346" i="18" s="1"/>
  <c r="O345" i="18"/>
  <c r="AC423" i="18"/>
  <c r="AA424" i="18" s="1"/>
  <c r="AB423" i="18"/>
  <c r="AD423" i="18"/>
  <c r="AG330" i="1" l="1"/>
  <c r="AX403" i="1"/>
  <c r="AE330" i="1"/>
  <c r="AQ404" i="1"/>
  <c r="AS404" i="1"/>
  <c r="AR404" i="1" s="1"/>
  <c r="AP404" i="1"/>
  <c r="AW404" i="1" s="1"/>
  <c r="AC330" i="1"/>
  <c r="AB330" i="1" s="1"/>
  <c r="J346" i="18"/>
  <c r="I346" i="18" s="1"/>
  <c r="X424" i="18"/>
  <c r="Z424" i="18"/>
  <c r="Y424" i="18" s="1"/>
  <c r="W424" i="18"/>
  <c r="AD424" i="18" s="1"/>
  <c r="AE423" i="18"/>
  <c r="L346" i="18"/>
  <c r="M346" i="18" s="1"/>
  <c r="K347" i="18" s="1"/>
  <c r="N346" i="18"/>
  <c r="AU404" i="1" l="1"/>
  <c r="AV404" i="1"/>
  <c r="AT405" i="1" s="1"/>
  <c r="AF330" i="1"/>
  <c r="AD331" i="1" s="1"/>
  <c r="O346" i="18"/>
  <c r="G347" i="18"/>
  <c r="N347" i="18" s="1"/>
  <c r="AB424" i="18"/>
  <c r="AC424" i="18"/>
  <c r="AA425" i="18" s="1"/>
  <c r="AS405" i="1" l="1"/>
  <c r="AR405" i="1" s="1"/>
  <c r="AQ405" i="1"/>
  <c r="AP405" i="1"/>
  <c r="AW405" i="1" s="1"/>
  <c r="Z331" i="1"/>
  <c r="AG331" i="1" s="1"/>
  <c r="AX404" i="1"/>
  <c r="AH330" i="1"/>
  <c r="J347" i="18"/>
  <c r="I347" i="18" s="1"/>
  <c r="H347" i="18"/>
  <c r="AE424" i="18"/>
  <c r="L347" i="18"/>
  <c r="M347" i="18" s="1"/>
  <c r="K348" i="18" s="1"/>
  <c r="Z425" i="18"/>
  <c r="Y425" i="18" s="1"/>
  <c r="X425" i="18"/>
  <c r="W425" i="18"/>
  <c r="AC331" i="1" l="1"/>
  <c r="AB331" i="1" s="1"/>
  <c r="AA331" i="1"/>
  <c r="AE331" i="1"/>
  <c r="AF331" i="1" s="1"/>
  <c r="AD332" i="1" s="1"/>
  <c r="AV405" i="1"/>
  <c r="AT406" i="1" s="1"/>
  <c r="AU405" i="1"/>
  <c r="O347" i="18"/>
  <c r="AC425" i="18"/>
  <c r="AA426" i="18" s="1"/>
  <c r="AB425" i="18"/>
  <c r="AD425" i="18"/>
  <c r="G348" i="18"/>
  <c r="H348" i="18" s="1"/>
  <c r="AX405" i="1" l="1"/>
  <c r="AQ406" i="1"/>
  <c r="AP406" i="1"/>
  <c r="AW406" i="1" s="1"/>
  <c r="AS406" i="1"/>
  <c r="AR406" i="1" s="1"/>
  <c r="Z332" i="1"/>
  <c r="AC332" i="1" s="1"/>
  <c r="AB332" i="1" s="1"/>
  <c r="AH331" i="1"/>
  <c r="J348" i="18"/>
  <c r="I348" i="18" s="1"/>
  <c r="L348" i="18"/>
  <c r="M348" i="18" s="1"/>
  <c r="K349" i="18" s="1"/>
  <c r="N348" i="18"/>
  <c r="AE425" i="18"/>
  <c r="X426" i="18"/>
  <c r="W426" i="18"/>
  <c r="Z426" i="18"/>
  <c r="Y426" i="18" s="1"/>
  <c r="AD426" i="18"/>
  <c r="AA332" i="1" l="1"/>
  <c r="AE332" i="1"/>
  <c r="AU406" i="1"/>
  <c r="AV406" i="1"/>
  <c r="AT407" i="1" s="1"/>
  <c r="AG332" i="1"/>
  <c r="AB426" i="18"/>
  <c r="AC426" i="18"/>
  <c r="AA427" i="18" s="1"/>
  <c r="O348" i="18"/>
  <c r="G349" i="18"/>
  <c r="J349" i="18" s="1"/>
  <c r="I349" i="18" s="1"/>
  <c r="AS407" i="1" l="1"/>
  <c r="AR407" i="1" s="1"/>
  <c r="AP407" i="1"/>
  <c r="AW407" i="1" s="1"/>
  <c r="AQ407" i="1"/>
  <c r="AX406" i="1"/>
  <c r="AF332" i="1"/>
  <c r="AD333" i="1" s="1"/>
  <c r="H349" i="18"/>
  <c r="L349" i="18"/>
  <c r="M349" i="18" s="1"/>
  <c r="K350" i="18" s="1"/>
  <c r="N349" i="18"/>
  <c r="AD427" i="18"/>
  <c r="Z427" i="18"/>
  <c r="Y427" i="18" s="1"/>
  <c r="X427" i="18"/>
  <c r="W427" i="18"/>
  <c r="AE426" i="18"/>
  <c r="Z333" i="1" l="1"/>
  <c r="AA333" i="1" s="1"/>
  <c r="AH332" i="1"/>
  <c r="AU407" i="1"/>
  <c r="AV407" i="1"/>
  <c r="AT408" i="1" s="1"/>
  <c r="AC427" i="18"/>
  <c r="AA428" i="18" s="1"/>
  <c r="AB427" i="18"/>
  <c r="G350" i="18"/>
  <c r="H350" i="18" s="1"/>
  <c r="O349" i="18"/>
  <c r="AC333" i="1" l="1"/>
  <c r="AB333" i="1" s="1"/>
  <c r="AG333" i="1"/>
  <c r="AQ408" i="1"/>
  <c r="AP408" i="1"/>
  <c r="AW408" i="1" s="1"/>
  <c r="AS408" i="1"/>
  <c r="AR408" i="1" s="1"/>
  <c r="AX407" i="1"/>
  <c r="AE333" i="1"/>
  <c r="AF333" i="1" s="1"/>
  <c r="AD334" i="1" s="1"/>
  <c r="J350" i="18"/>
  <c r="I350" i="18" s="1"/>
  <c r="AE427" i="18"/>
  <c r="L350" i="18"/>
  <c r="M350" i="18" s="1"/>
  <c r="K351" i="18" s="1"/>
  <c r="N350" i="18"/>
  <c r="X428" i="18"/>
  <c r="W428" i="18"/>
  <c r="AD428" i="18" s="1"/>
  <c r="Z428" i="18"/>
  <c r="Y428" i="18" s="1"/>
  <c r="AH333" i="1" l="1"/>
  <c r="AU408" i="1"/>
  <c r="AV408" i="1"/>
  <c r="AT409" i="1" s="1"/>
  <c r="Z334" i="1"/>
  <c r="G351" i="18"/>
  <c r="N351" i="18" s="1"/>
  <c r="AB428" i="18"/>
  <c r="AC428" i="18"/>
  <c r="AA429" i="18" s="1"/>
  <c r="O350" i="18"/>
  <c r="AS409" i="1" l="1"/>
  <c r="AR409" i="1" s="1"/>
  <c r="AP409" i="1"/>
  <c r="AQ409" i="1"/>
  <c r="AE334" i="1"/>
  <c r="AX408" i="1"/>
  <c r="AC334" i="1"/>
  <c r="AB334" i="1" s="1"/>
  <c r="AG334" i="1"/>
  <c r="AA334" i="1"/>
  <c r="J351" i="18"/>
  <c r="I351" i="18" s="1"/>
  <c r="H351" i="18"/>
  <c r="Z429" i="18"/>
  <c r="Y429" i="18" s="1"/>
  <c r="W429" i="18"/>
  <c r="X429" i="18"/>
  <c r="AE428" i="18"/>
  <c r="L351" i="18"/>
  <c r="M351" i="18" s="1"/>
  <c r="K352" i="18" s="1"/>
  <c r="AU409" i="1" l="1"/>
  <c r="AV409" i="1"/>
  <c r="AT410" i="1" s="1"/>
  <c r="AF334" i="1"/>
  <c r="AD335" i="1" s="1"/>
  <c r="AW409" i="1"/>
  <c r="G352" i="18"/>
  <c r="J352" i="18" s="1"/>
  <c r="I352" i="18" s="1"/>
  <c r="O351" i="18"/>
  <c r="AB429" i="18"/>
  <c r="AC429" i="18"/>
  <c r="AA430" i="18" s="1"/>
  <c r="AD429" i="18"/>
  <c r="AQ410" i="1" l="1"/>
  <c r="AS410" i="1"/>
  <c r="AR410" i="1" s="1"/>
  <c r="AP410" i="1"/>
  <c r="AW410" i="1" s="1"/>
  <c r="Z335" i="1"/>
  <c r="AG335" i="1" s="1"/>
  <c r="AX409" i="1"/>
  <c r="AH334" i="1"/>
  <c r="H352" i="18"/>
  <c r="X430" i="18"/>
  <c r="Z430" i="18"/>
  <c r="Y430" i="18" s="1"/>
  <c r="W430" i="18"/>
  <c r="L352" i="18"/>
  <c r="M352" i="18" s="1"/>
  <c r="K353" i="18" s="1"/>
  <c r="AE429" i="18"/>
  <c r="N352" i="18"/>
  <c r="AA335" i="1" l="1"/>
  <c r="AC335" i="1"/>
  <c r="AB335" i="1" s="1"/>
  <c r="AE335" i="1"/>
  <c r="AF335" i="1" s="1"/>
  <c r="AD336" i="1" s="1"/>
  <c r="AU410" i="1"/>
  <c r="AV410" i="1"/>
  <c r="AT411" i="1" s="1"/>
  <c r="AB430" i="18"/>
  <c r="AC430" i="18"/>
  <c r="AA431" i="18" s="1"/>
  <c r="O352" i="18"/>
  <c r="AD430" i="18"/>
  <c r="G353" i="18"/>
  <c r="H353" i="18" s="1"/>
  <c r="Z336" i="1" l="1"/>
  <c r="AC336" i="1" s="1"/>
  <c r="AB336" i="1" s="1"/>
  <c r="AS411" i="1"/>
  <c r="AR411" i="1" s="1"/>
  <c r="AP411" i="1"/>
  <c r="AQ411" i="1"/>
  <c r="AX410" i="1"/>
  <c r="AH335" i="1"/>
  <c r="J353" i="18"/>
  <c r="I353" i="18" s="1"/>
  <c r="L353" i="18"/>
  <c r="M353" i="18" s="1"/>
  <c r="K354" i="18" s="1"/>
  <c r="AE430" i="18"/>
  <c r="N353" i="18"/>
  <c r="Z431" i="18"/>
  <c r="Y431" i="18" s="1"/>
  <c r="X431" i="18"/>
  <c r="W431" i="18"/>
  <c r="AG336" i="1" l="1"/>
  <c r="AA336" i="1"/>
  <c r="AU411" i="1"/>
  <c r="AV411" i="1"/>
  <c r="AT412" i="1" s="1"/>
  <c r="AW411" i="1"/>
  <c r="AE336" i="1"/>
  <c r="AF336" i="1" s="1"/>
  <c r="AD337" i="1" s="1"/>
  <c r="G354" i="18"/>
  <c r="H354" i="18" s="1"/>
  <c r="AC431" i="18"/>
  <c r="AA432" i="18" s="1"/>
  <c r="AB431" i="18"/>
  <c r="AD431" i="18"/>
  <c r="O353" i="18"/>
  <c r="Z337" i="1" l="1"/>
  <c r="AG337" i="1" s="1"/>
  <c r="AQ412" i="1"/>
  <c r="AS412" i="1"/>
  <c r="AR412" i="1" s="1"/>
  <c r="AP412" i="1"/>
  <c r="AW412" i="1" s="1"/>
  <c r="AH336" i="1"/>
  <c r="AX411" i="1"/>
  <c r="J354" i="18"/>
  <c r="I354" i="18" s="1"/>
  <c r="AE431" i="18"/>
  <c r="X432" i="18"/>
  <c r="W432" i="18"/>
  <c r="Z432" i="18"/>
  <c r="Y432" i="18" s="1"/>
  <c r="L354" i="18"/>
  <c r="M354" i="18" s="1"/>
  <c r="K355" i="18" s="1"/>
  <c r="N354" i="18"/>
  <c r="AC337" i="1" l="1"/>
  <c r="AB337" i="1" s="1"/>
  <c r="AA337" i="1"/>
  <c r="AU412" i="1"/>
  <c r="AV412" i="1"/>
  <c r="AT413" i="1" s="1"/>
  <c r="AE337" i="1"/>
  <c r="O354" i="18"/>
  <c r="G355" i="18"/>
  <c r="N355" i="18" s="1"/>
  <c r="AB432" i="18"/>
  <c r="AC432" i="18"/>
  <c r="AA433" i="18" s="1"/>
  <c r="AD432" i="18"/>
  <c r="AS413" i="1" l="1"/>
  <c r="AR413" i="1" s="1"/>
  <c r="AQ413" i="1"/>
  <c r="AP413" i="1"/>
  <c r="AW413" i="1" s="1"/>
  <c r="AX412" i="1"/>
  <c r="AF337" i="1"/>
  <c r="AD338" i="1" s="1"/>
  <c r="J355" i="18"/>
  <c r="I355" i="18" s="1"/>
  <c r="H355" i="18"/>
  <c r="AE432" i="18"/>
  <c r="Z433" i="18"/>
  <c r="Y433" i="18" s="1"/>
  <c r="X433" i="18"/>
  <c r="W433" i="18"/>
  <c r="L355" i="18"/>
  <c r="M355" i="18" s="1"/>
  <c r="K356" i="18" s="1"/>
  <c r="Z338" i="1" l="1"/>
  <c r="AC338" i="1" s="1"/>
  <c r="AB338" i="1" s="1"/>
  <c r="AH337" i="1"/>
  <c r="AV413" i="1"/>
  <c r="AT414" i="1" s="1"/>
  <c r="AU413" i="1"/>
  <c r="G356" i="18"/>
  <c r="H356" i="18" s="1"/>
  <c r="O355" i="18"/>
  <c r="AC433" i="18"/>
  <c r="AA434" i="18" s="1"/>
  <c r="AB433" i="18"/>
  <c r="AD433" i="18"/>
  <c r="AX413" i="1" l="1"/>
  <c r="AE338" i="1"/>
  <c r="AG338" i="1"/>
  <c r="AQ414" i="1"/>
  <c r="AP414" i="1"/>
  <c r="AW414" i="1" s="1"/>
  <c r="AS414" i="1"/>
  <c r="AR414" i="1" s="1"/>
  <c r="AA338" i="1"/>
  <c r="J356" i="18"/>
  <c r="I356" i="18" s="1"/>
  <c r="X434" i="18"/>
  <c r="W434" i="18"/>
  <c r="AD434" i="18" s="1"/>
  <c r="Z434" i="18"/>
  <c r="Y434" i="18" s="1"/>
  <c r="L356" i="18"/>
  <c r="M356" i="18" s="1"/>
  <c r="K357" i="18" s="1"/>
  <c r="N356" i="18"/>
  <c r="AE433" i="18"/>
  <c r="AU414" i="1" l="1"/>
  <c r="AV414" i="1"/>
  <c r="AT415" i="1" s="1"/>
  <c r="AF338" i="1"/>
  <c r="AD339" i="1" s="1"/>
  <c r="O356" i="18"/>
  <c r="G357" i="18"/>
  <c r="N357" i="18" s="1"/>
  <c r="AB434" i="18"/>
  <c r="AC434" i="18"/>
  <c r="AA435" i="18" s="1"/>
  <c r="AS415" i="1" l="1"/>
  <c r="AR415" i="1" s="1"/>
  <c r="AP415" i="1"/>
  <c r="AQ415" i="1"/>
  <c r="Z339" i="1"/>
  <c r="AG339" i="1" s="1"/>
  <c r="AX414" i="1"/>
  <c r="AH338" i="1"/>
  <c r="J357" i="18"/>
  <c r="I357" i="18" s="1"/>
  <c r="H357" i="18"/>
  <c r="Z435" i="18"/>
  <c r="Y435" i="18" s="1"/>
  <c r="X435" i="18"/>
  <c r="W435" i="18"/>
  <c r="AE434" i="18"/>
  <c r="L357" i="18"/>
  <c r="M357" i="18" s="1"/>
  <c r="K358" i="18" s="1"/>
  <c r="AA339" i="1" l="1"/>
  <c r="AC339" i="1"/>
  <c r="AB339" i="1" s="1"/>
  <c r="AV415" i="1"/>
  <c r="AT416" i="1" s="1"/>
  <c r="AU415" i="1"/>
  <c r="AE339" i="1"/>
  <c r="AF339" i="1" s="1"/>
  <c r="AD340" i="1" s="1"/>
  <c r="AW415" i="1"/>
  <c r="G358" i="18"/>
  <c r="H358" i="18" s="1"/>
  <c r="O357" i="18"/>
  <c r="AC435" i="18"/>
  <c r="AA436" i="18" s="1"/>
  <c r="AB435" i="18"/>
  <c r="AD435" i="18"/>
  <c r="AX415" i="1" l="1"/>
  <c r="Z340" i="1"/>
  <c r="AG340" i="1" s="1"/>
  <c r="AH339" i="1"/>
  <c r="AQ416" i="1"/>
  <c r="AP416" i="1"/>
  <c r="AS416" i="1"/>
  <c r="AR416" i="1" s="1"/>
  <c r="J358" i="18"/>
  <c r="I358" i="18" s="1"/>
  <c r="L358" i="18"/>
  <c r="M358" i="18" s="1"/>
  <c r="K359" i="18" s="1"/>
  <c r="N358" i="18"/>
  <c r="AE435" i="18"/>
  <c r="X436" i="18"/>
  <c r="W436" i="18"/>
  <c r="Z436" i="18"/>
  <c r="Y436" i="18" s="1"/>
  <c r="AD436" i="18"/>
  <c r="AC340" i="1" l="1"/>
  <c r="AB340" i="1" s="1"/>
  <c r="AA340" i="1"/>
  <c r="AU416" i="1"/>
  <c r="AV416" i="1"/>
  <c r="AT417" i="1" s="1"/>
  <c r="AW416" i="1"/>
  <c r="AE340" i="1"/>
  <c r="AF340" i="1" s="1"/>
  <c r="AD341" i="1" s="1"/>
  <c r="O358" i="18"/>
  <c r="AB436" i="18"/>
  <c r="AC436" i="18"/>
  <c r="AA437" i="18" s="1"/>
  <c r="G359" i="18"/>
  <c r="H359" i="18" s="1"/>
  <c r="Z341" i="1" l="1"/>
  <c r="AA341" i="1" s="1"/>
  <c r="AS417" i="1"/>
  <c r="AR417" i="1" s="1"/>
  <c r="AP417" i="1"/>
  <c r="AQ417" i="1"/>
  <c r="AH340" i="1"/>
  <c r="AX416" i="1"/>
  <c r="J359" i="18"/>
  <c r="I359" i="18" s="1"/>
  <c r="AE436" i="18"/>
  <c r="Z437" i="18"/>
  <c r="Y437" i="18" s="1"/>
  <c r="X437" i="18"/>
  <c r="W437" i="18"/>
  <c r="L359" i="18"/>
  <c r="M359" i="18" s="1"/>
  <c r="K360" i="18" s="1"/>
  <c r="N359" i="18"/>
  <c r="AC341" i="1" l="1"/>
  <c r="AB341" i="1" s="1"/>
  <c r="AG341" i="1"/>
  <c r="AU417" i="1"/>
  <c r="AV417" i="1"/>
  <c r="AT418" i="1" s="1"/>
  <c r="AW417" i="1"/>
  <c r="AE341" i="1"/>
  <c r="O359" i="18"/>
  <c r="G360" i="18"/>
  <c r="H360" i="18" s="1"/>
  <c r="AC437" i="18"/>
  <c r="AA438" i="18" s="1"/>
  <c r="AB437" i="18"/>
  <c r="AD437" i="18"/>
  <c r="AQ418" i="1" l="1"/>
  <c r="AS418" i="1"/>
  <c r="AR418" i="1" s="1"/>
  <c r="AP418" i="1"/>
  <c r="AW418" i="1" s="1"/>
  <c r="AF341" i="1"/>
  <c r="AD342" i="1" s="1"/>
  <c r="AX417" i="1"/>
  <c r="J360" i="18"/>
  <c r="I360" i="18" s="1"/>
  <c r="AE437" i="18"/>
  <c r="X438" i="18"/>
  <c r="W438" i="18"/>
  <c r="AD438" i="18" s="1"/>
  <c r="Z438" i="18"/>
  <c r="Y438" i="18" s="1"/>
  <c r="L360" i="18"/>
  <c r="M360" i="18" s="1"/>
  <c r="K361" i="18" s="1"/>
  <c r="N360" i="18"/>
  <c r="Z342" i="1" l="1"/>
  <c r="AA342" i="1" s="1"/>
  <c r="AU418" i="1"/>
  <c r="AV418" i="1"/>
  <c r="AT419" i="1" s="1"/>
  <c r="AH341" i="1"/>
  <c r="O360" i="18"/>
  <c r="G361" i="18"/>
  <c r="H361" i="18" s="1"/>
  <c r="AB438" i="18"/>
  <c r="AC438" i="18"/>
  <c r="AA439" i="18" s="1"/>
  <c r="AC342" i="1" l="1"/>
  <c r="AB342" i="1" s="1"/>
  <c r="AG342" i="1"/>
  <c r="AS419" i="1"/>
  <c r="AR419" i="1" s="1"/>
  <c r="AP419" i="1"/>
  <c r="AW419" i="1" s="1"/>
  <c r="AQ419" i="1"/>
  <c r="AX418" i="1"/>
  <c r="AE342" i="1"/>
  <c r="J361" i="18"/>
  <c r="I361" i="18" s="1"/>
  <c r="Z439" i="18"/>
  <c r="X439" i="18"/>
  <c r="W439" i="18"/>
  <c r="AE438" i="18"/>
  <c r="L361" i="18"/>
  <c r="M361" i="18" s="1"/>
  <c r="K362" i="18" s="1"/>
  <c r="N361" i="18"/>
  <c r="AV419" i="1" l="1"/>
  <c r="AT420" i="1" s="1"/>
  <c r="AU419" i="1"/>
  <c r="AF342" i="1"/>
  <c r="AD343" i="1" s="1"/>
  <c r="AC439" i="18"/>
  <c r="AB439" i="18"/>
  <c r="Z12" i="21"/>
  <c r="G362" i="18"/>
  <c r="H362" i="18" s="1"/>
  <c r="O361" i="18"/>
  <c r="Y439" i="18"/>
  <c r="Z11" i="21"/>
  <c r="AD439" i="18"/>
  <c r="AX419" i="1" l="1"/>
  <c r="Z343" i="1"/>
  <c r="AG343" i="1" s="1"/>
  <c r="AP420" i="1"/>
  <c r="AW420" i="1" s="1"/>
  <c r="AQ420" i="1"/>
  <c r="AS420" i="1"/>
  <c r="AR420" i="1" s="1"/>
  <c r="AH342" i="1"/>
  <c r="J362" i="18"/>
  <c r="I362" i="18" s="1"/>
  <c r="L362" i="18"/>
  <c r="M362" i="18" s="1"/>
  <c r="K363" i="18" s="1"/>
  <c r="N362" i="18"/>
  <c r="Z15" i="21"/>
  <c r="AD441" i="18"/>
  <c r="AE439" i="18"/>
  <c r="AE441" i="18" s="1"/>
  <c r="AB441" i="18"/>
  <c r="Z13" i="21"/>
  <c r="Z14" i="21"/>
  <c r="AC441" i="18"/>
  <c r="AC343" i="1" l="1"/>
  <c r="AB343" i="1" s="1"/>
  <c r="AA343" i="1"/>
  <c r="AU420" i="1"/>
  <c r="AV420" i="1"/>
  <c r="AT421" i="1" s="1"/>
  <c r="AE343" i="1"/>
  <c r="AF343" i="1" s="1"/>
  <c r="AD344" i="1" s="1"/>
  <c r="Z16" i="21"/>
  <c r="O362" i="18"/>
  <c r="G363" i="18"/>
  <c r="N363" i="18" s="1"/>
  <c r="Z344" i="1" l="1"/>
  <c r="AC344" i="1" s="1"/>
  <c r="AB344" i="1" s="1"/>
  <c r="AH343" i="1"/>
  <c r="AS421" i="1"/>
  <c r="AR421" i="1" s="1"/>
  <c r="AQ421" i="1"/>
  <c r="AP421" i="1"/>
  <c r="AW421" i="1" s="1"/>
  <c r="AX420" i="1"/>
  <c r="J363" i="18"/>
  <c r="I363" i="18" s="1"/>
  <c r="H363" i="18"/>
  <c r="L363" i="18"/>
  <c r="M363" i="18" s="1"/>
  <c r="K364" i="18" s="1"/>
  <c r="AG344" i="1" l="1"/>
  <c r="AA344" i="1"/>
  <c r="AV421" i="1"/>
  <c r="AT422" i="1" s="1"/>
  <c r="AU421" i="1"/>
  <c r="AE344" i="1"/>
  <c r="AF344" i="1" s="1"/>
  <c r="AD345" i="1" s="1"/>
  <c r="G364" i="18"/>
  <c r="H364" i="18" s="1"/>
  <c r="O363" i="18"/>
  <c r="AX421" i="1" l="1"/>
  <c r="Z345" i="1"/>
  <c r="AG345" i="1" s="1"/>
  <c r="AH344" i="1"/>
  <c r="AP422" i="1"/>
  <c r="AW422" i="1" s="1"/>
  <c r="AQ422" i="1"/>
  <c r="AS422" i="1"/>
  <c r="AR422" i="1" s="1"/>
  <c r="J364" i="18"/>
  <c r="I364" i="18" s="1"/>
  <c r="L364" i="18"/>
  <c r="M364" i="18" s="1"/>
  <c r="K365" i="18" s="1"/>
  <c r="N364" i="18"/>
  <c r="AC345" i="1" l="1"/>
  <c r="AB345" i="1" s="1"/>
  <c r="AA345" i="1"/>
  <c r="AU422" i="1"/>
  <c r="AV422" i="1"/>
  <c r="AT423" i="1" s="1"/>
  <c r="AE345" i="1"/>
  <c r="O364" i="18"/>
  <c r="G365" i="18"/>
  <c r="H365" i="18" s="1"/>
  <c r="AF345" i="1" l="1"/>
  <c r="AD346" i="1" s="1"/>
  <c r="AS423" i="1"/>
  <c r="AR423" i="1" s="1"/>
  <c r="AP423" i="1"/>
  <c r="AQ423" i="1"/>
  <c r="AX422" i="1"/>
  <c r="J365" i="18"/>
  <c r="I365" i="18" s="1"/>
  <c r="L365" i="18"/>
  <c r="M365" i="18" s="1"/>
  <c r="K366" i="18" s="1"/>
  <c r="N365" i="18"/>
  <c r="AV423" i="1" l="1"/>
  <c r="AT424" i="1" s="1"/>
  <c r="AU423" i="1"/>
  <c r="Z346" i="1"/>
  <c r="AC346" i="1" s="1"/>
  <c r="AB346" i="1" s="1"/>
  <c r="AW423" i="1"/>
  <c r="AH345" i="1"/>
  <c r="G366" i="18"/>
  <c r="H366" i="18" s="1"/>
  <c r="O365" i="18"/>
  <c r="AX423" i="1" l="1"/>
  <c r="AE346" i="1"/>
  <c r="AG346" i="1"/>
  <c r="AA346" i="1"/>
  <c r="AP424" i="1"/>
  <c r="AQ424" i="1"/>
  <c r="AS424" i="1"/>
  <c r="AR424" i="1" s="1"/>
  <c r="J366" i="18"/>
  <c r="I366" i="18" s="1"/>
  <c r="L366" i="18"/>
  <c r="M366" i="18" s="1"/>
  <c r="K367" i="18" s="1"/>
  <c r="N366" i="18"/>
  <c r="AF346" i="1" l="1"/>
  <c r="AD347" i="1" s="1"/>
  <c r="AU424" i="1"/>
  <c r="AV424" i="1"/>
  <c r="AT425" i="1" s="1"/>
  <c r="AW424" i="1"/>
  <c r="O366" i="18"/>
  <c r="G367" i="18"/>
  <c r="J367" i="18" s="1"/>
  <c r="I367" i="18" s="1"/>
  <c r="AS425" i="1" l="1"/>
  <c r="AR425" i="1" s="1"/>
  <c r="AQ425" i="1"/>
  <c r="AP425" i="1"/>
  <c r="AW425" i="1" s="1"/>
  <c r="Z347" i="1"/>
  <c r="AC347" i="1" s="1"/>
  <c r="AB347" i="1" s="1"/>
  <c r="AX424" i="1"/>
  <c r="AH346" i="1"/>
  <c r="H367" i="18"/>
  <c r="N367" i="18"/>
  <c r="L367" i="18"/>
  <c r="M367" i="18" s="1"/>
  <c r="K368" i="18" s="1"/>
  <c r="AG347" i="1" l="1"/>
  <c r="AE347" i="1"/>
  <c r="AF347" i="1" s="1"/>
  <c r="AD348" i="1" s="1"/>
  <c r="AA347" i="1"/>
  <c r="AV425" i="1"/>
  <c r="AT426" i="1" s="1"/>
  <c r="AU425" i="1"/>
  <c r="G368" i="18"/>
  <c r="J368" i="18" s="1"/>
  <c r="I368" i="18" s="1"/>
  <c r="O367" i="18"/>
  <c r="AX425" i="1" l="1"/>
  <c r="Z348" i="1"/>
  <c r="AA348" i="1" s="1"/>
  <c r="AP426" i="1"/>
  <c r="AW426" i="1" s="1"/>
  <c r="AQ426" i="1"/>
  <c r="AS426" i="1"/>
  <c r="AR426" i="1" s="1"/>
  <c r="AH347" i="1"/>
  <c r="H368" i="18"/>
  <c r="L368" i="18"/>
  <c r="M368" i="18" s="1"/>
  <c r="K369" i="18" s="1"/>
  <c r="N368" i="18"/>
  <c r="AC348" i="1" l="1"/>
  <c r="AB348" i="1" s="1"/>
  <c r="AG348" i="1"/>
  <c r="AU426" i="1"/>
  <c r="AV426" i="1"/>
  <c r="AT427" i="1" s="1"/>
  <c r="AE348" i="1"/>
  <c r="AF348" i="1" s="1"/>
  <c r="AD349" i="1" s="1"/>
  <c r="O368" i="18"/>
  <c r="G369" i="18"/>
  <c r="H369" i="18" s="1"/>
  <c r="Z349" i="1" l="1"/>
  <c r="AA349" i="1" s="1"/>
  <c r="AS427" i="1"/>
  <c r="AR427" i="1" s="1"/>
  <c r="AQ427" i="1"/>
  <c r="AP427" i="1"/>
  <c r="AW427" i="1" s="1"/>
  <c r="AH348" i="1"/>
  <c r="AX426" i="1"/>
  <c r="J369" i="18"/>
  <c r="I369" i="18" s="1"/>
  <c r="L369" i="18"/>
  <c r="M369" i="18" s="1"/>
  <c r="K370" i="18" s="1"/>
  <c r="N369" i="18"/>
  <c r="AC349" i="1" l="1"/>
  <c r="AB349" i="1" s="1"/>
  <c r="AG349" i="1"/>
  <c r="AV427" i="1"/>
  <c r="AT428" i="1" s="1"/>
  <c r="AU427" i="1"/>
  <c r="AE349" i="1"/>
  <c r="AF349" i="1" s="1"/>
  <c r="AD350" i="1" s="1"/>
  <c r="G370" i="18"/>
  <c r="H370" i="18" s="1"/>
  <c r="O369" i="18"/>
  <c r="Z350" i="1" l="1"/>
  <c r="AA350" i="1" s="1"/>
  <c r="AH349" i="1"/>
  <c r="AX427" i="1"/>
  <c r="AP428" i="1"/>
  <c r="AW428" i="1" s="1"/>
  <c r="AQ428" i="1"/>
  <c r="AS428" i="1"/>
  <c r="AR428" i="1" s="1"/>
  <c r="J370" i="18"/>
  <c r="I370" i="18" s="1"/>
  <c r="L370" i="18"/>
  <c r="M370" i="18" s="1"/>
  <c r="K371" i="18" s="1"/>
  <c r="N370" i="18"/>
  <c r="AE350" i="1" l="1"/>
  <c r="AU428" i="1"/>
  <c r="AV428" i="1"/>
  <c r="AT429" i="1" s="1"/>
  <c r="AC350" i="1"/>
  <c r="AB350" i="1" s="1"/>
  <c r="AG350" i="1"/>
  <c r="O370" i="18"/>
  <c r="G371" i="18"/>
  <c r="N371" i="18" s="1"/>
  <c r="AS429" i="1" l="1"/>
  <c r="AR429" i="1" s="1"/>
  <c r="AQ429" i="1"/>
  <c r="AP429" i="1"/>
  <c r="AW429" i="1" s="1"/>
  <c r="AX428" i="1"/>
  <c r="AF350" i="1"/>
  <c r="AD351" i="1" s="1"/>
  <c r="J371" i="18"/>
  <c r="I371" i="18" s="1"/>
  <c r="H371" i="18"/>
  <c r="L371" i="18"/>
  <c r="M371" i="18" s="1"/>
  <c r="K372" i="18" s="1"/>
  <c r="Z351" i="1" l="1"/>
  <c r="AA351" i="1" s="1"/>
  <c r="AH350" i="1"/>
  <c r="AV429" i="1"/>
  <c r="AT430" i="1" s="1"/>
  <c r="AU429" i="1"/>
  <c r="G372" i="18"/>
  <c r="H372" i="18" s="1"/>
  <c r="O371" i="18"/>
  <c r="AX429" i="1" l="1"/>
  <c r="AC351" i="1"/>
  <c r="AB351" i="1" s="1"/>
  <c r="AG351" i="1"/>
  <c r="AP430" i="1"/>
  <c r="AW430" i="1" s="1"/>
  <c r="AQ430" i="1"/>
  <c r="AS430" i="1"/>
  <c r="AR430" i="1" s="1"/>
  <c r="AE351" i="1"/>
  <c r="AF351" i="1" s="1"/>
  <c r="AD352" i="1" s="1"/>
  <c r="J372" i="18"/>
  <c r="I372" i="18" s="1"/>
  <c r="L372" i="18"/>
  <c r="M372" i="18" s="1"/>
  <c r="K373" i="18" s="1"/>
  <c r="N372" i="18"/>
  <c r="Z352" i="1" l="1"/>
  <c r="AA352" i="1" s="1"/>
  <c r="AH351" i="1"/>
  <c r="AU430" i="1"/>
  <c r="AV430" i="1"/>
  <c r="AT431" i="1" s="1"/>
  <c r="O372" i="18"/>
  <c r="G373" i="18"/>
  <c r="N373" i="18" s="1"/>
  <c r="AC352" i="1" l="1"/>
  <c r="AB352" i="1" s="1"/>
  <c r="AG352" i="1"/>
  <c r="AS431" i="1"/>
  <c r="AR431" i="1" s="1"/>
  <c r="AP431" i="1"/>
  <c r="AW431" i="1" s="1"/>
  <c r="AQ431" i="1"/>
  <c r="AX430" i="1"/>
  <c r="AE352" i="1"/>
  <c r="J373" i="18"/>
  <c r="I373" i="18" s="1"/>
  <c r="H373" i="18"/>
  <c r="L373" i="18"/>
  <c r="M373" i="18" s="1"/>
  <c r="K374" i="18" s="1"/>
  <c r="AF352" i="1" l="1"/>
  <c r="AD353" i="1" s="1"/>
  <c r="AV431" i="1"/>
  <c r="AT432" i="1" s="1"/>
  <c r="AU431" i="1"/>
  <c r="G374" i="18"/>
  <c r="J374" i="18" s="1"/>
  <c r="I374" i="18" s="1"/>
  <c r="O373" i="18"/>
  <c r="AX431" i="1" l="1"/>
  <c r="AP432" i="1"/>
  <c r="AW432" i="1" s="1"/>
  <c r="AQ432" i="1"/>
  <c r="AS432" i="1"/>
  <c r="AR432" i="1" s="1"/>
  <c r="Z353" i="1"/>
  <c r="AA353" i="1" s="1"/>
  <c r="AH352" i="1"/>
  <c r="H374" i="18"/>
  <c r="L374" i="18"/>
  <c r="M374" i="18" s="1"/>
  <c r="K375" i="18" s="1"/>
  <c r="N374" i="18"/>
  <c r="AC353" i="1" l="1"/>
  <c r="AB353" i="1" s="1"/>
  <c r="AG353" i="1"/>
  <c r="AE353" i="1"/>
  <c r="AU432" i="1"/>
  <c r="AV432" i="1"/>
  <c r="AT433" i="1" s="1"/>
  <c r="O374" i="18"/>
  <c r="G375" i="18"/>
  <c r="N375" i="18" s="1"/>
  <c r="AX432" i="1" l="1"/>
  <c r="AS433" i="1"/>
  <c r="AR433" i="1" s="1"/>
  <c r="AQ433" i="1"/>
  <c r="AP433" i="1"/>
  <c r="AF353" i="1"/>
  <c r="AD354" i="1" s="1"/>
  <c r="J375" i="18"/>
  <c r="I375" i="18" s="1"/>
  <c r="H375" i="18"/>
  <c r="L375" i="18"/>
  <c r="M375" i="18" s="1"/>
  <c r="K376" i="18" s="1"/>
  <c r="Z354" i="1" l="1"/>
  <c r="AA354" i="1" s="1"/>
  <c r="AH353" i="1"/>
  <c r="AV433" i="1"/>
  <c r="AT434" i="1" s="1"/>
  <c r="AU433" i="1"/>
  <c r="AW433" i="1"/>
  <c r="G376" i="18"/>
  <c r="H376" i="18" s="1"/>
  <c r="O375" i="18"/>
  <c r="AC354" i="1" l="1"/>
  <c r="AB354" i="1" s="1"/>
  <c r="AG354" i="1"/>
  <c r="AX433" i="1"/>
  <c r="AP434" i="1"/>
  <c r="AW434" i="1" s="1"/>
  <c r="AQ434" i="1"/>
  <c r="AS434" i="1"/>
  <c r="AR434" i="1" s="1"/>
  <c r="AE354" i="1"/>
  <c r="AF354" i="1" s="1"/>
  <c r="AD355" i="1" s="1"/>
  <c r="J376" i="18"/>
  <c r="I376" i="18" s="1"/>
  <c r="L376" i="18"/>
  <c r="M376" i="18" s="1"/>
  <c r="K377" i="18" s="1"/>
  <c r="N376" i="18"/>
  <c r="Z355" i="1" l="1"/>
  <c r="AG355" i="1" s="1"/>
  <c r="AU434" i="1"/>
  <c r="AV434" i="1"/>
  <c r="AT435" i="1" s="1"/>
  <c r="AH354" i="1"/>
  <c r="O376" i="18"/>
  <c r="G377" i="18"/>
  <c r="H377" i="18" s="1"/>
  <c r="AA355" i="1" l="1"/>
  <c r="AX434" i="1"/>
  <c r="AS435" i="1"/>
  <c r="AR435" i="1" s="1"/>
  <c r="AP435" i="1"/>
  <c r="AQ435" i="1"/>
  <c r="AC355" i="1"/>
  <c r="AB355" i="1" s="1"/>
  <c r="AE355" i="1"/>
  <c r="AF355" i="1" s="1"/>
  <c r="AD356" i="1" s="1"/>
  <c r="J377" i="18"/>
  <c r="I377" i="18" s="1"/>
  <c r="L377" i="18"/>
  <c r="M377" i="18" s="1"/>
  <c r="K378" i="18" s="1"/>
  <c r="N377" i="18"/>
  <c r="Z356" i="1" l="1"/>
  <c r="AG356" i="1" s="1"/>
  <c r="AV435" i="1"/>
  <c r="AT436" i="1" s="1"/>
  <c r="AU435" i="1"/>
  <c r="AH355" i="1"/>
  <c r="AW435" i="1"/>
  <c r="G378" i="18"/>
  <c r="H378" i="18" s="1"/>
  <c r="O377" i="18"/>
  <c r="AC356" i="1" l="1"/>
  <c r="AB356" i="1" s="1"/>
  <c r="AA356" i="1"/>
  <c r="AX435" i="1"/>
  <c r="AP436" i="1"/>
  <c r="AW436" i="1" s="1"/>
  <c r="AQ436" i="1"/>
  <c r="AS436" i="1"/>
  <c r="AR436" i="1" s="1"/>
  <c r="AE356" i="1"/>
  <c r="AF356" i="1" s="1"/>
  <c r="AD357" i="1" s="1"/>
  <c r="J378" i="18"/>
  <c r="I378" i="18" s="1"/>
  <c r="L378" i="18"/>
  <c r="M378" i="18" s="1"/>
  <c r="K379" i="18" s="1"/>
  <c r="N378" i="18"/>
  <c r="AH356" i="1" l="1"/>
  <c r="Z357" i="1"/>
  <c r="AC357" i="1" s="1"/>
  <c r="AB357" i="1" s="1"/>
  <c r="AU436" i="1"/>
  <c r="AV436" i="1"/>
  <c r="AT437" i="1" s="1"/>
  <c r="O378" i="18"/>
  <c r="G379" i="18"/>
  <c r="N379" i="18" s="1"/>
  <c r="AG357" i="1" l="1"/>
  <c r="AA357" i="1"/>
  <c r="AS437" i="1"/>
  <c r="AR437" i="1" s="1"/>
  <c r="AQ437" i="1"/>
  <c r="AP437" i="1"/>
  <c r="AW437" i="1" s="1"/>
  <c r="AX436" i="1"/>
  <c r="AE357" i="1"/>
  <c r="AF357" i="1" s="1"/>
  <c r="AD358" i="1" s="1"/>
  <c r="J379" i="18"/>
  <c r="I379" i="18" s="1"/>
  <c r="H379" i="18"/>
  <c r="L379" i="18"/>
  <c r="M379" i="18" s="1"/>
  <c r="K380" i="18" s="1"/>
  <c r="AH357" i="1" l="1"/>
  <c r="Z358" i="1"/>
  <c r="AG358" i="1" s="1"/>
  <c r="AV437" i="1"/>
  <c r="AT438" i="1" s="1"/>
  <c r="AU437" i="1"/>
  <c r="G380" i="18"/>
  <c r="J380" i="18" s="1"/>
  <c r="I380" i="18" s="1"/>
  <c r="O379" i="18"/>
  <c r="AX437" i="1" l="1"/>
  <c r="AA358" i="1"/>
  <c r="AP438" i="1"/>
  <c r="AW438" i="1" s="1"/>
  <c r="AQ438" i="1"/>
  <c r="AS438" i="1"/>
  <c r="AR438" i="1" s="1"/>
  <c r="AE358" i="1"/>
  <c r="AF358" i="1" s="1"/>
  <c r="AD359" i="1" s="1"/>
  <c r="AC358" i="1"/>
  <c r="AB358" i="1" s="1"/>
  <c r="H380" i="18"/>
  <c r="L380" i="18"/>
  <c r="M380" i="18" s="1"/>
  <c r="K381" i="18" s="1"/>
  <c r="N380" i="18"/>
  <c r="AH358" i="1" l="1"/>
  <c r="Z359" i="1"/>
  <c r="AA359" i="1" s="1"/>
  <c r="AU438" i="1"/>
  <c r="AV438" i="1"/>
  <c r="AT439" i="1" s="1"/>
  <c r="O380" i="18"/>
  <c r="G381" i="18"/>
  <c r="N381" i="18" s="1"/>
  <c r="AC359" i="1" l="1"/>
  <c r="AB359" i="1" s="1"/>
  <c r="AG359" i="1"/>
  <c r="AS439" i="1"/>
  <c r="AR439" i="1" s="1"/>
  <c r="AP439" i="1"/>
  <c r="AW439" i="1" s="1"/>
  <c r="AW441" i="1" s="1"/>
  <c r="AQ439" i="1"/>
  <c r="AX438" i="1"/>
  <c r="AE359" i="1"/>
  <c r="J381" i="18"/>
  <c r="I381" i="18" s="1"/>
  <c r="H381" i="18"/>
  <c r="L381" i="18"/>
  <c r="M381" i="18" s="1"/>
  <c r="K382" i="18" s="1"/>
  <c r="AF359" i="1" l="1"/>
  <c r="AD360" i="1" s="1"/>
  <c r="AV439" i="1"/>
  <c r="AV441" i="1" s="1"/>
  <c r="AU439" i="1"/>
  <c r="G382" i="18"/>
  <c r="J382" i="18" s="1"/>
  <c r="I382" i="18" s="1"/>
  <c r="O381" i="18"/>
  <c r="AX439" i="1" l="1"/>
  <c r="AX441" i="1" s="1"/>
  <c r="AU441" i="1"/>
  <c r="Z360" i="1"/>
  <c r="AA360" i="1" s="1"/>
  <c r="AH359" i="1"/>
  <c r="H382" i="18"/>
  <c r="L382" i="18"/>
  <c r="M382" i="18" s="1"/>
  <c r="K383" i="18" s="1"/>
  <c r="N382" i="18"/>
  <c r="AE360" i="1" l="1"/>
  <c r="AC360" i="1"/>
  <c r="AB360" i="1" s="1"/>
  <c r="AG360" i="1"/>
  <c r="O382" i="18"/>
  <c r="G383" i="18"/>
  <c r="N383" i="18" s="1"/>
  <c r="AF360" i="1" l="1"/>
  <c r="AD361" i="1" s="1"/>
  <c r="J383" i="18"/>
  <c r="I383" i="18" s="1"/>
  <c r="H383" i="18"/>
  <c r="L383" i="18"/>
  <c r="M383" i="18" s="1"/>
  <c r="K384" i="18" s="1"/>
  <c r="Z361" i="1" l="1"/>
  <c r="AC361" i="1" s="1"/>
  <c r="AB361" i="1" s="1"/>
  <c r="AH360" i="1"/>
  <c r="G384" i="18"/>
  <c r="N384" i="18" s="1"/>
  <c r="O383" i="18"/>
  <c r="AA361" i="1" l="1"/>
  <c r="AE361" i="1"/>
  <c r="AG361" i="1"/>
  <c r="J384" i="18"/>
  <c r="I384" i="18" s="1"/>
  <c r="H384" i="18"/>
  <c r="L384" i="18"/>
  <c r="M384" i="18" s="1"/>
  <c r="K385" i="18" s="1"/>
  <c r="AF361" i="1" l="1"/>
  <c r="AD362" i="1" s="1"/>
  <c r="O384" i="18"/>
  <c r="G385" i="18"/>
  <c r="N385" i="18" s="1"/>
  <c r="Z362" i="1" l="1"/>
  <c r="AA362" i="1" s="1"/>
  <c r="AH361" i="1"/>
  <c r="H385" i="18"/>
  <c r="J385" i="18"/>
  <c r="I385" i="18" s="1"/>
  <c r="L385" i="18"/>
  <c r="M385" i="18" s="1"/>
  <c r="K386" i="18" s="1"/>
  <c r="AC362" i="1" l="1"/>
  <c r="AB362" i="1" s="1"/>
  <c r="AG362" i="1"/>
  <c r="AE362" i="1"/>
  <c r="O385" i="18"/>
  <c r="G386" i="18"/>
  <c r="H386" i="18" s="1"/>
  <c r="AF362" i="1" l="1"/>
  <c r="AD363" i="1" s="1"/>
  <c r="J386" i="18"/>
  <c r="I386" i="18" s="1"/>
  <c r="L386" i="18"/>
  <c r="M386" i="18" s="1"/>
  <c r="K387" i="18" s="1"/>
  <c r="N386" i="18"/>
  <c r="Z363" i="1" l="1"/>
  <c r="AG363" i="1" s="1"/>
  <c r="AH362" i="1"/>
  <c r="O386" i="18"/>
  <c r="G387" i="18"/>
  <c r="N387" i="18" s="1"/>
  <c r="AA363" i="1" l="1"/>
  <c r="AC363" i="1"/>
  <c r="AB363" i="1" s="1"/>
  <c r="AE363" i="1"/>
  <c r="AF363" i="1" s="1"/>
  <c r="AD364" i="1" s="1"/>
  <c r="H387" i="18"/>
  <c r="J387" i="18"/>
  <c r="I387" i="18" s="1"/>
  <c r="L387" i="18"/>
  <c r="M387" i="18" s="1"/>
  <c r="K388" i="18" s="1"/>
  <c r="Z364" i="1" l="1"/>
  <c r="AG364" i="1" s="1"/>
  <c r="AH363" i="1"/>
  <c r="O387" i="18"/>
  <c r="G388" i="18"/>
  <c r="H388" i="18" s="1"/>
  <c r="AC364" i="1" l="1"/>
  <c r="AB364" i="1" s="1"/>
  <c r="AA364" i="1"/>
  <c r="AE364" i="1"/>
  <c r="J388" i="18"/>
  <c r="I388" i="18" s="1"/>
  <c r="L388" i="18"/>
  <c r="M388" i="18" s="1"/>
  <c r="K389" i="18" s="1"/>
  <c r="N388" i="18"/>
  <c r="AF364" i="1" l="1"/>
  <c r="AD365" i="1" s="1"/>
  <c r="O388" i="18"/>
  <c r="G389" i="18"/>
  <c r="N389" i="18" s="1"/>
  <c r="Z365" i="1" l="1"/>
  <c r="AA365" i="1" s="1"/>
  <c r="AH364" i="1"/>
  <c r="H389" i="18"/>
  <c r="J389" i="18"/>
  <c r="I389" i="18" s="1"/>
  <c r="L389" i="18"/>
  <c r="M389" i="18" s="1"/>
  <c r="K390" i="18" s="1"/>
  <c r="AC365" i="1" l="1"/>
  <c r="AB365" i="1" s="1"/>
  <c r="AG365" i="1"/>
  <c r="AE365" i="1"/>
  <c r="AF365" i="1" s="1"/>
  <c r="AD366" i="1" s="1"/>
  <c r="O389" i="18"/>
  <c r="G390" i="18"/>
  <c r="N390" i="18" s="1"/>
  <c r="Z366" i="1" l="1"/>
  <c r="AG366" i="1" s="1"/>
  <c r="AH365" i="1"/>
  <c r="J390" i="18"/>
  <c r="I390" i="18" s="1"/>
  <c r="H390" i="18"/>
  <c r="L390" i="18"/>
  <c r="M390" i="18" s="1"/>
  <c r="K391" i="18" s="1"/>
  <c r="AC366" i="1" l="1"/>
  <c r="AB366" i="1" s="1"/>
  <c r="AA366" i="1"/>
  <c r="AE366" i="1"/>
  <c r="O390" i="18"/>
  <c r="G391" i="18"/>
  <c r="N391" i="18" s="1"/>
  <c r="AF366" i="1" l="1"/>
  <c r="AD367" i="1" s="1"/>
  <c r="J391" i="18"/>
  <c r="I391" i="18" s="1"/>
  <c r="H391" i="18"/>
  <c r="L391" i="18"/>
  <c r="M391" i="18" s="1"/>
  <c r="K392" i="18" s="1"/>
  <c r="Z367" i="1" l="1"/>
  <c r="AG367" i="1" s="1"/>
  <c r="AH366" i="1"/>
  <c r="G392" i="18"/>
  <c r="N392" i="18" s="1"/>
  <c r="O391" i="18"/>
  <c r="AC367" i="1" l="1"/>
  <c r="AB367" i="1" s="1"/>
  <c r="J392" i="18"/>
  <c r="I392" i="18" s="1"/>
  <c r="AA367" i="1"/>
  <c r="AE367" i="1"/>
  <c r="AF367" i="1" s="1"/>
  <c r="AD368" i="1" s="1"/>
  <c r="H392" i="18"/>
  <c r="L392" i="18"/>
  <c r="M392" i="18" s="1"/>
  <c r="K393" i="18" s="1"/>
  <c r="Z368" i="1" l="1"/>
  <c r="AA368" i="1" s="1"/>
  <c r="AH367" i="1"/>
  <c r="O392" i="18"/>
  <c r="G393" i="18"/>
  <c r="N393" i="18" s="1"/>
  <c r="AC368" i="1" l="1"/>
  <c r="AB368" i="1" s="1"/>
  <c r="AE368" i="1"/>
  <c r="AG368" i="1"/>
  <c r="J393" i="18"/>
  <c r="I393" i="18" s="1"/>
  <c r="H393" i="18"/>
  <c r="L393" i="18"/>
  <c r="M393" i="18" s="1"/>
  <c r="K394" i="18" s="1"/>
  <c r="AF368" i="1" l="1"/>
  <c r="AD369" i="1" s="1"/>
  <c r="O393" i="18"/>
  <c r="G394" i="18"/>
  <c r="H394" i="18" s="1"/>
  <c r="Z369" i="1" l="1"/>
  <c r="AG369" i="1" s="1"/>
  <c r="AH368" i="1"/>
  <c r="J394" i="18"/>
  <c r="I394" i="18" s="1"/>
  <c r="L394" i="18"/>
  <c r="M394" i="18" s="1"/>
  <c r="K395" i="18" s="1"/>
  <c r="N394" i="18"/>
  <c r="AC369" i="1" l="1"/>
  <c r="AB369" i="1" s="1"/>
  <c r="AA369" i="1"/>
  <c r="AE369" i="1"/>
  <c r="O394" i="18"/>
  <c r="G395" i="18"/>
  <c r="N395" i="18" s="1"/>
  <c r="AF369" i="1" l="1"/>
  <c r="AD370" i="1" s="1"/>
  <c r="H395" i="18"/>
  <c r="J395" i="18"/>
  <c r="I395" i="18" s="1"/>
  <c r="L395" i="18"/>
  <c r="M395" i="18" s="1"/>
  <c r="K396" i="18" s="1"/>
  <c r="Z370" i="1" l="1"/>
  <c r="AA370" i="1" s="1"/>
  <c r="AH369" i="1"/>
  <c r="O395" i="18"/>
  <c r="G396" i="18"/>
  <c r="H396" i="18" s="1"/>
  <c r="AC370" i="1" l="1"/>
  <c r="AB370" i="1" s="1"/>
  <c r="AG370" i="1"/>
  <c r="AE370" i="1"/>
  <c r="J396" i="18"/>
  <c r="I396" i="18" s="1"/>
  <c r="L396" i="18"/>
  <c r="M396" i="18" s="1"/>
  <c r="K397" i="18" s="1"/>
  <c r="N396" i="18"/>
  <c r="AF370" i="1" l="1"/>
  <c r="AD371" i="1" s="1"/>
  <c r="O396" i="18"/>
  <c r="G397" i="18"/>
  <c r="N397" i="18" s="1"/>
  <c r="Z371" i="1" l="1"/>
  <c r="AG371" i="1" s="1"/>
  <c r="AH370" i="1"/>
  <c r="J397" i="18"/>
  <c r="I397" i="18" s="1"/>
  <c r="H397" i="18"/>
  <c r="L397" i="18"/>
  <c r="M397" i="18" s="1"/>
  <c r="K398" i="18" s="1"/>
  <c r="AC371" i="1" l="1"/>
  <c r="AB371" i="1" s="1"/>
  <c r="AA371" i="1"/>
  <c r="AE371" i="1"/>
  <c r="AF371" i="1" s="1"/>
  <c r="AD372" i="1" s="1"/>
  <c r="O397" i="18"/>
  <c r="G398" i="18"/>
  <c r="N398" i="18" s="1"/>
  <c r="Z372" i="1" l="1"/>
  <c r="AG372" i="1" s="1"/>
  <c r="AH371" i="1"/>
  <c r="J398" i="18"/>
  <c r="I398" i="18" s="1"/>
  <c r="H398" i="18"/>
  <c r="L398" i="18"/>
  <c r="M398" i="18" s="1"/>
  <c r="K399" i="18" s="1"/>
  <c r="AC372" i="1" l="1"/>
  <c r="AB372" i="1" s="1"/>
  <c r="AA372" i="1"/>
  <c r="AE372" i="1"/>
  <c r="O398" i="18"/>
  <c r="G399" i="18"/>
  <c r="N399" i="18" s="1"/>
  <c r="AF372" i="1" l="1"/>
  <c r="AD373" i="1" s="1"/>
  <c r="J399" i="18"/>
  <c r="I399" i="18" s="1"/>
  <c r="H399" i="18"/>
  <c r="L399" i="18"/>
  <c r="M399" i="18" s="1"/>
  <c r="K400" i="18" s="1"/>
  <c r="Z373" i="1" l="1"/>
  <c r="AA373" i="1" s="1"/>
  <c r="AH372" i="1"/>
  <c r="O399" i="18"/>
  <c r="G400" i="18"/>
  <c r="H400" i="18" s="1"/>
  <c r="AC373" i="1" l="1"/>
  <c r="AB373" i="1" s="1"/>
  <c r="AG373" i="1"/>
  <c r="AE373" i="1"/>
  <c r="AF373" i="1" s="1"/>
  <c r="AD374" i="1" s="1"/>
  <c r="J400" i="18"/>
  <c r="I400" i="18" s="1"/>
  <c r="L400" i="18"/>
  <c r="M400" i="18" s="1"/>
  <c r="K401" i="18" s="1"/>
  <c r="N400" i="18"/>
  <c r="Z374" i="1" l="1"/>
  <c r="AA374" i="1" s="1"/>
  <c r="AH373" i="1"/>
  <c r="O400" i="18"/>
  <c r="G401" i="18"/>
  <c r="N401" i="18" s="1"/>
  <c r="AE374" i="1" l="1"/>
  <c r="AC374" i="1"/>
  <c r="AB374" i="1" s="1"/>
  <c r="AG374" i="1"/>
  <c r="H401" i="18"/>
  <c r="J401" i="18"/>
  <c r="I401" i="18" s="1"/>
  <c r="L401" i="18"/>
  <c r="M401" i="18" s="1"/>
  <c r="K402" i="18" s="1"/>
  <c r="AF374" i="1" l="1"/>
  <c r="AD375" i="1" s="1"/>
  <c r="O401" i="18"/>
  <c r="G402" i="18"/>
  <c r="N402" i="18" s="1"/>
  <c r="Z375" i="1" l="1"/>
  <c r="AG375" i="1" s="1"/>
  <c r="AH374" i="1"/>
  <c r="J402" i="18"/>
  <c r="I402" i="18" s="1"/>
  <c r="H402" i="18"/>
  <c r="L402" i="18"/>
  <c r="M402" i="18" s="1"/>
  <c r="K403" i="18" s="1"/>
  <c r="AC375" i="1" l="1"/>
  <c r="AB375" i="1" s="1"/>
  <c r="AA375" i="1"/>
  <c r="AE375" i="1"/>
  <c r="AF375" i="1" s="1"/>
  <c r="AD376" i="1" s="1"/>
  <c r="O402" i="18"/>
  <c r="G403" i="18"/>
  <c r="N403" i="18" s="1"/>
  <c r="Z376" i="1" l="1"/>
  <c r="AG376" i="1" s="1"/>
  <c r="AH375" i="1"/>
  <c r="J403" i="18"/>
  <c r="I403" i="18" s="1"/>
  <c r="H403" i="18"/>
  <c r="L403" i="18"/>
  <c r="M403" i="18" s="1"/>
  <c r="K404" i="18" s="1"/>
  <c r="AA376" i="1" l="1"/>
  <c r="AC376" i="1"/>
  <c r="AB376" i="1" s="1"/>
  <c r="AE376" i="1"/>
  <c r="O403" i="18"/>
  <c r="G404" i="18"/>
  <c r="J404" i="18" s="1"/>
  <c r="I404" i="18" s="1"/>
  <c r="AF376" i="1" l="1"/>
  <c r="AD377" i="1" s="1"/>
  <c r="H404" i="18"/>
  <c r="L404" i="18"/>
  <c r="M404" i="18" s="1"/>
  <c r="K405" i="18" s="1"/>
  <c r="N404" i="18"/>
  <c r="Z377" i="1" l="1"/>
  <c r="AG377" i="1" s="1"/>
  <c r="AH376" i="1"/>
  <c r="O404" i="18"/>
  <c r="G405" i="18"/>
  <c r="N405" i="18" s="1"/>
  <c r="AA377" i="1" l="1"/>
  <c r="AC377" i="1"/>
  <c r="AB377" i="1" s="1"/>
  <c r="AE377" i="1"/>
  <c r="J405" i="18"/>
  <c r="I405" i="18" s="1"/>
  <c r="H405" i="18"/>
  <c r="L405" i="18"/>
  <c r="M405" i="18" s="1"/>
  <c r="K406" i="18" s="1"/>
  <c r="AF377" i="1" l="1"/>
  <c r="AD378" i="1" s="1"/>
  <c r="O405" i="18"/>
  <c r="G406" i="18"/>
  <c r="N406" i="18" s="1"/>
  <c r="Z378" i="1" l="1"/>
  <c r="AA378" i="1" s="1"/>
  <c r="AH377" i="1"/>
  <c r="J406" i="18"/>
  <c r="I406" i="18" s="1"/>
  <c r="H406" i="18"/>
  <c r="L406" i="18"/>
  <c r="M406" i="18" s="1"/>
  <c r="K407" i="18" s="1"/>
  <c r="AC378" i="1" l="1"/>
  <c r="AB378" i="1" s="1"/>
  <c r="AG378" i="1"/>
  <c r="AE378" i="1"/>
  <c r="O406" i="18"/>
  <c r="G407" i="18"/>
  <c r="N407" i="18" s="1"/>
  <c r="AF378" i="1" l="1"/>
  <c r="AD379" i="1" s="1"/>
  <c r="J407" i="18"/>
  <c r="I407" i="18" s="1"/>
  <c r="H407" i="18"/>
  <c r="L407" i="18"/>
  <c r="M407" i="18" s="1"/>
  <c r="K408" i="18" s="1"/>
  <c r="Z379" i="1" l="1"/>
  <c r="AG379" i="1" s="1"/>
  <c r="AH378" i="1"/>
  <c r="O407" i="18"/>
  <c r="G408" i="18"/>
  <c r="N408" i="18" s="1"/>
  <c r="AC379" i="1" l="1"/>
  <c r="AB379" i="1" s="1"/>
  <c r="AA379" i="1"/>
  <c r="AE379" i="1"/>
  <c r="AF379" i="1" s="1"/>
  <c r="AD380" i="1" s="1"/>
  <c r="J408" i="18"/>
  <c r="I408" i="18" s="1"/>
  <c r="H408" i="18"/>
  <c r="L408" i="18"/>
  <c r="M408" i="18" s="1"/>
  <c r="K409" i="18" s="1"/>
  <c r="Z380" i="1" l="1"/>
  <c r="AH379" i="1"/>
  <c r="O408" i="18"/>
  <c r="G409" i="18"/>
  <c r="N409" i="18" s="1"/>
  <c r="AE380" i="1" l="1"/>
  <c r="AC380" i="1"/>
  <c r="AB380" i="1" s="1"/>
  <c r="AG380" i="1"/>
  <c r="AA380" i="1"/>
  <c r="J409" i="18"/>
  <c r="I409" i="18" s="1"/>
  <c r="H409" i="18"/>
  <c r="L409" i="18"/>
  <c r="M409" i="18" s="1"/>
  <c r="K410" i="18" s="1"/>
  <c r="AF380" i="1" l="1"/>
  <c r="AD381" i="1" s="1"/>
  <c r="O409" i="18"/>
  <c r="G410" i="18"/>
  <c r="N410" i="18" s="1"/>
  <c r="Z381" i="1" l="1"/>
  <c r="AA381" i="1" s="1"/>
  <c r="AH380" i="1"/>
  <c r="J410" i="18"/>
  <c r="I410" i="18" s="1"/>
  <c r="H410" i="18"/>
  <c r="L410" i="18"/>
  <c r="M410" i="18" s="1"/>
  <c r="K411" i="18" s="1"/>
  <c r="AC381" i="1" l="1"/>
  <c r="AB381" i="1" s="1"/>
  <c r="AG381" i="1"/>
  <c r="AE381" i="1"/>
  <c r="AF381" i="1" s="1"/>
  <c r="AD382" i="1" s="1"/>
  <c r="O410" i="18"/>
  <c r="G411" i="18"/>
  <c r="N411" i="18" s="1"/>
  <c r="Z382" i="1" l="1"/>
  <c r="AC382" i="1" s="1"/>
  <c r="AB382" i="1" s="1"/>
  <c r="AH381" i="1"/>
  <c r="J411" i="18"/>
  <c r="I411" i="18" s="1"/>
  <c r="H411" i="18"/>
  <c r="L411" i="18"/>
  <c r="M411" i="18" s="1"/>
  <c r="K412" i="18" s="1"/>
  <c r="AE382" i="1" l="1"/>
  <c r="AA382" i="1"/>
  <c r="AG382" i="1"/>
  <c r="O411" i="18"/>
  <c r="G412" i="18"/>
  <c r="N412" i="18" s="1"/>
  <c r="AF382" i="1" l="1"/>
  <c r="AD383" i="1" s="1"/>
  <c r="H412" i="18"/>
  <c r="J412" i="18"/>
  <c r="I412" i="18" s="1"/>
  <c r="L412" i="18"/>
  <c r="M412" i="18" s="1"/>
  <c r="K413" i="18" s="1"/>
  <c r="Z383" i="1" l="1"/>
  <c r="AG383" i="1" s="1"/>
  <c r="AH382" i="1"/>
  <c r="O412" i="18"/>
  <c r="G413" i="18"/>
  <c r="N413" i="18" s="1"/>
  <c r="AC383" i="1" l="1"/>
  <c r="AB383" i="1" s="1"/>
  <c r="AA383" i="1"/>
  <c r="AE383" i="1"/>
  <c r="H413" i="18"/>
  <c r="J413" i="18"/>
  <c r="I413" i="18" s="1"/>
  <c r="L413" i="18"/>
  <c r="M413" i="18" s="1"/>
  <c r="K414" i="18" s="1"/>
  <c r="AF383" i="1" l="1"/>
  <c r="AD384" i="1" s="1"/>
  <c r="O413" i="18"/>
  <c r="G414" i="18"/>
  <c r="N414" i="18" s="1"/>
  <c r="Z384" i="1" l="1"/>
  <c r="AA384" i="1" s="1"/>
  <c r="AH383" i="1"/>
  <c r="J414" i="18"/>
  <c r="I414" i="18" s="1"/>
  <c r="H414" i="18"/>
  <c r="L414" i="18"/>
  <c r="M414" i="18" s="1"/>
  <c r="K415" i="18" s="1"/>
  <c r="AC384" i="1" l="1"/>
  <c r="AB384" i="1" s="1"/>
  <c r="AG384" i="1"/>
  <c r="AE384" i="1"/>
  <c r="O414" i="18"/>
  <c r="G415" i="18"/>
  <c r="N415" i="18" s="1"/>
  <c r="AF384" i="1" l="1"/>
  <c r="AD385" i="1" s="1"/>
  <c r="H415" i="18"/>
  <c r="J415" i="18"/>
  <c r="I415" i="18" s="1"/>
  <c r="L415" i="18"/>
  <c r="M415" i="18" s="1"/>
  <c r="K416" i="18" s="1"/>
  <c r="Z385" i="1" l="1"/>
  <c r="AG385" i="1" s="1"/>
  <c r="AH384" i="1"/>
  <c r="G416" i="18"/>
  <c r="N416" i="18" s="1"/>
  <c r="O415" i="18"/>
  <c r="AA385" i="1" l="1"/>
  <c r="AC385" i="1"/>
  <c r="AB385" i="1" s="1"/>
  <c r="AE385" i="1"/>
  <c r="AF385" i="1" s="1"/>
  <c r="AD386" i="1" s="1"/>
  <c r="J416" i="18"/>
  <c r="I416" i="18" s="1"/>
  <c r="H416" i="18"/>
  <c r="L416" i="18"/>
  <c r="M416" i="18" s="1"/>
  <c r="K417" i="18" s="1"/>
  <c r="Z386" i="1" l="1"/>
  <c r="AG386" i="1" s="1"/>
  <c r="AH385" i="1"/>
  <c r="O416" i="18"/>
  <c r="G417" i="18"/>
  <c r="H417" i="18" s="1"/>
  <c r="AC386" i="1" l="1"/>
  <c r="AB386" i="1" s="1"/>
  <c r="AA386" i="1"/>
  <c r="AE386" i="1"/>
  <c r="J417" i="18"/>
  <c r="I417" i="18" s="1"/>
  <c r="L417" i="18"/>
  <c r="M417" i="18" s="1"/>
  <c r="K418" i="18" s="1"/>
  <c r="N417" i="18"/>
  <c r="AF386" i="1" l="1"/>
  <c r="AD387" i="1" s="1"/>
  <c r="O417" i="18"/>
  <c r="G418" i="18"/>
  <c r="N418" i="18" s="1"/>
  <c r="Z387" i="1" l="1"/>
  <c r="AA387" i="1" s="1"/>
  <c r="AH386" i="1"/>
  <c r="J418" i="18"/>
  <c r="I418" i="18" s="1"/>
  <c r="H418" i="18"/>
  <c r="L418" i="18"/>
  <c r="M418" i="18" s="1"/>
  <c r="K419" i="18" s="1"/>
  <c r="AC387" i="1" l="1"/>
  <c r="AB387" i="1" s="1"/>
  <c r="AG387" i="1"/>
  <c r="AE387" i="1"/>
  <c r="AF387" i="1" s="1"/>
  <c r="AD388" i="1" s="1"/>
  <c r="O418" i="18"/>
  <c r="G419" i="18"/>
  <c r="N419" i="18" s="1"/>
  <c r="Z388" i="1" l="1"/>
  <c r="AG388" i="1" s="1"/>
  <c r="AH387" i="1"/>
  <c r="J419" i="18"/>
  <c r="I419" i="18" s="1"/>
  <c r="H419" i="18"/>
  <c r="L419" i="18"/>
  <c r="M419" i="18" s="1"/>
  <c r="K420" i="18" s="1"/>
  <c r="AC388" i="1" l="1"/>
  <c r="AB388" i="1" s="1"/>
  <c r="AA388" i="1"/>
  <c r="AE388" i="1"/>
  <c r="O419" i="18"/>
  <c r="G420" i="18"/>
  <c r="J420" i="18" s="1"/>
  <c r="I420" i="18" s="1"/>
  <c r="AF388" i="1" l="1"/>
  <c r="AD389" i="1" s="1"/>
  <c r="H420" i="18"/>
  <c r="L420" i="18"/>
  <c r="M420" i="18" s="1"/>
  <c r="K421" i="18" s="1"/>
  <c r="N420" i="18"/>
  <c r="Z389" i="1" l="1"/>
  <c r="AG389" i="1" s="1"/>
  <c r="AH388" i="1"/>
  <c r="O420" i="18"/>
  <c r="G421" i="18"/>
  <c r="N421" i="18" s="1"/>
  <c r="AC389" i="1" l="1"/>
  <c r="AB389" i="1" s="1"/>
  <c r="AA389" i="1"/>
  <c r="AE389" i="1"/>
  <c r="AF389" i="1" s="1"/>
  <c r="AD390" i="1" s="1"/>
  <c r="J421" i="18"/>
  <c r="I421" i="18" s="1"/>
  <c r="H421" i="18"/>
  <c r="L421" i="18"/>
  <c r="M421" i="18" s="1"/>
  <c r="K422" i="18" s="1"/>
  <c r="Z390" i="1" l="1"/>
  <c r="AA390" i="1" s="1"/>
  <c r="AH389" i="1"/>
  <c r="O421" i="18"/>
  <c r="G422" i="18"/>
  <c r="J422" i="18" s="1"/>
  <c r="I422" i="18" s="1"/>
  <c r="AG390" i="1" l="1"/>
  <c r="AC390" i="1"/>
  <c r="AB390" i="1" s="1"/>
  <c r="AE390" i="1"/>
  <c r="H422" i="18"/>
  <c r="L422" i="18"/>
  <c r="M422" i="18" s="1"/>
  <c r="K423" i="18" s="1"/>
  <c r="N422" i="18"/>
  <c r="AF390" i="1" l="1"/>
  <c r="AD391" i="1" s="1"/>
  <c r="O422" i="18"/>
  <c r="G423" i="18"/>
  <c r="N423" i="18" s="1"/>
  <c r="Z391" i="1" l="1"/>
  <c r="AG391" i="1" s="1"/>
  <c r="AH390" i="1"/>
  <c r="J423" i="18"/>
  <c r="I423" i="18" s="1"/>
  <c r="H423" i="18"/>
  <c r="L423" i="18"/>
  <c r="M423" i="18" s="1"/>
  <c r="K424" i="18" s="1"/>
  <c r="AC391" i="1" l="1"/>
  <c r="AB391" i="1" s="1"/>
  <c r="AA391" i="1"/>
  <c r="AE391" i="1"/>
  <c r="G424" i="18"/>
  <c r="J424" i="18" s="1"/>
  <c r="I424" i="18" s="1"/>
  <c r="O423" i="18"/>
  <c r="AF391" i="1" l="1"/>
  <c r="AD392" i="1" s="1"/>
  <c r="H424" i="18"/>
  <c r="L424" i="18"/>
  <c r="M424" i="18" s="1"/>
  <c r="K425" i="18" s="1"/>
  <c r="N424" i="18"/>
  <c r="Z392" i="1" l="1"/>
  <c r="AA392" i="1" s="1"/>
  <c r="AH391" i="1"/>
  <c r="O424" i="18"/>
  <c r="G425" i="18"/>
  <c r="H425" i="18" s="1"/>
  <c r="AC392" i="1" l="1"/>
  <c r="AB392" i="1" s="1"/>
  <c r="AG392" i="1"/>
  <c r="AE392" i="1"/>
  <c r="AF392" i="1" s="1"/>
  <c r="AD393" i="1" s="1"/>
  <c r="J425" i="18"/>
  <c r="I425" i="18" s="1"/>
  <c r="L425" i="18"/>
  <c r="M425" i="18" s="1"/>
  <c r="K426" i="18" s="1"/>
  <c r="N425" i="18"/>
  <c r="AH392" i="1" l="1"/>
  <c r="Z393" i="1"/>
  <c r="AG393" i="1" s="1"/>
  <c r="O425" i="18"/>
  <c r="G426" i="18"/>
  <c r="N426" i="18" s="1"/>
  <c r="AA393" i="1" l="1"/>
  <c r="AC393" i="1"/>
  <c r="AB393" i="1" s="1"/>
  <c r="AE393" i="1"/>
  <c r="AF393" i="1" s="1"/>
  <c r="AD394" i="1" s="1"/>
  <c r="J426" i="18"/>
  <c r="I426" i="18" s="1"/>
  <c r="H426" i="18"/>
  <c r="L426" i="18"/>
  <c r="M426" i="18" s="1"/>
  <c r="K427" i="18" s="1"/>
  <c r="Z394" i="1" l="1"/>
  <c r="AA394" i="1" s="1"/>
  <c r="AH393" i="1"/>
  <c r="O426" i="18"/>
  <c r="G427" i="18"/>
  <c r="N427" i="18" s="1"/>
  <c r="H427" i="18"/>
  <c r="J427" i="18"/>
  <c r="I427" i="18" s="1"/>
  <c r="AC394" i="1" l="1"/>
  <c r="AB394" i="1" s="1"/>
  <c r="AG394" i="1"/>
  <c r="AE394" i="1"/>
  <c r="M427" i="18"/>
  <c r="K428" i="18" s="1"/>
  <c r="L427" i="18"/>
  <c r="AF394" i="1" l="1"/>
  <c r="AD395" i="1" s="1"/>
  <c r="O427" i="18"/>
  <c r="G428" i="18"/>
  <c r="N428" i="18" s="1"/>
  <c r="J428" i="18"/>
  <c r="I428" i="18" s="1"/>
  <c r="H428" i="18"/>
  <c r="Z395" i="1" l="1"/>
  <c r="AC395" i="1" s="1"/>
  <c r="AB395" i="1" s="1"/>
  <c r="AH394" i="1"/>
  <c r="M428" i="18"/>
  <c r="K429" i="18" s="1"/>
  <c r="L428" i="18"/>
  <c r="AG395" i="1" l="1"/>
  <c r="AA395" i="1"/>
  <c r="AE395" i="1"/>
  <c r="AF395" i="1" s="1"/>
  <c r="AD396" i="1" s="1"/>
  <c r="O428" i="18"/>
  <c r="G429" i="18"/>
  <c r="N429" i="18" s="1"/>
  <c r="J429" i="18"/>
  <c r="I429" i="18" s="1"/>
  <c r="H429" i="18"/>
  <c r="Z396" i="1" l="1"/>
  <c r="AA396" i="1" s="1"/>
  <c r="AH395" i="1"/>
  <c r="M429" i="18"/>
  <c r="K430" i="18" s="1"/>
  <c r="L429" i="18"/>
  <c r="AC396" i="1" l="1"/>
  <c r="AB396" i="1" s="1"/>
  <c r="AG396" i="1"/>
  <c r="AE396" i="1"/>
  <c r="O429" i="18"/>
  <c r="H430" i="18"/>
  <c r="G430" i="18"/>
  <c r="N430" i="18" s="1"/>
  <c r="J430" i="18"/>
  <c r="I430" i="18" s="1"/>
  <c r="AF396" i="1" l="1"/>
  <c r="AD397" i="1" s="1"/>
  <c r="M430" i="18"/>
  <c r="K431" i="18" s="1"/>
  <c r="L430" i="18"/>
  <c r="Z397" i="1" l="1"/>
  <c r="AG397" i="1" s="1"/>
  <c r="AH396" i="1"/>
  <c r="O430" i="18"/>
  <c r="G431" i="18"/>
  <c r="N431" i="18" s="1"/>
  <c r="J431" i="18"/>
  <c r="I431" i="18" s="1"/>
  <c r="H431" i="18"/>
  <c r="AC397" i="1" l="1"/>
  <c r="AB397" i="1" s="1"/>
  <c r="AA397" i="1"/>
  <c r="AE397" i="1"/>
  <c r="AF397" i="1" s="1"/>
  <c r="AD398" i="1" s="1"/>
  <c r="L431" i="18"/>
  <c r="M431" i="18"/>
  <c r="K432" i="18" s="1"/>
  <c r="Z398" i="1" l="1"/>
  <c r="AG398" i="1" s="1"/>
  <c r="AH397" i="1"/>
  <c r="H432" i="18"/>
  <c r="J432" i="18"/>
  <c r="I432" i="18" s="1"/>
  <c r="G432" i="18"/>
  <c r="O431" i="18"/>
  <c r="AA398" i="1" l="1"/>
  <c r="AC398" i="1"/>
  <c r="AB398" i="1" s="1"/>
  <c r="AE398" i="1"/>
  <c r="M432" i="18"/>
  <c r="K433" i="18" s="1"/>
  <c r="L432" i="18"/>
  <c r="N432" i="18"/>
  <c r="AF398" i="1" l="1"/>
  <c r="AD399" i="1" s="1"/>
  <c r="O432" i="18"/>
  <c r="G433" i="18"/>
  <c r="N433" i="18" s="1"/>
  <c r="J433" i="18"/>
  <c r="I433" i="18" s="1"/>
  <c r="H433" i="18"/>
  <c r="Z399" i="1" l="1"/>
  <c r="AG399" i="1" s="1"/>
  <c r="AH398" i="1"/>
  <c r="M433" i="18"/>
  <c r="K434" i="18" s="1"/>
  <c r="L433" i="18"/>
  <c r="AC399" i="1" l="1"/>
  <c r="AB399" i="1" s="1"/>
  <c r="AA399" i="1"/>
  <c r="AE399" i="1"/>
  <c r="O433" i="18"/>
  <c r="H434" i="18"/>
  <c r="G434" i="18"/>
  <c r="J434" i="18"/>
  <c r="I434" i="18" s="1"/>
  <c r="AF399" i="1" l="1"/>
  <c r="AD400" i="1" s="1"/>
  <c r="M434" i="18"/>
  <c r="K435" i="18" s="1"/>
  <c r="L434" i="18"/>
  <c r="N434" i="18"/>
  <c r="Z400" i="1" l="1"/>
  <c r="AG400" i="1" s="1"/>
  <c r="AH399" i="1"/>
  <c r="O434" i="18"/>
  <c r="G435" i="18"/>
  <c r="N435" i="18" s="1"/>
  <c r="J435" i="18"/>
  <c r="I435" i="18" s="1"/>
  <c r="H435" i="18"/>
  <c r="AC400" i="1" l="1"/>
  <c r="AB400" i="1" s="1"/>
  <c r="AA400" i="1"/>
  <c r="AE400" i="1"/>
  <c r="M435" i="18"/>
  <c r="K436" i="18" s="1"/>
  <c r="L435" i="18"/>
  <c r="AF400" i="1" l="1"/>
  <c r="AD401" i="1" s="1"/>
  <c r="O435" i="18"/>
  <c r="H436" i="18"/>
  <c r="J436" i="18"/>
  <c r="I436" i="18" s="1"/>
  <c r="G436" i="18"/>
  <c r="N436" i="18" s="1"/>
  <c r="Z401" i="1" l="1"/>
  <c r="AG401" i="1" s="1"/>
  <c r="AH400" i="1"/>
  <c r="M436" i="18"/>
  <c r="K437" i="18" s="1"/>
  <c r="L436" i="18"/>
  <c r="AA401" i="1" l="1"/>
  <c r="AC401" i="1"/>
  <c r="AB401" i="1" s="1"/>
  <c r="AE401" i="1"/>
  <c r="AF401" i="1" s="1"/>
  <c r="AD402" i="1" s="1"/>
  <c r="O436" i="18"/>
  <c r="G437" i="18"/>
  <c r="N437" i="18" s="1"/>
  <c r="J437" i="18"/>
  <c r="I437" i="18" s="1"/>
  <c r="H437" i="18"/>
  <c r="Z402" i="1" l="1"/>
  <c r="AA402" i="1" s="1"/>
  <c r="AH401" i="1"/>
  <c r="M437" i="18"/>
  <c r="K438" i="18" s="1"/>
  <c r="L437" i="18"/>
  <c r="AC402" i="1" l="1"/>
  <c r="AB402" i="1" s="1"/>
  <c r="AG402" i="1"/>
  <c r="AE402" i="1"/>
  <c r="O437" i="18"/>
  <c r="H438" i="18"/>
  <c r="G438" i="18"/>
  <c r="J438" i="18"/>
  <c r="I438" i="18" s="1"/>
  <c r="AF402" i="1" l="1"/>
  <c r="AD403" i="1" s="1"/>
  <c r="M438" i="18"/>
  <c r="K439" i="18" s="1"/>
  <c r="L438" i="18"/>
  <c r="N438" i="18"/>
  <c r="Z403" i="1" l="1"/>
  <c r="AG403" i="1" s="1"/>
  <c r="AH402" i="1"/>
  <c r="O438" i="18"/>
  <c r="G439" i="18"/>
  <c r="N439" i="18" s="1"/>
  <c r="J439" i="18"/>
  <c r="H439" i="18"/>
  <c r="AC403" i="1" l="1"/>
  <c r="AB403" i="1" s="1"/>
  <c r="AA403" i="1"/>
  <c r="AE403" i="1"/>
  <c r="AF403" i="1" s="1"/>
  <c r="AD404" i="1" s="1"/>
  <c r="N441" i="18"/>
  <c r="Z7" i="21"/>
  <c r="I439" i="18"/>
  <c r="Z3" i="21"/>
  <c r="M439" i="18"/>
  <c r="L439" i="18"/>
  <c r="Z4" i="21"/>
  <c r="Z404" i="1" l="1"/>
  <c r="AG404" i="1" s="1"/>
  <c r="AH403" i="1"/>
  <c r="O439" i="18"/>
  <c r="O441" i="18" s="1"/>
  <c r="Z5" i="21"/>
  <c r="L441" i="18"/>
  <c r="Z6" i="21"/>
  <c r="M441" i="18"/>
  <c r="AC404" i="1" l="1"/>
  <c r="AB404" i="1" s="1"/>
  <c r="AA404" i="1"/>
  <c r="AE404" i="1"/>
  <c r="Z8" i="21"/>
  <c r="AF404" i="1" l="1"/>
  <c r="AD405" i="1" s="1"/>
  <c r="Q12" i="1"/>
  <c r="Z405" i="1" l="1"/>
  <c r="AG405" i="1" s="1"/>
  <c r="AH404" i="1"/>
  <c r="Q11" i="1"/>
  <c r="Q15" i="1"/>
  <c r="Q13" i="1"/>
  <c r="Q14" i="1"/>
  <c r="AC405" i="1" l="1"/>
  <c r="AB405" i="1" s="1"/>
  <c r="AA405" i="1"/>
  <c r="AE405" i="1"/>
  <c r="AF405" i="1" s="1"/>
  <c r="AD406" i="1" s="1"/>
  <c r="Q16" i="1"/>
  <c r="Z406" i="1" l="1"/>
  <c r="AC406" i="1" s="1"/>
  <c r="AB406" i="1" s="1"/>
  <c r="AH405" i="1"/>
  <c r="AA406" i="1" l="1"/>
  <c r="AG406" i="1"/>
  <c r="AE406" i="1"/>
  <c r="AF406" i="1" l="1"/>
  <c r="AD407" i="1" s="1"/>
  <c r="Z407" i="1" l="1"/>
  <c r="AA407" i="1" s="1"/>
  <c r="AH406" i="1"/>
  <c r="AC407" i="1" l="1"/>
  <c r="AB407" i="1" s="1"/>
  <c r="AG407" i="1"/>
  <c r="AE407" i="1"/>
  <c r="AF407" i="1" s="1"/>
  <c r="AD408" i="1" l="1"/>
  <c r="AH407" i="1"/>
  <c r="Z408" i="1" l="1"/>
  <c r="AG408" i="1" s="1"/>
  <c r="AC408" i="1" l="1"/>
  <c r="AB408" i="1" s="1"/>
  <c r="AA408" i="1"/>
  <c r="AE408" i="1"/>
  <c r="AF408" i="1" s="1"/>
  <c r="AD409" i="1" l="1"/>
  <c r="AH408" i="1"/>
  <c r="Z409" i="1" l="1"/>
  <c r="AG409" i="1" s="1"/>
  <c r="AC409" i="1" l="1"/>
  <c r="AB409" i="1" s="1"/>
  <c r="AA409" i="1"/>
  <c r="AE409" i="1"/>
  <c r="AF409" i="1" l="1"/>
  <c r="AD410" i="1" l="1"/>
  <c r="AH409" i="1"/>
  <c r="Z410" i="1" l="1"/>
  <c r="AC410" i="1" s="1"/>
  <c r="AE410" i="1" l="1"/>
  <c r="AG410" i="1"/>
  <c r="AA410" i="1"/>
  <c r="AB410" i="1"/>
  <c r="AF410" i="1" l="1"/>
  <c r="AD411" i="1" l="1"/>
  <c r="AH410" i="1"/>
  <c r="Z411" i="1" l="1"/>
  <c r="AA411" i="1" s="1"/>
  <c r="AC411" i="1" l="1"/>
  <c r="AB411" i="1" s="1"/>
  <c r="AG411" i="1"/>
  <c r="AE411" i="1"/>
  <c r="AF411" i="1" s="1"/>
  <c r="AD412" i="1" l="1"/>
  <c r="AH411" i="1"/>
  <c r="Z412" i="1" l="1"/>
  <c r="AG412" i="1" s="1"/>
  <c r="AC412" i="1" l="1"/>
  <c r="AB412" i="1" s="1"/>
  <c r="AA412" i="1"/>
  <c r="AE412" i="1"/>
  <c r="AF412" i="1" l="1"/>
  <c r="AD413" i="1" s="1"/>
  <c r="Z413" i="1" l="1"/>
  <c r="AA413" i="1" s="1"/>
  <c r="AH412" i="1"/>
  <c r="AC413" i="1" l="1"/>
  <c r="AB413" i="1" s="1"/>
  <c r="AE413" i="1"/>
  <c r="AF413" i="1" s="1"/>
  <c r="AD414" i="1" s="1"/>
  <c r="AG413" i="1"/>
  <c r="Z414" i="1" l="1"/>
  <c r="AG414" i="1" s="1"/>
  <c r="AH413" i="1"/>
  <c r="AC414" i="1" l="1"/>
  <c r="AB414" i="1" s="1"/>
  <c r="AE414" i="1"/>
  <c r="AA414" i="1"/>
  <c r="AF414" i="1" l="1"/>
  <c r="AD415" i="1" s="1"/>
  <c r="AH414" i="1" l="1"/>
  <c r="Z415" i="1"/>
  <c r="AA415" i="1" s="1"/>
  <c r="AC415" i="1" l="1"/>
  <c r="AB415" i="1" s="1"/>
  <c r="AG415" i="1"/>
  <c r="AE415" i="1"/>
  <c r="AF415" i="1" s="1"/>
  <c r="AD416" i="1" s="1"/>
  <c r="Z416" i="1" l="1"/>
  <c r="AA416" i="1" s="1"/>
  <c r="AH415" i="1"/>
  <c r="AC416" i="1" l="1"/>
  <c r="AB416" i="1" s="1"/>
  <c r="AE416" i="1"/>
  <c r="AG416" i="1"/>
  <c r="AF416" i="1" l="1"/>
  <c r="AD417" i="1" s="1"/>
  <c r="AH416" i="1" l="1"/>
  <c r="Z417" i="1"/>
  <c r="AG417" i="1" s="1"/>
  <c r="AA417" i="1" l="1"/>
  <c r="AC417" i="1"/>
  <c r="AB417" i="1" s="1"/>
  <c r="AE417" i="1"/>
  <c r="AF417" i="1" s="1"/>
  <c r="AD418" i="1" s="1"/>
  <c r="AH417" i="1" l="1"/>
  <c r="Z418" i="1"/>
  <c r="AA418" i="1" s="1"/>
  <c r="AC418" i="1" l="1"/>
  <c r="AB418" i="1" s="1"/>
  <c r="AG418" i="1"/>
  <c r="AE418" i="1"/>
  <c r="AF418" i="1" s="1"/>
  <c r="AD419" i="1" s="1"/>
  <c r="Z419" i="1" l="1"/>
  <c r="AG419" i="1" s="1"/>
  <c r="AH418" i="1"/>
  <c r="AC419" i="1" l="1"/>
  <c r="AB419" i="1" s="1"/>
  <c r="AA419" i="1"/>
  <c r="AE419" i="1"/>
  <c r="AF419" i="1" s="1"/>
  <c r="AD420" i="1" s="1"/>
  <c r="Z420" i="1" l="1"/>
  <c r="AA420" i="1" s="1"/>
  <c r="AH419" i="1"/>
  <c r="AE420" i="1" l="1"/>
  <c r="AF420" i="1" s="1"/>
  <c r="AD421" i="1" s="1"/>
  <c r="AC420" i="1"/>
  <c r="AB420" i="1" s="1"/>
  <c r="AG420" i="1"/>
  <c r="Z421" i="1" l="1"/>
  <c r="AG421" i="1" s="1"/>
  <c r="AH420" i="1"/>
  <c r="AC421" i="1" l="1"/>
  <c r="AB421" i="1" s="1"/>
  <c r="AA421" i="1"/>
  <c r="AE421" i="1"/>
  <c r="AF421" i="1" s="1"/>
  <c r="AD422" i="1" s="1"/>
  <c r="Z422" i="1" l="1"/>
  <c r="AA422" i="1" s="1"/>
  <c r="AH421" i="1"/>
  <c r="AC422" i="1" l="1"/>
  <c r="AB422" i="1" s="1"/>
  <c r="AG422" i="1"/>
  <c r="AE422" i="1"/>
  <c r="AF422" i="1" s="1"/>
  <c r="AD423" i="1" s="1"/>
  <c r="Z423" i="1" l="1"/>
  <c r="AC423" i="1" s="1"/>
  <c r="AB423" i="1" s="1"/>
  <c r="AH422" i="1"/>
  <c r="AA423" i="1" l="1"/>
  <c r="AG423" i="1"/>
  <c r="AE423" i="1"/>
  <c r="AF423" i="1" l="1"/>
  <c r="AD424" i="1" s="1"/>
  <c r="AH423" i="1" l="1"/>
  <c r="Z424" i="1"/>
  <c r="AA424" i="1" s="1"/>
  <c r="AC424" i="1" l="1"/>
  <c r="AB424" i="1" s="1"/>
  <c r="AE424" i="1"/>
  <c r="AF424" i="1" s="1"/>
  <c r="AD425" i="1" s="1"/>
  <c r="AG424" i="1"/>
  <c r="Z425" i="1" l="1"/>
  <c r="AC425" i="1" s="1"/>
  <c r="AB425" i="1" s="1"/>
  <c r="AH424" i="1"/>
  <c r="AA425" i="1" l="1"/>
  <c r="AE425" i="1"/>
  <c r="AF425" i="1" s="1"/>
  <c r="AD426" i="1" s="1"/>
  <c r="AG425" i="1"/>
  <c r="Z426" i="1" l="1"/>
  <c r="AA426" i="1" s="1"/>
  <c r="AH425" i="1"/>
  <c r="AC426" i="1" l="1"/>
  <c r="AB426" i="1" s="1"/>
  <c r="AG426" i="1"/>
  <c r="AE426" i="1"/>
  <c r="AF426" i="1" s="1"/>
  <c r="AD427" i="1" s="1"/>
  <c r="AC427" i="1" l="1"/>
  <c r="AB427" i="1" s="1"/>
  <c r="Z427" i="1"/>
  <c r="AG427" i="1" s="1"/>
  <c r="AH426" i="1"/>
  <c r="AA427" i="1" l="1"/>
  <c r="AE427" i="1"/>
  <c r="AF427" i="1" s="1"/>
  <c r="AD428" i="1" s="1"/>
  <c r="AH427" i="1" l="1"/>
  <c r="AC428" i="1"/>
  <c r="AB428" i="1" s="1"/>
  <c r="Z428" i="1"/>
  <c r="AA428" i="1" s="1"/>
  <c r="AE428" i="1" l="1"/>
  <c r="AF428" i="1" s="1"/>
  <c r="AD429" i="1" s="1"/>
  <c r="AG428" i="1"/>
  <c r="Z429" i="1" l="1"/>
  <c r="AA429" i="1" s="1"/>
  <c r="AH428" i="1"/>
  <c r="AC429" i="1" l="1"/>
  <c r="AB429" i="1" s="1"/>
  <c r="AE429" i="1"/>
  <c r="AF429" i="1" s="1"/>
  <c r="AD430" i="1" s="1"/>
  <c r="AG429" i="1"/>
  <c r="AH429" i="1" l="1"/>
  <c r="Z430" i="1"/>
  <c r="AG430" i="1" s="1"/>
  <c r="AC430" i="1"/>
  <c r="AB430" i="1" s="1"/>
  <c r="AA430" i="1" l="1"/>
  <c r="AE430" i="1"/>
  <c r="AF430" i="1" s="1"/>
  <c r="AD431" i="1" s="1"/>
  <c r="Z431" i="1" l="1"/>
  <c r="AC431" i="1" s="1"/>
  <c r="AB431" i="1" s="1"/>
  <c r="AH430" i="1"/>
  <c r="AA431" i="1" l="1"/>
  <c r="AE431" i="1"/>
  <c r="AF431" i="1" s="1"/>
  <c r="AD432" i="1" s="1"/>
  <c r="AG431" i="1"/>
  <c r="AH431" i="1" l="1"/>
  <c r="Z432" i="1"/>
  <c r="AA432" i="1" s="1"/>
  <c r="AC432" i="1"/>
  <c r="AB432" i="1" s="1"/>
  <c r="AE432" i="1" l="1"/>
  <c r="AF432" i="1" s="1"/>
  <c r="AD433" i="1" s="1"/>
  <c r="AG432" i="1"/>
  <c r="AH432" i="1" l="1"/>
  <c r="AC433" i="1"/>
  <c r="AB433" i="1" s="1"/>
  <c r="Z433" i="1"/>
  <c r="AG433" i="1" s="1"/>
  <c r="AA433" i="1" l="1"/>
  <c r="AE433" i="1"/>
  <c r="AF433" i="1" s="1"/>
  <c r="AD434" i="1" s="1"/>
  <c r="AH433" i="1" l="1"/>
  <c r="Z434" i="1"/>
  <c r="AA434" i="1" s="1"/>
  <c r="AC434" i="1"/>
  <c r="AB434" i="1" s="1"/>
  <c r="AE434" i="1" l="1"/>
  <c r="AF434" i="1" s="1"/>
  <c r="AD435" i="1" s="1"/>
  <c r="AG434" i="1"/>
  <c r="Z435" i="1" l="1"/>
  <c r="AG435" i="1" s="1"/>
  <c r="AH434" i="1"/>
  <c r="AA435" i="1" l="1"/>
  <c r="AC435" i="1"/>
  <c r="AB435" i="1" s="1"/>
  <c r="AE435" i="1"/>
  <c r="AF435" i="1" s="1"/>
  <c r="AD436" i="1" s="1"/>
  <c r="AH435" i="1" l="1"/>
  <c r="AC436" i="1"/>
  <c r="AB436" i="1" s="1"/>
  <c r="Z436" i="1"/>
  <c r="AA436" i="1" s="1"/>
  <c r="AE436" i="1" l="1"/>
  <c r="AF436" i="1" s="1"/>
  <c r="AD437" i="1" s="1"/>
  <c r="AG436" i="1"/>
  <c r="Z437" i="1" l="1"/>
  <c r="AC437" i="1" s="1"/>
  <c r="AB437" i="1" s="1"/>
  <c r="AH436" i="1"/>
  <c r="AA437" i="1" l="1"/>
  <c r="AE437" i="1"/>
  <c r="AF437" i="1" s="1"/>
  <c r="AD438" i="1" s="1"/>
  <c r="AG437" i="1"/>
  <c r="AH437" i="1" l="1"/>
  <c r="Z438" i="1"/>
  <c r="AG438" i="1" s="1"/>
  <c r="AC438" i="1"/>
  <c r="AB438" i="1" s="1"/>
  <c r="AA438" i="1" l="1"/>
  <c r="AE438" i="1"/>
  <c r="AF438" i="1" s="1"/>
  <c r="AD439" i="1" s="1"/>
  <c r="AH438" i="1" l="1"/>
  <c r="AC439" i="1"/>
  <c r="Z439" i="1"/>
  <c r="AA439" i="1" s="1"/>
  <c r="AE439" i="1" l="1"/>
  <c r="AF439" i="1" s="1"/>
  <c r="Q4" i="1"/>
  <c r="AG439" i="1"/>
  <c r="AB439" i="1"/>
  <c r="Q3" i="1"/>
  <c r="AH439" i="1" l="1"/>
  <c r="AH441" i="1" s="1"/>
  <c r="AE441" i="1"/>
  <c r="Q5" i="1"/>
  <c r="AG441" i="1"/>
  <c r="Q7" i="1"/>
  <c r="AF441" i="1"/>
  <c r="Q6" i="1"/>
  <c r="Q8" i="1" l="1"/>
</calcChain>
</file>

<file path=xl/comments1.xml><?xml version="1.0" encoding="utf-8"?>
<comments xmlns="http://schemas.openxmlformats.org/spreadsheetml/2006/main">
  <authors>
    <author>Auteur</author>
  </authors>
  <commentList>
    <comment ref="B2" authorId="0" shapeId="0">
      <text>
        <r>
          <rPr>
            <b/>
            <sz val="8"/>
            <color indexed="81"/>
            <rFont val="Tahoma"/>
            <family val="2"/>
          </rPr>
          <t>Nombre de décimales de la monnaie</t>
        </r>
      </text>
    </comment>
    <comment ref="I2" authorId="0" shapeId="0">
      <text>
        <r>
          <rPr>
            <b/>
            <sz val="8"/>
            <color indexed="81"/>
            <rFont val="Tahoma"/>
            <family val="2"/>
          </rPr>
          <t>Nombre de décimales de la monnaie</t>
        </r>
      </text>
    </comment>
    <comment ref="B3" authorId="0" shapeId="0">
      <text>
        <r>
          <rPr>
            <b/>
            <sz val="8"/>
            <color indexed="81"/>
            <rFont val="Tahoma"/>
            <family val="2"/>
          </rPr>
          <t>Remboursement des échéances constantes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3" authorId="0" shapeId="0">
      <text>
        <r>
          <rPr>
            <b/>
            <sz val="8"/>
            <color indexed="81"/>
            <rFont val="Tahoma"/>
            <family val="2"/>
          </rPr>
          <t>Remboursement des échéances constantes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4" authorId="0" shapeId="0">
      <text>
        <r>
          <rPr>
            <b/>
            <sz val="8"/>
            <color indexed="81"/>
            <rFont val="Tahoma"/>
            <family val="2"/>
          </rPr>
          <t xml:space="preserve">Nombre échéance maxi
</t>
        </r>
      </text>
    </comment>
    <comment ref="I4" authorId="0" shapeId="0">
      <text>
        <r>
          <rPr>
            <b/>
            <sz val="8"/>
            <color indexed="81"/>
            <rFont val="Tahoma"/>
            <family val="2"/>
          </rPr>
          <t xml:space="preserve">Nombre échéance maxi
</t>
        </r>
      </text>
    </comment>
    <comment ref="B5" authorId="0" shapeId="0">
      <text>
        <r>
          <rPr>
            <b/>
            <sz val="8"/>
            <color indexed="81"/>
            <rFont val="Tahoma"/>
            <family val="2"/>
          </rPr>
          <t>N° échéance de remboursement</t>
        </r>
      </text>
    </comment>
    <comment ref="I5" authorId="0" shapeId="0">
      <text>
        <r>
          <rPr>
            <b/>
            <sz val="8"/>
            <color indexed="81"/>
            <rFont val="Tahoma"/>
            <family val="2"/>
          </rPr>
          <t>N° échéance de remboursement</t>
        </r>
      </text>
    </comment>
    <comment ref="B6" authorId="0" shapeId="0">
      <text>
        <r>
          <rPr>
            <b/>
            <sz val="8"/>
            <color indexed="81"/>
            <rFont val="Tahoma"/>
            <family val="2"/>
          </rPr>
          <t>Intérêts 1° échéance</t>
        </r>
      </text>
    </comment>
    <comment ref="I6" authorId="0" shapeId="0">
      <text>
        <r>
          <rPr>
            <b/>
            <sz val="8"/>
            <color indexed="81"/>
            <rFont val="Tahoma"/>
            <family val="2"/>
          </rPr>
          <t>Intérêts 1° échéance</t>
        </r>
      </text>
    </comment>
    <comment ref="B7" authorId="0" shapeId="0">
      <text>
        <r>
          <rPr>
            <b/>
            <sz val="8"/>
            <color indexed="81"/>
            <rFont val="Tahoma"/>
            <family val="2"/>
          </rPr>
          <t>Capital 1° échéance</t>
        </r>
      </text>
    </comment>
    <comment ref="E7" authorId="0" shapeId="0">
      <text>
        <r>
          <rPr>
            <b/>
            <sz val="8"/>
            <color indexed="81"/>
            <rFont val="Tahoma"/>
            <family val="2"/>
          </rPr>
          <t>Différé SIMPLE</t>
        </r>
      </text>
    </comment>
    <comment ref="I7" authorId="0" shapeId="0">
      <text>
        <r>
          <rPr>
            <b/>
            <sz val="8"/>
            <color indexed="81"/>
            <rFont val="Tahoma"/>
            <family val="2"/>
          </rPr>
          <t>Capital 1° échéance</t>
        </r>
      </text>
    </comment>
    <comment ref="L7" authorId="0" shapeId="0">
      <text>
        <r>
          <rPr>
            <b/>
            <sz val="8"/>
            <color indexed="81"/>
            <rFont val="Tahoma"/>
            <family val="2"/>
          </rPr>
          <t>Différé SIMPLE</t>
        </r>
      </text>
    </comment>
    <comment ref="B8" authorId="0" shapeId="0">
      <text>
        <r>
          <rPr>
            <b/>
            <sz val="8"/>
            <color indexed="81"/>
            <rFont val="Tahoma"/>
            <family val="2"/>
          </rPr>
          <t>Date déblocage</t>
        </r>
      </text>
    </comment>
    <comment ref="E8" authorId="0" shapeId="0">
      <text>
        <r>
          <rPr>
            <b/>
            <sz val="8"/>
            <color indexed="81"/>
            <rFont val="Tahoma"/>
            <family val="2"/>
          </rPr>
          <t>Différé Global</t>
        </r>
      </text>
    </comment>
    <comment ref="I8" authorId="0" shapeId="0">
      <text>
        <r>
          <rPr>
            <b/>
            <sz val="8"/>
            <color indexed="81"/>
            <rFont val="Tahoma"/>
            <family val="2"/>
          </rPr>
          <t>Date déblocage</t>
        </r>
      </text>
    </comment>
    <comment ref="L8" authorId="0" shapeId="0">
      <text>
        <r>
          <rPr>
            <b/>
            <sz val="8"/>
            <color indexed="81"/>
            <rFont val="Tahoma"/>
            <family val="2"/>
          </rPr>
          <t>Différé Global</t>
        </r>
      </text>
    </comment>
  </commentList>
</comments>
</file>

<file path=xl/comments2.xml><?xml version="1.0" encoding="utf-8"?>
<comments xmlns="http://schemas.openxmlformats.org/spreadsheetml/2006/main">
  <authors>
    <author>Auteur</author>
  </authors>
  <commentList>
    <comment ref="B2" authorId="0" shapeId="0">
      <text>
        <r>
          <rPr>
            <b/>
            <sz val="8"/>
            <color indexed="81"/>
            <rFont val="Tahoma"/>
            <family val="2"/>
          </rPr>
          <t>Nombre de décimales de la monnaie</t>
        </r>
      </text>
    </comment>
    <comment ref="I2" authorId="0" shapeId="0">
      <text>
        <r>
          <rPr>
            <b/>
            <sz val="8"/>
            <color indexed="81"/>
            <rFont val="Tahoma"/>
            <family val="2"/>
          </rPr>
          <t>Nombre de décimales de la monnaie</t>
        </r>
      </text>
    </comment>
    <comment ref="B3" authorId="0" shapeId="0">
      <text>
        <r>
          <rPr>
            <b/>
            <sz val="8"/>
            <color indexed="81"/>
            <rFont val="Tahoma"/>
            <family val="2"/>
          </rPr>
          <t>Remboursement des échéances constantes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3" authorId="0" shapeId="0">
      <text>
        <r>
          <rPr>
            <b/>
            <sz val="8"/>
            <color indexed="81"/>
            <rFont val="Tahoma"/>
            <family val="2"/>
          </rPr>
          <t>Remboursement des échéances constantes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4" authorId="0" shapeId="0">
      <text>
        <r>
          <rPr>
            <b/>
            <sz val="8"/>
            <color indexed="81"/>
            <rFont val="Tahoma"/>
            <family val="2"/>
          </rPr>
          <t xml:space="preserve">Nombre échéance maxi
</t>
        </r>
      </text>
    </comment>
    <comment ref="I4" authorId="0" shapeId="0">
      <text>
        <r>
          <rPr>
            <b/>
            <sz val="8"/>
            <color indexed="81"/>
            <rFont val="Tahoma"/>
            <family val="2"/>
          </rPr>
          <t xml:space="preserve">Nombre échéance maxi
</t>
        </r>
      </text>
    </comment>
    <comment ref="B5" authorId="0" shapeId="0">
      <text>
        <r>
          <rPr>
            <b/>
            <sz val="8"/>
            <color indexed="81"/>
            <rFont val="Tahoma"/>
            <family val="2"/>
          </rPr>
          <t>N° échéance de remboursement</t>
        </r>
      </text>
    </comment>
    <comment ref="I5" authorId="0" shapeId="0">
      <text>
        <r>
          <rPr>
            <b/>
            <sz val="8"/>
            <color indexed="81"/>
            <rFont val="Tahoma"/>
            <family val="2"/>
          </rPr>
          <t>N° échéance de remboursement</t>
        </r>
      </text>
    </comment>
    <comment ref="B6" authorId="0" shapeId="0">
      <text>
        <r>
          <rPr>
            <b/>
            <sz val="8"/>
            <color indexed="81"/>
            <rFont val="Tahoma"/>
            <family val="2"/>
          </rPr>
          <t>Intérêts 1° échéance</t>
        </r>
      </text>
    </comment>
    <comment ref="I6" authorId="0" shapeId="0">
      <text>
        <r>
          <rPr>
            <b/>
            <sz val="8"/>
            <color indexed="81"/>
            <rFont val="Tahoma"/>
            <family val="2"/>
          </rPr>
          <t>Intérêts 1° échéance</t>
        </r>
      </text>
    </comment>
    <comment ref="B7" authorId="0" shapeId="0">
      <text>
        <r>
          <rPr>
            <b/>
            <sz val="8"/>
            <color indexed="81"/>
            <rFont val="Tahoma"/>
            <family val="2"/>
          </rPr>
          <t>Capital 1° échéance</t>
        </r>
      </text>
    </comment>
    <comment ref="E7" authorId="0" shapeId="0">
      <text>
        <r>
          <rPr>
            <b/>
            <sz val="8"/>
            <color indexed="81"/>
            <rFont val="Tahoma"/>
            <family val="2"/>
          </rPr>
          <t>Différé SIMPLE</t>
        </r>
      </text>
    </comment>
    <comment ref="I7" authorId="0" shapeId="0">
      <text>
        <r>
          <rPr>
            <b/>
            <sz val="8"/>
            <color indexed="81"/>
            <rFont val="Tahoma"/>
            <family val="2"/>
          </rPr>
          <t>Capital 1° échéance</t>
        </r>
      </text>
    </comment>
    <comment ref="L7" authorId="0" shapeId="0">
      <text>
        <r>
          <rPr>
            <b/>
            <sz val="8"/>
            <color indexed="81"/>
            <rFont val="Tahoma"/>
            <family val="2"/>
          </rPr>
          <t>Différé SIMPLE</t>
        </r>
      </text>
    </comment>
    <comment ref="B8" authorId="0" shapeId="0">
      <text>
        <r>
          <rPr>
            <b/>
            <sz val="8"/>
            <color indexed="81"/>
            <rFont val="Tahoma"/>
            <family val="2"/>
          </rPr>
          <t>Date déblocage</t>
        </r>
      </text>
    </comment>
    <comment ref="E8" authorId="0" shapeId="0">
      <text>
        <r>
          <rPr>
            <b/>
            <sz val="8"/>
            <color indexed="81"/>
            <rFont val="Tahoma"/>
            <family val="2"/>
          </rPr>
          <t>Différé Global</t>
        </r>
      </text>
    </comment>
    <comment ref="I8" authorId="0" shapeId="0">
      <text>
        <r>
          <rPr>
            <b/>
            <sz val="8"/>
            <color indexed="81"/>
            <rFont val="Tahoma"/>
            <family val="2"/>
          </rPr>
          <t>Date déblocage</t>
        </r>
      </text>
    </comment>
    <comment ref="L8" authorId="0" shapeId="0">
      <text>
        <r>
          <rPr>
            <b/>
            <sz val="8"/>
            <color indexed="81"/>
            <rFont val="Tahoma"/>
            <family val="2"/>
          </rPr>
          <t>Différé Global</t>
        </r>
      </text>
    </comment>
  </commentList>
</comments>
</file>

<file path=xl/sharedStrings.xml><?xml version="1.0" encoding="utf-8"?>
<sst xmlns="http://schemas.openxmlformats.org/spreadsheetml/2006/main" count="1182" uniqueCount="368">
  <si>
    <t>Montant échéance</t>
  </si>
  <si>
    <t>Taux période</t>
  </si>
  <si>
    <t>Nombre échéance par an</t>
  </si>
  <si>
    <t>Nombre échéance total</t>
  </si>
  <si>
    <t>Récapitulatif</t>
  </si>
  <si>
    <t>Total Frais</t>
  </si>
  <si>
    <t>Tableau d'amortissement</t>
  </si>
  <si>
    <t>Capital restant dû</t>
  </si>
  <si>
    <t>Capital  remboursé</t>
  </si>
  <si>
    <t>Opération</t>
  </si>
  <si>
    <t>Nouveau Taux</t>
  </si>
  <si>
    <t>Intérêts
payés</t>
  </si>
  <si>
    <t>Date 
Échéance</t>
  </si>
  <si>
    <t>Montant 
des Frais</t>
  </si>
  <si>
    <t>Capital remboursé</t>
  </si>
  <si>
    <t>Total Intérêts</t>
  </si>
  <si>
    <t>Total Capital</t>
  </si>
  <si>
    <t>Coût total crédit</t>
  </si>
  <si>
    <t>Frais Fixe (ADI) / ech</t>
  </si>
  <si>
    <t>Frais variable (en %CRD)</t>
  </si>
  <si>
    <t>Nombre échéances</t>
  </si>
  <si>
    <t>Date dernière échéance</t>
  </si>
  <si>
    <t>Reste sur initial</t>
  </si>
  <si>
    <t>Total 
payé</t>
  </si>
  <si>
    <t>Données recalcul</t>
  </si>
  <si>
    <t>Frais opération</t>
  </si>
  <si>
    <t>Nouvelle échéance</t>
  </si>
  <si>
    <t>Nouveau Nb d'échéance</t>
  </si>
  <si>
    <t>Mensuel</t>
  </si>
  <si>
    <t>IntervalMois</t>
  </si>
  <si>
    <t>IntervalJour</t>
  </si>
  <si>
    <t>J1</t>
  </si>
  <si>
    <t>Déblocage initial</t>
  </si>
  <si>
    <t>Durée totale (en mois)</t>
  </si>
  <si>
    <t>Différé</t>
  </si>
  <si>
    <t>J2</t>
  </si>
  <si>
    <t>M1</t>
  </si>
  <si>
    <t>Nombre de décimales</t>
  </si>
  <si>
    <t>à</t>
  </si>
  <si>
    <t>mois</t>
  </si>
  <si>
    <t>Limitation de l'amortissement</t>
  </si>
  <si>
    <t>Calcul première échéance</t>
  </si>
  <si>
    <t>Décimalisation de la monnaie</t>
  </si>
  <si>
    <t>-1-</t>
  </si>
  <si>
    <t>-2-</t>
  </si>
  <si>
    <t>-3-</t>
  </si>
  <si>
    <t>an(s)  et / ou</t>
  </si>
  <si>
    <t>Type d'amortissement</t>
  </si>
  <si>
    <t>Date première échéance :</t>
  </si>
  <si>
    <t>Date déblocage théorique :</t>
  </si>
  <si>
    <t>Date déblocage réel :</t>
  </si>
  <si>
    <t>Date déblocage fonds :</t>
  </si>
  <si>
    <t>Montant des Intérêts :</t>
  </si>
  <si>
    <t>Montant du capital :</t>
  </si>
  <si>
    <t>Total échéance (hors frais) :</t>
  </si>
  <si>
    <t>Quinzaine</t>
  </si>
  <si>
    <t>Trimestriel</t>
  </si>
  <si>
    <t>Semestriel</t>
  </si>
  <si>
    <t>Annuel</t>
  </si>
  <si>
    <t>Hebdomadaire</t>
  </si>
  <si>
    <t>Bimensuel</t>
  </si>
  <si>
    <t>durée :</t>
  </si>
  <si>
    <t>Périodicité :</t>
  </si>
  <si>
    <t>et</t>
  </si>
  <si>
    <t>ans</t>
  </si>
  <si>
    <t>Taux annuel :</t>
  </si>
  <si>
    <t>Montant emprunté :</t>
  </si>
  <si>
    <t>1° échéance :</t>
  </si>
  <si>
    <t>Frais</t>
  </si>
  <si>
    <t>Periodicité</t>
  </si>
  <si>
    <t>Type Taux</t>
  </si>
  <si>
    <t>Nombre de mois différé</t>
  </si>
  <si>
    <t>MtEmprunt</t>
  </si>
  <si>
    <t>Colonne</t>
  </si>
  <si>
    <t>Non</t>
  </si>
  <si>
    <t>Verouillé</t>
  </si>
  <si>
    <t>(A CACHER)</t>
  </si>
  <si>
    <t>Année</t>
  </si>
  <si>
    <t>N°</t>
  </si>
  <si>
    <t>Ech</t>
  </si>
  <si>
    <t>Total / filtrage</t>
  </si>
  <si>
    <t>Caractéristiques</t>
  </si>
  <si>
    <t>Échéance avec assurance</t>
  </si>
  <si>
    <t>:</t>
  </si>
  <si>
    <t>Différé1</t>
  </si>
  <si>
    <t>Prêt a taux fixe</t>
  </si>
  <si>
    <t>Prêt in fine</t>
  </si>
  <si>
    <t>Prêt taux fixe</t>
  </si>
  <si>
    <t>Diféré en mois</t>
  </si>
  <si>
    <t>1 moi</t>
  </si>
  <si>
    <t>2 mois</t>
  </si>
  <si>
    <t>3 mois</t>
  </si>
  <si>
    <t>4 mois</t>
  </si>
  <si>
    <t>5 mois</t>
  </si>
  <si>
    <t>6 mois</t>
  </si>
  <si>
    <t>7 mois</t>
  </si>
  <si>
    <t>8 mois</t>
  </si>
  <si>
    <t>9 mois</t>
  </si>
  <si>
    <t>10 mois</t>
  </si>
  <si>
    <t>11 mois</t>
  </si>
  <si>
    <t>12 mois</t>
  </si>
  <si>
    <t>1 an et 1 mois</t>
  </si>
  <si>
    <t>1 an et 2 mois</t>
  </si>
  <si>
    <t>1 an et 3 mois</t>
  </si>
  <si>
    <t>1 an et 4 mois</t>
  </si>
  <si>
    <t>1 an et 5 mois</t>
  </si>
  <si>
    <t>1 an et 6 mois</t>
  </si>
  <si>
    <t>1 an et 7 mois</t>
  </si>
  <si>
    <t>1 an et 8 mois</t>
  </si>
  <si>
    <t>1 an et 9 mois</t>
  </si>
  <si>
    <t xml:space="preserve">      Tableau d'amortissement linéaire</t>
  </si>
  <si>
    <t>Remplir les cases en jaunes</t>
  </si>
  <si>
    <t>Type d'immobilisation :</t>
  </si>
  <si>
    <t>Durée d'utilisation :</t>
  </si>
  <si>
    <t>Valeur d'acquisition :</t>
  </si>
  <si>
    <t>Taux d'amortissement :</t>
  </si>
  <si>
    <t>Date de mise en service :</t>
  </si>
  <si>
    <t>Jour :</t>
  </si>
  <si>
    <t>Mois :</t>
  </si>
  <si>
    <t>Année :</t>
  </si>
  <si>
    <t>Années</t>
  </si>
  <si>
    <t>V.O.</t>
  </si>
  <si>
    <t>Annuité</t>
  </si>
  <si>
    <t>Cumul</t>
  </si>
  <si>
    <t>V.N.C.</t>
  </si>
  <si>
    <t>VO</t>
  </si>
  <si>
    <t>=AMORTLI!$C$4</t>
  </si>
  <si>
    <t>=AMORTLI!$C$40:$C$51</t>
  </si>
  <si>
    <t>an</t>
  </si>
  <si>
    <t>=AMORTLI!$D$11</t>
  </si>
  <si>
    <t>ann</t>
  </si>
  <si>
    <t>=AMORTLI!$D$12</t>
  </si>
  <si>
    <t>cumul</t>
  </si>
  <si>
    <t>=AMORTLI!$D$40:$D$51</t>
  </si>
  <si>
    <t>J</t>
  </si>
  <si>
    <t>=AMORTLI!$D$5</t>
  </si>
  <si>
    <t>M</t>
  </si>
  <si>
    <t>=AMORTLI!$D$6</t>
  </si>
  <si>
    <t>A</t>
  </si>
  <si>
    <t>=AMORTLI!$D$7</t>
  </si>
  <si>
    <t>d</t>
  </si>
  <si>
    <t>=AMORTLI!$G$3</t>
  </si>
  <si>
    <t>T</t>
  </si>
  <si>
    <t>=AMORTLI!$G$4</t>
  </si>
  <si>
    <t>nbr</t>
  </si>
  <si>
    <t>=AMORTLI!$H$11:$H$29</t>
  </si>
  <si>
    <t>r</t>
  </si>
  <si>
    <t>=AMORTLI!$H$8</t>
  </si>
  <si>
    <t xml:space="preserve">      Tableau d'amortissement Dégressif</t>
  </si>
  <si>
    <t>Date d'acquisition :</t>
  </si>
  <si>
    <t>V.N.C. début</t>
  </si>
  <si>
    <t>V.N.C. fin</t>
  </si>
  <si>
    <t>VNCdebut</t>
  </si>
  <si>
    <t>=DEGRESSIF!$C$4</t>
  </si>
  <si>
    <t>MOISdebut</t>
  </si>
  <si>
    <t>=DEGRESSIF!$D$6</t>
  </si>
  <si>
    <t>ANNEEdebut</t>
  </si>
  <si>
    <t>=DEGRESSIF!$D$7</t>
  </si>
  <si>
    <t>DUREE</t>
  </si>
  <si>
    <t>=DEGRESSIF!$G$3</t>
  </si>
  <si>
    <t>TAUXdeg</t>
  </si>
  <si>
    <t>=DEGRESSIF!$G$4</t>
  </si>
  <si>
    <t>lignes</t>
  </si>
  <si>
    <t>=DEGRESSIF!$H$11:$H$29</t>
  </si>
  <si>
    <t>TAUXlin</t>
  </si>
  <si>
    <t>=DEGRESSIF!$I$11:$I$29</t>
  </si>
  <si>
    <t>Acaht</t>
  </si>
  <si>
    <t>Frais annuels</t>
  </si>
  <si>
    <t>Immeuble 1</t>
  </si>
  <si>
    <t>Prix</t>
  </si>
  <si>
    <t>Charges copro non recup</t>
  </si>
  <si>
    <t>Loyer</t>
  </si>
  <si>
    <t>Frais agence inclus</t>
  </si>
  <si>
    <t>Taxe fonciere</t>
  </si>
  <si>
    <t>Appartement 1</t>
  </si>
  <si>
    <t>Appartement 8</t>
  </si>
  <si>
    <t>Frais notaire</t>
  </si>
  <si>
    <t>Assurance loyer impayé</t>
  </si>
  <si>
    <t>Anah/Borloo 50%</t>
  </si>
  <si>
    <t>Travaux</t>
  </si>
  <si>
    <t>Gestion  locative</t>
  </si>
  <si>
    <t>Appartement 2</t>
  </si>
  <si>
    <t>Appartement 9</t>
  </si>
  <si>
    <t>Autres</t>
  </si>
  <si>
    <t>Total</t>
  </si>
  <si>
    <t>Appartement 3</t>
  </si>
  <si>
    <t>Appart 10</t>
  </si>
  <si>
    <t>Salaire / an</t>
  </si>
  <si>
    <t>Recettes locatives</t>
  </si>
  <si>
    <t>Appartement 4</t>
  </si>
  <si>
    <t>Appart 11</t>
  </si>
  <si>
    <t>Autre revenu foncier / an</t>
  </si>
  <si>
    <t>Loyer annuel Appartement</t>
  </si>
  <si>
    <t>Quotient familliale</t>
  </si>
  <si>
    <t>Abatement borloo</t>
  </si>
  <si>
    <t>Appartement 5</t>
  </si>
  <si>
    <t>Appart 12</t>
  </si>
  <si>
    <t>plafond QF / enfant</t>
  </si>
  <si>
    <t>Abatement Prêt Pls</t>
  </si>
  <si>
    <t>Choisir abbatement</t>
  </si>
  <si>
    <t>Loyer annuel Local</t>
  </si>
  <si>
    <t>Appartement 6</t>
  </si>
  <si>
    <t>Appartement 7</t>
  </si>
  <si>
    <t>Charges locatives</t>
  </si>
  <si>
    <t>interets d'emprunt / An</t>
  </si>
  <si>
    <t>Charges</t>
  </si>
  <si>
    <t>Local 1</t>
  </si>
  <si>
    <t>Local 2</t>
  </si>
  <si>
    <t>Salaire gerant / Moi</t>
  </si>
  <si>
    <t>Charges L</t>
  </si>
  <si>
    <t>Amortissement immeuble</t>
  </si>
  <si>
    <t>Taxe Fonciere</t>
  </si>
  <si>
    <t>Imposition IR</t>
  </si>
  <si>
    <t>Imposition IS</t>
  </si>
  <si>
    <t>Revenu imposable</t>
  </si>
  <si>
    <t>Deficit</t>
  </si>
  <si>
    <t>Imposable</t>
  </si>
  <si>
    <t>A reporter</t>
  </si>
  <si>
    <t>Salaire -10%</t>
  </si>
  <si>
    <t>Impots sur revenu</t>
  </si>
  <si>
    <t>N1</t>
  </si>
  <si>
    <t>Revenue foncier</t>
  </si>
  <si>
    <t>N2</t>
  </si>
  <si>
    <t>rev foncier-charges/abbat</t>
  </si>
  <si>
    <t>Tresorie</t>
  </si>
  <si>
    <t>N3</t>
  </si>
  <si>
    <t>Total impossable</t>
  </si>
  <si>
    <t>N4</t>
  </si>
  <si>
    <t>Quotient famillial</t>
  </si>
  <si>
    <t>Montant dividendes</t>
  </si>
  <si>
    <t>N5</t>
  </si>
  <si>
    <t>Application du quotient</t>
  </si>
  <si>
    <t>Abatement 40%</t>
  </si>
  <si>
    <t>N6</t>
  </si>
  <si>
    <t xml:space="preserve">Impots sur revenu </t>
  </si>
  <si>
    <t>Impots sur dividendes</t>
  </si>
  <si>
    <t>N7</t>
  </si>
  <si>
    <t>Impots</t>
  </si>
  <si>
    <t>N8</t>
  </si>
  <si>
    <t>plafond qf</t>
  </si>
  <si>
    <t>Prelevements sociaux</t>
  </si>
  <si>
    <t>N9</t>
  </si>
  <si>
    <t>nombre enfant</t>
  </si>
  <si>
    <t>N10</t>
  </si>
  <si>
    <t>Gain max lié aux enfants</t>
  </si>
  <si>
    <t>Total impots</t>
  </si>
  <si>
    <t>N11</t>
  </si>
  <si>
    <t>impots sans enfant</t>
  </si>
  <si>
    <t>Benefice</t>
  </si>
  <si>
    <t>N12</t>
  </si>
  <si>
    <t>impots minimal</t>
  </si>
  <si>
    <t>Benefice SAS</t>
  </si>
  <si>
    <t>N13</t>
  </si>
  <si>
    <t>N14</t>
  </si>
  <si>
    <t>decote celibataire</t>
  </si>
  <si>
    <t>N15</t>
  </si>
  <si>
    <t>decote couple</t>
  </si>
  <si>
    <t>N16</t>
  </si>
  <si>
    <t>Impots- decote</t>
  </si>
  <si>
    <t>N17</t>
  </si>
  <si>
    <t>impots net a payer</t>
  </si>
  <si>
    <t>N18</t>
  </si>
  <si>
    <t>N19</t>
  </si>
  <si>
    <t>impots+ prel sociaux</t>
  </si>
  <si>
    <t>Benefice -credit-TF</t>
  </si>
  <si>
    <t>Benefice / mois</t>
  </si>
  <si>
    <t>1                  12</t>
  </si>
  <si>
    <t>2                  24</t>
  </si>
  <si>
    <t>3                  36</t>
  </si>
  <si>
    <t>4                  48</t>
  </si>
  <si>
    <t>5                  60</t>
  </si>
  <si>
    <t>6                  72</t>
  </si>
  <si>
    <t>7                  84</t>
  </si>
  <si>
    <t>8                  96</t>
  </si>
  <si>
    <t>9                108</t>
  </si>
  <si>
    <t>10             120</t>
  </si>
  <si>
    <t>11             132</t>
  </si>
  <si>
    <t>12             144</t>
  </si>
  <si>
    <t>13             156</t>
  </si>
  <si>
    <t>Cout credit</t>
  </si>
  <si>
    <t>Is</t>
  </si>
  <si>
    <t>Assurance</t>
  </si>
  <si>
    <t>Credit</t>
  </si>
  <si>
    <t>tranche imposition (IS)</t>
  </si>
  <si>
    <t>Tranche</t>
  </si>
  <si>
    <t>Resultat</t>
  </si>
  <si>
    <t>Taux</t>
  </si>
  <si>
    <t>Impots/tranche</t>
  </si>
  <si>
    <t>Jusqu'à 38120 €</t>
  </si>
  <si>
    <t>De 38120 € à 999999 €</t>
  </si>
  <si>
    <t>Interet année 1</t>
  </si>
  <si>
    <t>Ir</t>
  </si>
  <si>
    <t>Interet année 2</t>
  </si>
  <si>
    <t>tranche imposition (IR)</t>
  </si>
  <si>
    <t>Interet année 3</t>
  </si>
  <si>
    <t>Jusqu'à 9 700 €</t>
  </si>
  <si>
    <t>Interet année 4</t>
  </si>
  <si>
    <t>De 9 700 € à 26 791 €</t>
  </si>
  <si>
    <t>Interet année 5</t>
  </si>
  <si>
    <t>De 26 791 € à 71 826 €</t>
  </si>
  <si>
    <t>Interet année 6</t>
  </si>
  <si>
    <t>De 71 826 € à 152 108 €</t>
  </si>
  <si>
    <t>Interet année 7</t>
  </si>
  <si>
    <t xml:space="preserve">Plus de 152 108 € </t>
  </si>
  <si>
    <t>Interet année 8</t>
  </si>
  <si>
    <t>Interet année 9</t>
  </si>
  <si>
    <t>Interet année 10</t>
  </si>
  <si>
    <t>sas</t>
  </si>
  <si>
    <t>Impots dividendes</t>
  </si>
  <si>
    <t>Anah/Borloo 15%</t>
  </si>
  <si>
    <t>App 2</t>
  </si>
  <si>
    <t>App 3</t>
  </si>
  <si>
    <t>App 4</t>
  </si>
  <si>
    <t>App 5</t>
  </si>
  <si>
    <t>App 6</t>
  </si>
  <si>
    <t>App 7</t>
  </si>
  <si>
    <t>App 8</t>
  </si>
  <si>
    <t>App 9</t>
  </si>
  <si>
    <t>App 10</t>
  </si>
  <si>
    <t>APP 11</t>
  </si>
  <si>
    <t>App 12</t>
  </si>
  <si>
    <t>taux in fine ir</t>
  </si>
  <si>
    <t>Deduction impot IR in fine</t>
  </si>
  <si>
    <t>Deduction impot IR taux fixe</t>
  </si>
  <si>
    <t>taux fixe</t>
  </si>
  <si>
    <t xml:space="preserve"> </t>
  </si>
  <si>
    <t>Deduction impot IS taux fixe</t>
  </si>
  <si>
    <t>Imposition IR taux fixe</t>
  </si>
  <si>
    <t>App 1</t>
  </si>
  <si>
    <t>Informations financiaires</t>
  </si>
  <si>
    <t xml:space="preserve">Montant </t>
  </si>
  <si>
    <t xml:space="preserve">Taux </t>
  </si>
  <si>
    <t>Durée / ans</t>
  </si>
  <si>
    <t>Et / mois</t>
  </si>
  <si>
    <t>Avec ass</t>
  </si>
  <si>
    <t>Achat</t>
  </si>
  <si>
    <t>Bénéfice Ir in fine</t>
  </si>
  <si>
    <t>Bénéfice Is taux fixe</t>
  </si>
  <si>
    <t>Bénéfice Ir taux fixe</t>
  </si>
  <si>
    <t>Bénéfice is in fine</t>
  </si>
  <si>
    <t>Salaire gerant / Mois</t>
  </si>
  <si>
    <t>Imposition IS taux fixe</t>
  </si>
  <si>
    <t xml:space="preserve"> Tableau d'amortissement prêt taux fixe</t>
  </si>
  <si>
    <t>Tableau d'amortissement prêt in fine</t>
  </si>
  <si>
    <t>Tableau d'imposition Is</t>
  </si>
  <si>
    <t>Tableau d'imposition sas</t>
  </si>
  <si>
    <t>Tableau d'imposition taux in fine ir</t>
  </si>
  <si>
    <t>Tableau d'imposition Ir taux fixe</t>
  </si>
  <si>
    <t>Régime Causse</t>
  </si>
  <si>
    <t>App 11</t>
  </si>
  <si>
    <t>impot modifier a terminer</t>
  </si>
  <si>
    <t>Impots-decote couple</t>
  </si>
  <si>
    <t>impots net a payer Couple</t>
  </si>
  <si>
    <t>impots+ prel sociaux Cou</t>
  </si>
  <si>
    <t>impots sur revenu</t>
  </si>
  <si>
    <t>impots modifie</t>
  </si>
  <si>
    <t xml:space="preserve">2em salaire / an </t>
  </si>
  <si>
    <t>salaire -10%</t>
  </si>
  <si>
    <t>revenue foncier</t>
  </si>
  <si>
    <t>total imposable sans enfant</t>
  </si>
  <si>
    <t>Impots couple IR taux fixe</t>
  </si>
  <si>
    <t>2em salaire</t>
  </si>
  <si>
    <t>Quotient familliale couple</t>
  </si>
  <si>
    <t>Tableau d'imposition couple IR taux fixe</t>
  </si>
  <si>
    <t>Tableau d'imposition vérification plafond QF IR taux fixe</t>
  </si>
  <si>
    <t>Tableau d'imposition vérification plafond QF couple IR taux fixe</t>
  </si>
  <si>
    <t>Tableau d'imposition vérification plafond QF IR taux in fine</t>
  </si>
  <si>
    <t>Imposition IR taux in fine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</si>
</sst>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5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0.000%"/>
    <numFmt numFmtId="165" formatCode="0.000000%"/>
    <numFmt numFmtId="166" formatCode=".000000%"/>
    <numFmt numFmtId="167" formatCode="#"/>
    <numFmt numFmtId="168" formatCode="0.0"/>
    <numFmt numFmtId="169" formatCode="#,##0.00;\-#,##0.00;\-\ "/>
    <numFmt numFmtId="170" formatCode="#,##0.00;\-#,##0.00;\-"/>
    <numFmt numFmtId="171" formatCode="#,##0.00;\-#,##0.00;&quot;&quot;"/>
    <numFmt numFmtId="172" formatCode="#,##0.00\ _F"/>
    <numFmt numFmtId="173" formatCode="#,##0.00\ &quot;€&quot;"/>
    <numFmt numFmtId="174" formatCode="#,##0.0\ &quot;€&quot;;[Red]\-#,##0.0\ &quot;€&quot;"/>
    <numFmt numFmtId="175" formatCode="#,##0.00\ _€"/>
    <numFmt numFmtId="176" formatCode="_(&quot;$&quot;* #,##0.00_);_(&quot;$&quot;* \(#,##0.00\);_(&quot;$&quot;* &quot;-&quot;??_);_(@_)"/>
  </numFmts>
  <fonts count="56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9"/>
      <name val="Arial"/>
      <family val="2"/>
    </font>
    <font>
      <b/>
      <sz val="10"/>
      <color indexed="9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6"/>
      <color indexed="55"/>
      <name val="Arial"/>
      <family val="2"/>
    </font>
    <font>
      <sz val="8"/>
      <color indexed="55"/>
      <name val="Arial"/>
      <family val="2"/>
    </font>
    <font>
      <sz val="9"/>
      <name val="Arial"/>
      <family val="2"/>
    </font>
    <font>
      <b/>
      <sz val="8"/>
      <color indexed="9"/>
      <name val="Arial"/>
      <family val="2"/>
    </font>
    <font>
      <sz val="10"/>
      <color indexed="9"/>
      <name val="Arial"/>
      <family val="2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b/>
      <sz val="10"/>
      <color indexed="22"/>
      <name val="Arial"/>
      <family val="2"/>
    </font>
    <font>
      <sz val="10"/>
      <color indexed="22"/>
      <name val="Arial"/>
      <family val="2"/>
    </font>
    <font>
      <sz val="10"/>
      <color indexed="23"/>
      <name val="Arial"/>
      <family val="2"/>
    </font>
    <font>
      <sz val="10"/>
      <color indexed="55"/>
      <name val="Arial"/>
      <family val="2"/>
    </font>
    <font>
      <sz val="10"/>
      <color indexed="63"/>
      <name val="Arial"/>
      <family val="2"/>
    </font>
    <font>
      <sz val="10"/>
      <name val="Arial"/>
      <family val="2"/>
    </font>
    <font>
      <sz val="9"/>
      <color indexed="9"/>
      <name val="Arial"/>
      <family val="2"/>
    </font>
    <font>
      <sz val="8"/>
      <color rgb="FF000000"/>
      <name val="Tahoma"/>
      <family val="2"/>
    </font>
    <font>
      <b/>
      <sz val="10"/>
      <color theme="0"/>
      <name val="Arial"/>
      <family val="2"/>
    </font>
    <font>
      <sz val="10"/>
      <name val="Helv"/>
    </font>
    <font>
      <sz val="10"/>
      <name val="Trebuchet MS"/>
      <family val="2"/>
    </font>
    <font>
      <sz val="18"/>
      <color indexed="12"/>
      <name val="Trebuchet MS"/>
      <family val="2"/>
    </font>
    <font>
      <b/>
      <sz val="10"/>
      <name val="Trebuchet MS"/>
      <family val="2"/>
    </font>
    <font>
      <sz val="14"/>
      <name val="Trebuchet MS"/>
      <family val="2"/>
    </font>
    <font>
      <b/>
      <sz val="14"/>
      <color indexed="10"/>
      <name val="Trebuchet MS"/>
      <family val="2"/>
    </font>
    <font>
      <sz val="12"/>
      <color indexed="10"/>
      <name val="Trebuchet MS"/>
      <family val="2"/>
    </font>
    <font>
      <b/>
      <i/>
      <sz val="10"/>
      <name val="Trebuchet MS"/>
      <family val="2"/>
    </font>
    <font>
      <b/>
      <sz val="12"/>
      <name val="Trebuchet MS"/>
      <family val="2"/>
    </font>
    <font>
      <sz val="20"/>
      <name val="Trebuchet MS"/>
      <family val="2"/>
    </font>
    <font>
      <sz val="18"/>
      <name val="Trebuchet MS"/>
      <family val="2"/>
    </font>
    <font>
      <sz val="10"/>
      <color theme="1"/>
      <name val="Trebuchet MS"/>
      <family val="2"/>
    </font>
    <font>
      <sz val="11"/>
      <name val="Calibri"/>
      <family val="2"/>
      <scheme val="minor"/>
    </font>
    <font>
      <sz val="8"/>
      <color rgb="FF000000"/>
      <name val="Segoe UI"/>
      <family val="2"/>
    </font>
    <font>
      <i/>
      <sz val="10"/>
      <name val="Trebuchet MS"/>
      <family val="2"/>
    </font>
    <font>
      <b/>
      <sz val="10"/>
      <color indexed="9"/>
      <name val="Trebuchet MS"/>
      <family val="2"/>
    </font>
    <font>
      <b/>
      <sz val="10"/>
      <color theme="0"/>
      <name val="Trebuchet MS"/>
      <family val="2"/>
    </font>
    <font>
      <b/>
      <i/>
      <u/>
      <sz val="10"/>
      <name val="Trebuchet MS"/>
      <family val="2"/>
    </font>
    <font>
      <b/>
      <i/>
      <u/>
      <sz val="10"/>
      <color theme="1"/>
      <name val="Trebuchet MS"/>
      <family val="2"/>
    </font>
    <font>
      <b/>
      <i/>
      <u/>
      <sz val="10"/>
      <color theme="0"/>
      <name val="Trebuchet MS"/>
      <family val="2"/>
    </font>
    <font>
      <u/>
      <sz val="10"/>
      <color indexed="9"/>
      <name val="Trebuchet MS"/>
      <family val="2"/>
    </font>
    <font>
      <b/>
      <i/>
      <u/>
      <sz val="10"/>
      <color indexed="9"/>
      <name val="Trebuchet MS"/>
      <family val="2"/>
    </font>
    <font>
      <i/>
      <sz val="10"/>
      <color theme="1"/>
      <name val="Trebuchet MS"/>
      <family val="2"/>
    </font>
    <font>
      <b/>
      <i/>
      <u/>
      <sz val="11"/>
      <color theme="1"/>
      <name val="Calibri"/>
      <family val="2"/>
      <scheme val="minor"/>
    </font>
    <font>
      <b/>
      <i/>
      <u/>
      <sz val="10"/>
      <name val="Arial"/>
      <family val="2"/>
    </font>
    <font>
      <b/>
      <i/>
      <u/>
      <sz val="10"/>
      <name val="Helv"/>
    </font>
  </fonts>
  <fills count="29">
    <fill>
      <patternFill patternType="none"/>
    </fill>
    <fill>
      <patternFill patternType="gray125"/>
    </fill>
    <fill>
      <patternFill patternType="solid">
        <fgColor indexed="24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17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medium">
        <color indexed="24"/>
      </top>
      <bottom style="medium">
        <color indexed="24"/>
      </bottom>
      <diagonal/>
    </border>
    <border>
      <left style="medium">
        <color indexed="24"/>
      </left>
      <right style="hair">
        <color indexed="17"/>
      </right>
      <top style="hair">
        <color indexed="19"/>
      </top>
      <bottom style="hair">
        <color indexed="19"/>
      </bottom>
      <diagonal/>
    </border>
    <border>
      <left style="medium">
        <color indexed="24"/>
      </left>
      <right style="hair">
        <color indexed="17"/>
      </right>
      <top style="hair">
        <color indexed="19"/>
      </top>
      <bottom style="medium">
        <color indexed="24"/>
      </bottom>
      <diagonal/>
    </border>
    <border>
      <left style="medium">
        <color indexed="24"/>
      </left>
      <right/>
      <top/>
      <bottom style="thin">
        <color indexed="24"/>
      </bottom>
      <diagonal/>
    </border>
    <border>
      <left style="medium">
        <color indexed="24"/>
      </left>
      <right/>
      <top style="thin">
        <color indexed="24"/>
      </top>
      <bottom style="medium">
        <color indexed="24"/>
      </bottom>
      <diagonal/>
    </border>
    <border>
      <left/>
      <right/>
      <top/>
      <bottom style="thin">
        <color indexed="24"/>
      </bottom>
      <diagonal/>
    </border>
    <border>
      <left/>
      <right/>
      <top style="thin">
        <color indexed="24"/>
      </top>
      <bottom style="thin">
        <color indexed="24"/>
      </bottom>
      <diagonal/>
    </border>
    <border>
      <left/>
      <right/>
      <top style="thin">
        <color indexed="24"/>
      </top>
      <bottom style="medium">
        <color indexed="24"/>
      </bottom>
      <diagonal/>
    </border>
    <border>
      <left style="medium">
        <color indexed="24"/>
      </left>
      <right style="hair">
        <color indexed="17"/>
      </right>
      <top style="medium">
        <color indexed="24"/>
      </top>
      <bottom style="hair">
        <color indexed="19"/>
      </bottom>
      <diagonal/>
    </border>
    <border>
      <left style="hair">
        <color indexed="17"/>
      </left>
      <right style="hair">
        <color indexed="17"/>
      </right>
      <top style="medium">
        <color indexed="24"/>
      </top>
      <bottom style="hair">
        <color indexed="19"/>
      </bottom>
      <diagonal/>
    </border>
    <border>
      <left style="hair">
        <color indexed="17"/>
      </left>
      <right style="hair">
        <color indexed="17"/>
      </right>
      <top style="hair">
        <color indexed="19"/>
      </top>
      <bottom style="hair">
        <color indexed="19"/>
      </bottom>
      <diagonal/>
    </border>
    <border>
      <left style="hair">
        <color indexed="17"/>
      </left>
      <right style="medium">
        <color indexed="24"/>
      </right>
      <top style="hair">
        <color indexed="19"/>
      </top>
      <bottom style="hair">
        <color indexed="19"/>
      </bottom>
      <diagonal/>
    </border>
    <border>
      <left style="hair">
        <color indexed="17"/>
      </left>
      <right style="hair">
        <color indexed="17"/>
      </right>
      <top style="hair">
        <color indexed="19"/>
      </top>
      <bottom style="medium">
        <color indexed="24"/>
      </bottom>
      <diagonal/>
    </border>
    <border>
      <left style="hair">
        <color indexed="17"/>
      </left>
      <right style="medium">
        <color indexed="24"/>
      </right>
      <top style="hair">
        <color indexed="19"/>
      </top>
      <bottom style="medium">
        <color indexed="24"/>
      </bottom>
      <diagonal/>
    </border>
    <border>
      <left/>
      <right style="medium">
        <color indexed="24"/>
      </right>
      <top/>
      <bottom/>
      <diagonal/>
    </border>
    <border>
      <left style="medium">
        <color indexed="24"/>
      </left>
      <right/>
      <top/>
      <bottom/>
      <diagonal/>
    </border>
    <border>
      <left style="medium">
        <color indexed="24"/>
      </left>
      <right style="hair">
        <color indexed="17"/>
      </right>
      <top style="medium">
        <color indexed="24"/>
      </top>
      <bottom/>
      <diagonal/>
    </border>
    <border>
      <left style="hair">
        <color indexed="17"/>
      </left>
      <right style="hair">
        <color indexed="17"/>
      </right>
      <top style="medium">
        <color indexed="24"/>
      </top>
      <bottom/>
      <diagonal/>
    </border>
    <border>
      <left style="hair">
        <color indexed="17"/>
      </left>
      <right style="medium">
        <color indexed="24"/>
      </right>
      <top style="medium">
        <color indexed="24"/>
      </top>
      <bottom/>
      <diagonal/>
    </border>
    <border>
      <left style="medium">
        <color indexed="24"/>
      </left>
      <right/>
      <top style="medium">
        <color indexed="24"/>
      </top>
      <bottom style="medium">
        <color indexed="24"/>
      </bottom>
      <diagonal/>
    </border>
    <border>
      <left style="thin">
        <color indexed="23"/>
      </left>
      <right/>
      <top style="thin">
        <color indexed="23"/>
      </top>
      <bottom/>
      <diagonal/>
    </border>
    <border>
      <left/>
      <right/>
      <top style="thin">
        <color indexed="23"/>
      </top>
      <bottom/>
      <diagonal/>
    </border>
    <border>
      <left/>
      <right style="thin">
        <color indexed="23"/>
      </right>
      <top style="thin">
        <color indexed="23"/>
      </top>
      <bottom/>
      <diagonal/>
    </border>
    <border>
      <left style="thin">
        <color indexed="23"/>
      </left>
      <right/>
      <top/>
      <bottom/>
      <diagonal/>
    </border>
    <border>
      <left/>
      <right style="thin">
        <color indexed="23"/>
      </right>
      <top/>
      <bottom/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/>
      <right/>
      <top style="thin">
        <color indexed="23"/>
      </top>
      <bottom style="thin">
        <color indexed="23"/>
      </bottom>
      <diagonal/>
    </border>
    <border>
      <left/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n">
        <color indexed="23"/>
      </bottom>
      <diagonal/>
    </border>
    <border>
      <left/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/>
      <top/>
      <bottom style="thin">
        <color indexed="23"/>
      </bottom>
      <diagonal/>
    </border>
    <border>
      <left/>
      <right/>
      <top/>
      <bottom style="medium">
        <color indexed="24"/>
      </bottom>
      <diagonal/>
    </border>
    <border>
      <left style="medium">
        <color indexed="24"/>
      </left>
      <right/>
      <top style="medium">
        <color indexed="24"/>
      </top>
      <bottom/>
      <diagonal/>
    </border>
    <border>
      <left style="medium">
        <color indexed="24"/>
      </left>
      <right/>
      <top/>
      <bottom style="medium">
        <color indexed="2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24"/>
      </top>
      <bottom/>
      <diagonal/>
    </border>
    <border>
      <left/>
      <right style="medium">
        <color indexed="24"/>
      </right>
      <top style="medium">
        <color indexed="24"/>
      </top>
      <bottom/>
      <diagonal/>
    </border>
    <border>
      <left/>
      <right style="medium">
        <color indexed="24"/>
      </right>
      <top/>
      <bottom style="medium">
        <color indexed="24"/>
      </bottom>
      <diagonal/>
    </border>
    <border>
      <left style="hair">
        <color indexed="17"/>
      </left>
      <right style="medium">
        <color indexed="24"/>
      </right>
      <top style="medium">
        <color indexed="24"/>
      </top>
      <bottom style="hair">
        <color indexed="17"/>
      </bottom>
      <diagonal/>
    </border>
    <border>
      <left style="hair">
        <color indexed="17"/>
      </left>
      <right style="medium">
        <color indexed="24"/>
      </right>
      <top style="hair">
        <color indexed="17"/>
      </top>
      <bottom style="hair">
        <color indexed="19"/>
      </bottom>
      <diagonal/>
    </border>
    <border>
      <left style="thin">
        <color indexed="24"/>
      </left>
      <right/>
      <top style="medium">
        <color indexed="24"/>
      </top>
      <bottom style="medium">
        <color indexed="24"/>
      </bottom>
      <diagonal/>
    </border>
    <border>
      <left/>
      <right style="medium">
        <color indexed="24"/>
      </right>
      <top style="medium">
        <color indexed="24"/>
      </top>
      <bottom style="medium">
        <color indexed="24"/>
      </bottom>
      <diagonal/>
    </border>
    <border>
      <left style="thin">
        <color indexed="24"/>
      </left>
      <right/>
      <top/>
      <bottom style="thin">
        <color indexed="24"/>
      </bottom>
      <diagonal/>
    </border>
    <border>
      <left/>
      <right style="thin">
        <color indexed="24"/>
      </right>
      <top/>
      <bottom style="thin">
        <color indexed="24"/>
      </bottom>
      <diagonal/>
    </border>
    <border>
      <left/>
      <right style="medium">
        <color indexed="24"/>
      </right>
      <top/>
      <bottom style="thin">
        <color indexed="24"/>
      </bottom>
      <diagonal/>
    </border>
    <border>
      <left/>
      <right style="medium">
        <color indexed="24"/>
      </right>
      <top style="thin">
        <color indexed="24"/>
      </top>
      <bottom style="thin">
        <color indexed="24"/>
      </bottom>
      <diagonal/>
    </border>
    <border>
      <left style="thin">
        <color indexed="24"/>
      </left>
      <right/>
      <top style="thin">
        <color indexed="24"/>
      </top>
      <bottom style="medium">
        <color indexed="24"/>
      </bottom>
      <diagonal/>
    </border>
    <border>
      <left/>
      <right style="thin">
        <color indexed="24"/>
      </right>
      <top style="thin">
        <color indexed="24"/>
      </top>
      <bottom style="medium">
        <color indexed="24"/>
      </bottom>
      <diagonal/>
    </border>
    <border>
      <left/>
      <right style="medium">
        <color indexed="24"/>
      </right>
      <top style="thin">
        <color indexed="24"/>
      </top>
      <bottom style="medium">
        <color indexed="24"/>
      </bottom>
      <diagonal/>
    </border>
    <border>
      <left style="thin">
        <color indexed="24"/>
      </left>
      <right style="thin">
        <color indexed="24"/>
      </right>
      <top style="thin">
        <color indexed="24"/>
      </top>
      <bottom style="thin">
        <color indexed="24"/>
      </bottom>
      <diagonal/>
    </border>
    <border>
      <left style="thin">
        <color indexed="24"/>
      </left>
      <right style="medium">
        <color indexed="24"/>
      </right>
      <top style="thin">
        <color indexed="24"/>
      </top>
      <bottom style="thin">
        <color indexed="24"/>
      </bottom>
      <diagonal/>
    </border>
    <border>
      <left style="thin">
        <color indexed="24"/>
      </left>
      <right style="medium">
        <color indexed="24"/>
      </right>
      <top style="thin">
        <color indexed="24"/>
      </top>
      <bottom style="medium">
        <color indexed="24"/>
      </bottom>
      <diagonal/>
    </border>
    <border>
      <left style="thin">
        <color indexed="24"/>
      </left>
      <right/>
      <top style="medium">
        <color indexed="24"/>
      </top>
      <bottom/>
      <diagonal/>
    </border>
    <border>
      <left style="thin">
        <color indexed="24"/>
      </left>
      <right/>
      <top/>
      <bottom/>
      <diagonal/>
    </border>
    <border>
      <left style="thin">
        <color indexed="24"/>
      </left>
      <right/>
      <top/>
      <bottom style="medium">
        <color indexed="24"/>
      </bottom>
      <diagonal/>
    </border>
    <border>
      <left style="thin">
        <color indexed="24"/>
      </left>
      <right style="medium">
        <color indexed="24"/>
      </right>
      <top style="medium">
        <color indexed="24"/>
      </top>
      <bottom/>
      <diagonal/>
    </border>
    <border>
      <left style="thin">
        <color indexed="24"/>
      </left>
      <right style="medium">
        <color indexed="24"/>
      </right>
      <top/>
      <bottom/>
      <diagonal/>
    </border>
    <border>
      <left style="thin">
        <color indexed="24"/>
      </left>
      <right style="medium">
        <color indexed="24"/>
      </right>
      <top/>
      <bottom style="medium">
        <color indexed="24"/>
      </bottom>
      <diagonal/>
    </border>
    <border>
      <left/>
      <right style="thin">
        <color indexed="24"/>
      </right>
      <top style="medium">
        <color indexed="24"/>
      </top>
      <bottom/>
      <diagonal/>
    </border>
    <border>
      <left/>
      <right style="thin">
        <color indexed="24"/>
      </right>
      <top/>
      <bottom/>
      <diagonal/>
    </border>
    <border>
      <left/>
      <right style="thin">
        <color indexed="24"/>
      </right>
      <top/>
      <bottom style="medium">
        <color indexed="24"/>
      </bottom>
      <diagonal/>
    </border>
    <border>
      <left style="medium">
        <color indexed="24"/>
      </left>
      <right style="hair">
        <color indexed="17"/>
      </right>
      <top/>
      <bottom/>
      <diagonal/>
    </border>
    <border>
      <left style="medium">
        <color indexed="24"/>
      </left>
      <right style="hair">
        <color indexed="17"/>
      </right>
      <top/>
      <bottom style="medium">
        <color indexed="24"/>
      </bottom>
      <diagonal/>
    </border>
    <border>
      <left style="hair">
        <color indexed="17"/>
      </left>
      <right style="hair">
        <color indexed="17"/>
      </right>
      <top/>
      <bottom/>
      <diagonal/>
    </border>
    <border>
      <left style="hair">
        <color indexed="17"/>
      </left>
      <right style="hair">
        <color indexed="17"/>
      </right>
      <top/>
      <bottom style="medium">
        <color indexed="24"/>
      </bottom>
      <diagonal/>
    </border>
    <border>
      <left style="hair">
        <color indexed="17"/>
      </left>
      <right style="medium">
        <color indexed="24"/>
      </right>
      <top/>
      <bottom/>
      <diagonal/>
    </border>
    <border>
      <left style="hair">
        <color indexed="17"/>
      </left>
      <right style="medium">
        <color indexed="24"/>
      </right>
      <top/>
      <bottom style="medium">
        <color indexed="24"/>
      </bottom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  <border>
      <left style="thin">
        <color indexed="12"/>
      </left>
      <right/>
      <top style="thin">
        <color indexed="12"/>
      </top>
      <bottom/>
      <diagonal/>
    </border>
    <border>
      <left/>
      <right/>
      <top style="thin">
        <color indexed="12"/>
      </top>
      <bottom/>
      <diagonal/>
    </border>
    <border>
      <left/>
      <right style="thin">
        <color indexed="12"/>
      </right>
      <top style="thin">
        <color indexed="12"/>
      </top>
      <bottom/>
      <diagonal/>
    </border>
    <border>
      <left style="thin">
        <color indexed="12"/>
      </left>
      <right/>
      <top style="thin">
        <color indexed="12"/>
      </top>
      <bottom style="thin">
        <color indexed="12"/>
      </bottom>
      <diagonal/>
    </border>
    <border>
      <left/>
      <right/>
      <top style="thin">
        <color indexed="12"/>
      </top>
      <bottom style="thin">
        <color indexed="12"/>
      </bottom>
      <diagonal/>
    </border>
    <border>
      <left/>
      <right style="thin">
        <color indexed="12"/>
      </right>
      <top style="thin">
        <color indexed="12"/>
      </top>
      <bottom style="thin">
        <color indexed="12"/>
      </bottom>
      <diagonal/>
    </border>
    <border>
      <left style="thin">
        <color indexed="12"/>
      </left>
      <right/>
      <top/>
      <bottom/>
      <diagonal/>
    </border>
    <border>
      <left/>
      <right style="thin">
        <color indexed="12"/>
      </right>
      <top/>
      <bottom/>
      <diagonal/>
    </border>
    <border>
      <left style="thin">
        <color indexed="12"/>
      </left>
      <right/>
      <top/>
      <bottom style="thin">
        <color indexed="12"/>
      </bottom>
      <diagonal/>
    </border>
    <border>
      <left/>
      <right/>
      <top/>
      <bottom style="thin">
        <color indexed="12"/>
      </bottom>
      <diagonal/>
    </border>
    <border>
      <left/>
      <right style="thin">
        <color indexed="12"/>
      </right>
      <top/>
      <bottom style="thin">
        <color indexed="12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24"/>
      </right>
      <top style="thin">
        <color indexed="24"/>
      </top>
      <bottom style="thin">
        <color indexed="2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theme="7" tint="0.39994506668294322"/>
      </left>
      <right/>
      <top style="medium">
        <color theme="7" tint="0.39994506668294322"/>
      </top>
      <bottom/>
      <diagonal/>
    </border>
    <border>
      <left/>
      <right/>
      <top style="medium">
        <color theme="7" tint="0.39994506668294322"/>
      </top>
      <bottom/>
      <diagonal/>
    </border>
    <border>
      <left/>
      <right style="medium">
        <color theme="7" tint="0.39994506668294322"/>
      </right>
      <top style="medium">
        <color theme="7" tint="0.39994506668294322"/>
      </top>
      <bottom/>
      <diagonal/>
    </border>
    <border>
      <left style="medium">
        <color theme="7" tint="0.39994506668294322"/>
      </left>
      <right/>
      <top/>
      <bottom/>
      <diagonal/>
    </border>
    <border>
      <left/>
      <right style="medium">
        <color theme="7" tint="0.39994506668294322"/>
      </right>
      <top/>
      <bottom/>
      <diagonal/>
    </border>
    <border>
      <left style="medium">
        <color theme="7" tint="0.39994506668294322"/>
      </left>
      <right/>
      <top/>
      <bottom style="medium">
        <color theme="7" tint="0.39994506668294322"/>
      </bottom>
      <diagonal/>
    </border>
    <border>
      <left/>
      <right/>
      <top/>
      <bottom style="medium">
        <color theme="7" tint="0.39994506668294322"/>
      </bottom>
      <diagonal/>
    </border>
    <border>
      <left style="thin">
        <color theme="7" tint="0.39994506668294322"/>
      </left>
      <right style="thin">
        <color theme="7" tint="0.39994506668294322"/>
      </right>
      <top style="thin">
        <color theme="7" tint="0.39994506668294322"/>
      </top>
      <bottom style="thin">
        <color theme="7" tint="0.39994506668294322"/>
      </bottom>
      <diagonal/>
    </border>
    <border>
      <left style="medium">
        <color theme="7" tint="0.39994506668294322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theme="7" tint="0.39994506668294322"/>
      </left>
      <right style="thin">
        <color indexed="64"/>
      </right>
      <top style="thin">
        <color indexed="64"/>
      </top>
      <bottom style="medium">
        <color theme="7" tint="0.399945066682943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theme="7" tint="0.39994506668294322"/>
      </bottom>
      <diagonal/>
    </border>
    <border>
      <left/>
      <right style="medium">
        <color theme="7" tint="0.39994506668294322"/>
      </right>
      <top/>
      <bottom style="medium">
        <color theme="7" tint="0.39994506668294322"/>
      </bottom>
      <diagonal/>
    </border>
    <border>
      <left style="thin">
        <color theme="7" tint="0.39994506668294322"/>
      </left>
      <right style="thin">
        <color theme="7" tint="0.39994506668294322"/>
      </right>
      <top/>
      <bottom style="thin">
        <color theme="7" tint="0.39994506668294322"/>
      </bottom>
      <diagonal/>
    </border>
    <border>
      <left style="medium">
        <color theme="8" tint="-0.24994659260841701"/>
      </left>
      <right/>
      <top style="medium">
        <color theme="8" tint="-0.24994659260841701"/>
      </top>
      <bottom style="medium">
        <color theme="8" tint="-0.24994659260841701"/>
      </bottom>
      <diagonal/>
    </border>
    <border>
      <left/>
      <right/>
      <top style="medium">
        <color theme="8" tint="-0.24994659260841701"/>
      </top>
      <bottom style="medium">
        <color theme="8" tint="-0.24994659260841701"/>
      </bottom>
      <diagonal/>
    </border>
    <border>
      <left/>
      <right style="medium">
        <color theme="8" tint="-0.24994659260841701"/>
      </right>
      <top style="medium">
        <color theme="8" tint="-0.24994659260841701"/>
      </top>
      <bottom style="medium">
        <color theme="8" tint="-0.24994659260841701"/>
      </bottom>
      <diagonal/>
    </border>
    <border>
      <left style="thin">
        <color indexed="24"/>
      </left>
      <right style="medium">
        <color theme="7" tint="0.39994506668294322"/>
      </right>
      <top style="thin">
        <color indexed="24"/>
      </top>
      <bottom style="thin">
        <color indexed="24"/>
      </bottom>
      <diagonal/>
    </border>
    <border>
      <left style="thin">
        <color indexed="24"/>
      </left>
      <right style="medium">
        <color theme="7" tint="0.39994506668294322"/>
      </right>
      <top style="thin">
        <color indexed="24"/>
      </top>
      <bottom/>
      <diagonal/>
    </border>
    <border>
      <left style="medium">
        <color theme="7" tint="0.39991454817346722"/>
      </left>
      <right style="thin">
        <color theme="7" tint="0.39994506668294322"/>
      </right>
      <top style="thin">
        <color theme="7" tint="0.39994506668294322"/>
      </top>
      <bottom style="thin">
        <color theme="7" tint="0.39994506668294322"/>
      </bottom>
      <diagonal/>
    </border>
    <border>
      <left/>
      <right style="medium">
        <color theme="7" tint="0.39991454817346722"/>
      </right>
      <top/>
      <bottom/>
      <diagonal/>
    </border>
    <border>
      <left style="medium">
        <color theme="7" tint="0.39991454817346722"/>
      </left>
      <right style="thin">
        <color theme="7" tint="0.39994506668294322"/>
      </right>
      <top/>
      <bottom style="thin">
        <color theme="7" tint="0.39994506668294322"/>
      </bottom>
      <diagonal/>
    </border>
    <border>
      <left style="medium">
        <color theme="7" tint="0.39991454817346722"/>
      </left>
      <right style="thin">
        <color theme="7" tint="0.39994506668294322"/>
      </right>
      <top style="thin">
        <color theme="7" tint="0.39994506668294322"/>
      </top>
      <bottom/>
      <diagonal/>
    </border>
    <border>
      <left style="thin">
        <color theme="7" tint="0.39994506668294322"/>
      </left>
      <right style="thin">
        <color theme="7" tint="0.39994506668294322"/>
      </right>
      <top style="thin">
        <color theme="7" tint="0.39994506668294322"/>
      </top>
      <bottom/>
      <diagonal/>
    </border>
    <border>
      <left style="medium">
        <color theme="7" tint="0.39994506668294322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24"/>
      </left>
      <right style="medium">
        <color theme="7" tint="0.39994506668294322"/>
      </right>
      <top style="thin">
        <color indexed="24"/>
      </top>
      <bottom style="medium">
        <color theme="7" tint="0.39994506668294322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auto="1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ck">
        <color theme="7" tint="0.39994506668294322"/>
      </left>
      <right/>
      <top style="thick">
        <color theme="7" tint="0.39994506668294322"/>
      </top>
      <bottom/>
      <diagonal/>
    </border>
    <border>
      <left/>
      <right/>
      <top style="thick">
        <color theme="7" tint="0.39994506668294322"/>
      </top>
      <bottom/>
      <diagonal/>
    </border>
    <border>
      <left/>
      <right style="thick">
        <color theme="7" tint="0.39994506668294322"/>
      </right>
      <top style="thick">
        <color theme="7" tint="0.39994506668294322"/>
      </top>
      <bottom/>
      <diagonal/>
    </border>
    <border>
      <left style="thick">
        <color theme="7" tint="0.39994506668294322"/>
      </left>
      <right/>
      <top/>
      <bottom/>
      <diagonal/>
    </border>
    <border>
      <left/>
      <right style="thick">
        <color theme="7" tint="0.39994506668294322"/>
      </right>
      <top/>
      <bottom/>
      <diagonal/>
    </border>
    <border>
      <left style="thick">
        <color theme="7" tint="0.39994506668294322"/>
      </left>
      <right/>
      <top/>
      <bottom style="thick">
        <color theme="7" tint="0.39994506668294322"/>
      </bottom>
      <diagonal/>
    </border>
    <border>
      <left/>
      <right/>
      <top/>
      <bottom style="thick">
        <color theme="7" tint="0.39994506668294322"/>
      </bottom>
      <diagonal/>
    </border>
    <border>
      <left/>
      <right style="thick">
        <color theme="7" tint="0.39994506668294322"/>
      </right>
      <top/>
      <bottom style="thick">
        <color theme="7" tint="0.39994506668294322"/>
      </bottom>
      <diagonal/>
    </border>
    <border>
      <left/>
      <right/>
      <top style="thin">
        <color theme="7" tint="0.39991454817346722"/>
      </top>
      <bottom/>
      <diagonal/>
    </border>
    <border>
      <left/>
      <right/>
      <top/>
      <bottom style="thin">
        <color theme="7" tint="0.39991454817346722"/>
      </bottom>
      <diagonal/>
    </border>
    <border>
      <left style="thick">
        <color theme="7" tint="0.39994506668294322"/>
      </left>
      <right/>
      <top/>
      <bottom style="thin">
        <color theme="7" tint="0.39991454817346722"/>
      </bottom>
      <diagonal/>
    </border>
    <border>
      <left/>
      <right style="thick">
        <color theme="7" tint="0.39994506668294322"/>
      </right>
      <top/>
      <bottom style="thin">
        <color theme="7" tint="0.39991454817346722"/>
      </bottom>
      <diagonal/>
    </border>
    <border>
      <left style="thick">
        <color theme="7" tint="0.39994506668294322"/>
      </left>
      <right/>
      <top style="thin">
        <color theme="7" tint="0.39991454817346722"/>
      </top>
      <bottom/>
      <diagonal/>
    </border>
    <border>
      <left/>
      <right style="thick">
        <color theme="7" tint="0.39994506668294322"/>
      </right>
      <top style="thin">
        <color theme="7" tint="0.39991454817346722"/>
      </top>
      <bottom/>
      <diagonal/>
    </border>
    <border>
      <left style="thick">
        <color theme="7" tint="0.39994506668294322"/>
      </left>
      <right/>
      <top/>
      <bottom style="thin">
        <color theme="7" tint="0.39997558519241921"/>
      </bottom>
      <diagonal/>
    </border>
    <border>
      <left/>
      <right/>
      <top/>
      <bottom style="thin">
        <color theme="7" tint="0.39997558519241921"/>
      </bottom>
      <diagonal/>
    </border>
    <border>
      <left/>
      <right style="thick">
        <color theme="7" tint="0.39994506668294322"/>
      </right>
      <top/>
      <bottom style="thin">
        <color theme="7" tint="0.39997558519241921"/>
      </bottom>
      <diagonal/>
    </border>
    <border>
      <left style="thick">
        <color theme="7" tint="0.39994506668294322"/>
      </left>
      <right/>
      <top style="thin">
        <color theme="7" tint="0.39997558519241921"/>
      </top>
      <bottom/>
      <diagonal/>
    </border>
    <border>
      <left/>
      <right/>
      <top style="thin">
        <color theme="7" tint="0.39997558519241921"/>
      </top>
      <bottom/>
      <diagonal/>
    </border>
    <border>
      <left/>
      <right style="thick">
        <color theme="7" tint="0.39994506668294322"/>
      </right>
      <top style="thin">
        <color theme="7" tint="0.39997558519241921"/>
      </top>
      <bottom/>
      <diagonal/>
    </border>
    <border>
      <left style="medium">
        <color auto="1"/>
      </left>
      <right/>
      <top style="thin">
        <color indexed="64"/>
      </top>
      <bottom style="thin">
        <color theme="7" tint="0.39997558519241921"/>
      </bottom>
      <diagonal/>
    </border>
    <border>
      <left/>
      <right style="thin">
        <color indexed="64"/>
      </right>
      <top style="thin">
        <color indexed="64"/>
      </top>
      <bottom style="thin">
        <color theme="7" tint="0.39997558519241921"/>
      </bottom>
      <diagonal/>
    </border>
  </borders>
  <cellStyleXfs count="10">
    <xf numFmtId="0" fontId="0" fillId="0" borderId="0"/>
    <xf numFmtId="171" fontId="18" fillId="2" borderId="2" applyFont="0" applyFill="0" applyBorder="0" applyAlignment="0" applyProtection="0">
      <alignment wrapText="1"/>
    </xf>
    <xf numFmtId="170" fontId="18" fillId="2" borderId="2" applyFont="0" applyFill="0" applyBorder="0" applyAlignment="0" applyProtection="0">
      <alignment wrapText="1"/>
    </xf>
    <xf numFmtId="169" fontId="6" fillId="0" borderId="0" applyFont="0" applyFill="0" applyBorder="0" applyAlignment="0" applyProtection="0"/>
    <xf numFmtId="0" fontId="30" fillId="0" borderId="0"/>
    <xf numFmtId="9" fontId="30" fillId="0" borderId="0" applyFont="0" applyFill="0" applyBorder="0" applyAlignment="0" applyProtection="0"/>
    <xf numFmtId="0" fontId="5" fillId="0" borderId="0"/>
    <xf numFmtId="0" fontId="9" fillId="0" borderId="0"/>
    <xf numFmtId="176" fontId="9" fillId="0" borderId="0" applyFont="0" applyFill="0" applyBorder="0" applyAlignment="0" applyProtection="0"/>
    <xf numFmtId="44" fontId="5" fillId="0" borderId="0" applyFont="0" applyFill="0" applyBorder="0" applyAlignment="0" applyProtection="0"/>
  </cellStyleXfs>
  <cellXfs count="670">
    <xf numFmtId="0" fontId="0" fillId="0" borderId="0" xfId="0"/>
    <xf numFmtId="0" fontId="0" fillId="0" borderId="0" xfId="0" applyFill="1" applyProtection="1"/>
    <xf numFmtId="0" fontId="11" fillId="0" borderId="0" xfId="0" applyFont="1" applyFill="1" applyProtection="1"/>
    <xf numFmtId="164" fontId="0" fillId="3" borderId="3" xfId="0" applyNumberFormat="1" applyFill="1" applyBorder="1" applyProtection="1">
      <protection locked="0"/>
    </xf>
    <xf numFmtId="164" fontId="0" fillId="3" borderId="4" xfId="0" applyNumberFormat="1" applyFill="1" applyBorder="1" applyProtection="1">
      <protection locked="0"/>
    </xf>
    <xf numFmtId="0" fontId="0" fillId="4" borderId="5" xfId="0" applyFill="1" applyBorder="1" applyAlignment="1" applyProtection="1">
      <alignment horizontal="center"/>
    </xf>
    <xf numFmtId="0" fontId="0" fillId="4" borderId="6" xfId="0" applyFill="1" applyBorder="1" applyAlignment="1" applyProtection="1">
      <alignment horizontal="center"/>
    </xf>
    <xf numFmtId="0" fontId="16" fillId="4" borderId="7" xfId="0" applyFont="1" applyFill="1" applyBorder="1" applyAlignment="1" applyProtection="1">
      <alignment horizontal="center"/>
    </xf>
    <xf numFmtId="0" fontId="16" fillId="4" borderId="8" xfId="0" applyFont="1" applyFill="1" applyBorder="1" applyAlignment="1" applyProtection="1">
      <alignment horizontal="center"/>
    </xf>
    <xf numFmtId="0" fontId="16" fillId="4" borderId="9" xfId="0" applyFont="1" applyFill="1" applyBorder="1" applyAlignment="1" applyProtection="1">
      <alignment horizontal="center"/>
    </xf>
    <xf numFmtId="0" fontId="0" fillId="0" borderId="0" xfId="0" applyProtection="1">
      <protection locked="0"/>
    </xf>
    <xf numFmtId="164" fontId="0" fillId="0" borderId="0" xfId="0" applyNumberFormat="1" applyProtection="1">
      <protection locked="0"/>
    </xf>
    <xf numFmtId="4" fontId="0" fillId="0" borderId="0" xfId="0" applyNumberFormat="1" applyProtection="1">
      <protection locked="0"/>
    </xf>
    <xf numFmtId="0" fontId="7" fillId="0" borderId="0" xfId="0" applyFont="1" applyFill="1" applyProtection="1">
      <protection locked="0"/>
    </xf>
    <xf numFmtId="165" fontId="14" fillId="0" borderId="0" xfId="0" applyNumberFormat="1" applyFont="1" applyProtection="1">
      <protection locked="0"/>
    </xf>
    <xf numFmtId="4" fontId="14" fillId="0" borderId="0" xfId="0" applyNumberFormat="1" applyFont="1" applyProtection="1">
      <protection locked="0"/>
    </xf>
    <xf numFmtId="0" fontId="0" fillId="0" borderId="0" xfId="0" applyFill="1" applyBorder="1" applyProtection="1">
      <protection locked="0"/>
    </xf>
    <xf numFmtId="0" fontId="11" fillId="0" borderId="0" xfId="0" applyFont="1" applyProtection="1">
      <protection locked="0"/>
    </xf>
    <xf numFmtId="164" fontId="0" fillId="3" borderId="10" xfId="0" applyNumberFormat="1" applyFill="1" applyBorder="1" applyProtection="1">
      <protection locked="0"/>
    </xf>
    <xf numFmtId="4" fontId="0" fillId="3" borderId="11" xfId="0" applyNumberFormat="1" applyFill="1" applyBorder="1" applyProtection="1">
      <protection locked="0"/>
    </xf>
    <xf numFmtId="0" fontId="0" fillId="3" borderId="11" xfId="0" applyFill="1" applyBorder="1" applyProtection="1">
      <protection locked="0"/>
    </xf>
    <xf numFmtId="4" fontId="0" fillId="3" borderId="12" xfId="0" applyNumberFormat="1" applyFill="1" applyBorder="1" applyProtection="1">
      <protection locked="0"/>
    </xf>
    <xf numFmtId="0" fontId="0" fillId="3" borderId="12" xfId="0" applyFill="1" applyBorder="1" applyProtection="1">
      <protection locked="0"/>
    </xf>
    <xf numFmtId="4" fontId="0" fillId="3" borderId="13" xfId="0" applyNumberFormat="1" applyFill="1" applyBorder="1" applyProtection="1">
      <protection locked="0"/>
    </xf>
    <xf numFmtId="4" fontId="0" fillId="3" borderId="14" xfId="0" applyNumberFormat="1" applyFill="1" applyBorder="1" applyProtection="1">
      <protection locked="0"/>
    </xf>
    <xf numFmtId="0" fontId="0" fillId="3" borderId="14" xfId="0" applyFill="1" applyBorder="1" applyProtection="1">
      <protection locked="0"/>
    </xf>
    <xf numFmtId="4" fontId="0" fillId="3" borderId="15" xfId="0" applyNumberFormat="1" applyFill="1" applyBorder="1" applyProtection="1">
      <protection locked="0"/>
    </xf>
    <xf numFmtId="0" fontId="9" fillId="0" borderId="0" xfId="0" applyFont="1" applyProtection="1">
      <protection locked="0"/>
    </xf>
    <xf numFmtId="4" fontId="15" fillId="0" borderId="16" xfId="0" applyNumberFormat="1" applyFont="1" applyBorder="1" applyProtection="1"/>
    <xf numFmtId="166" fontId="15" fillId="0" borderId="17" xfId="0" applyNumberFormat="1" applyFont="1" applyBorder="1" applyProtection="1"/>
    <xf numFmtId="14" fontId="0" fillId="4" borderId="7" xfId="0" applyNumberFormat="1" applyFill="1" applyBorder="1" applyProtection="1"/>
    <xf numFmtId="14" fontId="0" fillId="4" borderId="8" xfId="0" applyNumberFormat="1" applyFill="1" applyBorder="1" applyProtection="1"/>
    <xf numFmtId="14" fontId="0" fillId="4" borderId="9" xfId="0" applyNumberFormat="1" applyFill="1" applyBorder="1" applyProtection="1"/>
    <xf numFmtId="0" fontId="12" fillId="4" borderId="16" xfId="0" applyFont="1" applyFill="1" applyBorder="1" applyAlignment="1" applyProtection="1">
      <alignment horizontal="right"/>
    </xf>
    <xf numFmtId="0" fontId="12" fillId="4" borderId="17" xfId="0" applyFont="1" applyFill="1" applyBorder="1" applyAlignment="1" applyProtection="1">
      <alignment horizontal="right"/>
    </xf>
    <xf numFmtId="167" fontId="13" fillId="4" borderId="18" xfId="0" applyNumberFormat="1" applyFont="1" applyFill="1" applyBorder="1" applyAlignment="1" applyProtection="1">
      <alignment wrapText="1"/>
    </xf>
    <xf numFmtId="167" fontId="13" fillId="4" borderId="19" xfId="0" applyNumberFormat="1" applyFont="1" applyFill="1" applyBorder="1" applyAlignment="1" applyProtection="1">
      <alignment wrapText="1"/>
    </xf>
    <xf numFmtId="167" fontId="13" fillId="4" borderId="20" xfId="0" applyNumberFormat="1" applyFont="1" applyFill="1" applyBorder="1" applyAlignment="1" applyProtection="1">
      <alignment wrapText="1"/>
    </xf>
    <xf numFmtId="0" fontId="18" fillId="2" borderId="21" xfId="0" applyFont="1" applyFill="1" applyBorder="1" applyAlignment="1" applyProtection="1">
      <alignment horizontal="center"/>
    </xf>
    <xf numFmtId="14" fontId="18" fillId="2" borderId="2" xfId="0" applyNumberFormat="1" applyFont="1" applyFill="1" applyBorder="1" applyAlignment="1" applyProtection="1">
      <alignment horizontal="right"/>
    </xf>
    <xf numFmtId="0" fontId="0" fillId="0" borderId="0" xfId="0" applyFill="1" applyBorder="1" applyAlignment="1" applyProtection="1">
      <alignment horizontal="center"/>
    </xf>
    <xf numFmtId="4" fontId="18" fillId="2" borderId="21" xfId="0" applyNumberFormat="1" applyFont="1" applyFill="1" applyBorder="1" applyAlignment="1" applyProtection="1">
      <alignment wrapText="1"/>
    </xf>
    <xf numFmtId="0" fontId="9" fillId="0" borderId="0" xfId="0" applyFont="1" applyFill="1" applyProtection="1">
      <protection locked="0"/>
    </xf>
    <xf numFmtId="0" fontId="0" fillId="0" borderId="0" xfId="0" applyFill="1" applyBorder="1" applyAlignment="1" applyProtection="1">
      <alignment horizontal="left"/>
    </xf>
    <xf numFmtId="0" fontId="0" fillId="0" borderId="0" xfId="0" applyFill="1" applyBorder="1" applyAlignment="1" applyProtection="1">
      <alignment horizontal="left"/>
      <protection locked="0"/>
    </xf>
    <xf numFmtId="0" fontId="0" fillId="0" borderId="0" xfId="0" applyAlignment="1" applyProtection="1">
      <alignment horizontal="left"/>
      <protection locked="0"/>
    </xf>
    <xf numFmtId="165" fontId="0" fillId="0" borderId="0" xfId="0" applyNumberFormat="1" applyFill="1" applyBorder="1" applyAlignment="1" applyProtection="1">
      <alignment horizontal="center"/>
    </xf>
    <xf numFmtId="168" fontId="0" fillId="0" borderId="0" xfId="0" applyNumberFormat="1" applyAlignment="1" applyProtection="1">
      <alignment horizontal="center"/>
    </xf>
    <xf numFmtId="0" fontId="0" fillId="0" borderId="0" xfId="0" applyAlignment="1" applyProtection="1">
      <alignment horizontal="center"/>
    </xf>
    <xf numFmtId="165" fontId="15" fillId="0" borderId="0" xfId="0" applyNumberFormat="1" applyFont="1" applyProtection="1">
      <protection locked="0"/>
    </xf>
    <xf numFmtId="0" fontId="0" fillId="5" borderId="0" xfId="0" applyFill="1" applyBorder="1"/>
    <xf numFmtId="0" fontId="0" fillId="5" borderId="22" xfId="0" applyFill="1" applyBorder="1"/>
    <xf numFmtId="0" fontId="0" fillId="5" borderId="23" xfId="0" applyFill="1" applyBorder="1"/>
    <xf numFmtId="0" fontId="0" fillId="5" borderId="24" xfId="0" applyFill="1" applyBorder="1"/>
    <xf numFmtId="0" fontId="0" fillId="5" borderId="25" xfId="0" applyFill="1" applyBorder="1"/>
    <xf numFmtId="0" fontId="0" fillId="5" borderId="26" xfId="0" applyFill="1" applyBorder="1"/>
    <xf numFmtId="0" fontId="0" fillId="5" borderId="27" xfId="0" applyFill="1" applyBorder="1"/>
    <xf numFmtId="0" fontId="0" fillId="5" borderId="28" xfId="0" applyFill="1" applyBorder="1"/>
    <xf numFmtId="0" fontId="0" fillId="5" borderId="29" xfId="0" applyFill="1" applyBorder="1"/>
    <xf numFmtId="0" fontId="15" fillId="5" borderId="30" xfId="0" applyFont="1" applyFill="1" applyBorder="1" applyAlignment="1">
      <alignment horizontal="center"/>
    </xf>
    <xf numFmtId="0" fontId="21" fillId="5" borderId="25" xfId="0" applyFont="1" applyFill="1" applyBorder="1"/>
    <xf numFmtId="0" fontId="22" fillId="5" borderId="0" xfId="0" applyFont="1" applyFill="1" applyBorder="1"/>
    <xf numFmtId="14" fontId="0" fillId="5" borderId="0" xfId="0" applyNumberFormat="1" applyFill="1" applyBorder="1" applyAlignment="1">
      <alignment horizontal="center"/>
    </xf>
    <xf numFmtId="0" fontId="0" fillId="5" borderId="0" xfId="0" applyFill="1" applyBorder="1" applyAlignment="1">
      <alignment horizontal="right"/>
    </xf>
    <xf numFmtId="0" fontId="10" fillId="5" borderId="25" xfId="0" applyFont="1" applyFill="1" applyBorder="1"/>
    <xf numFmtId="0" fontId="9" fillId="5" borderId="0" xfId="0" applyFont="1" applyFill="1" applyBorder="1"/>
    <xf numFmtId="0" fontId="23" fillId="5" borderId="0" xfId="0" quotePrefix="1" applyFont="1" applyFill="1" applyBorder="1" applyAlignment="1">
      <alignment horizontal="center"/>
    </xf>
    <xf numFmtId="0" fontId="9" fillId="5" borderId="25" xfId="0" applyFont="1" applyFill="1" applyBorder="1"/>
    <xf numFmtId="14" fontId="9" fillId="5" borderId="0" xfId="0" applyNumberFormat="1" applyFont="1" applyFill="1" applyBorder="1" applyAlignment="1"/>
    <xf numFmtId="14" fontId="15" fillId="5" borderId="30" xfId="0" applyNumberFormat="1" applyFont="1" applyFill="1" applyBorder="1"/>
    <xf numFmtId="0" fontId="15" fillId="5" borderId="30" xfId="0" applyFont="1" applyFill="1" applyBorder="1"/>
    <xf numFmtId="0" fontId="21" fillId="6" borderId="27" xfId="0" applyFont="1" applyFill="1" applyBorder="1"/>
    <xf numFmtId="0" fontId="22" fillId="6" borderId="28" xfId="0" applyFont="1" applyFill="1" applyBorder="1"/>
    <xf numFmtId="0" fontId="22" fillId="6" borderId="29" xfId="0" applyFont="1" applyFill="1" applyBorder="1"/>
    <xf numFmtId="14" fontId="0" fillId="7" borderId="1" xfId="0" applyNumberFormat="1" applyFill="1" applyBorder="1" applyAlignment="1">
      <alignment horizontal="center"/>
    </xf>
    <xf numFmtId="14" fontId="9" fillId="5" borderId="0" xfId="0" applyNumberFormat="1" applyFont="1" applyFill="1" applyBorder="1" applyAlignment="1">
      <alignment horizontal="center"/>
    </xf>
    <xf numFmtId="0" fontId="0" fillId="5" borderId="30" xfId="0" applyFill="1" applyBorder="1"/>
    <xf numFmtId="0" fontId="0" fillId="5" borderId="31" xfId="0" applyFill="1" applyBorder="1"/>
    <xf numFmtId="0" fontId="0" fillId="6" borderId="28" xfId="0" applyFill="1" applyBorder="1"/>
    <xf numFmtId="0" fontId="0" fillId="6" borderId="29" xfId="0" applyFill="1" applyBorder="1"/>
    <xf numFmtId="0" fontId="0" fillId="5" borderId="32" xfId="0" applyFill="1" applyBorder="1"/>
    <xf numFmtId="0" fontId="0" fillId="0" borderId="0" xfId="0" applyFill="1" applyBorder="1"/>
    <xf numFmtId="0" fontId="15" fillId="5" borderId="30" xfId="0" applyNumberFormat="1" applyFont="1" applyFill="1" applyBorder="1" applyAlignment="1">
      <alignment horizontal="center"/>
    </xf>
    <xf numFmtId="0" fontId="15" fillId="5" borderId="31" xfId="0" applyNumberFormat="1" applyFont="1" applyFill="1" applyBorder="1" applyAlignment="1">
      <alignment horizontal="center"/>
    </xf>
    <xf numFmtId="0" fontId="6" fillId="5" borderId="0" xfId="0" applyFont="1" applyFill="1"/>
    <xf numFmtId="0" fontId="6" fillId="5" borderId="26" xfId="0" applyFont="1" applyFill="1" applyBorder="1"/>
    <xf numFmtId="0" fontId="25" fillId="5" borderId="0" xfId="0" applyFont="1" applyFill="1" applyBorder="1" applyAlignment="1">
      <alignment horizontal="left"/>
    </xf>
    <xf numFmtId="0" fontId="14" fillId="0" borderId="0" xfId="0" applyNumberFormat="1" applyFont="1" applyProtection="1">
      <protection hidden="1"/>
    </xf>
    <xf numFmtId="4" fontId="14" fillId="0" borderId="0" xfId="0" applyNumberFormat="1" applyFont="1" applyProtection="1">
      <protection hidden="1"/>
    </xf>
    <xf numFmtId="14" fontId="14" fillId="0" borderId="0" xfId="0" applyNumberFormat="1" applyFont="1" applyProtection="1">
      <protection hidden="1"/>
    </xf>
    <xf numFmtId="0" fontId="10" fillId="0" borderId="0" xfId="0" applyFont="1" applyProtection="1">
      <protection locked="0"/>
    </xf>
    <xf numFmtId="0" fontId="26" fillId="0" borderId="0" xfId="0" applyFont="1" applyFill="1" applyBorder="1" applyProtection="1">
      <protection locked="0"/>
    </xf>
    <xf numFmtId="0" fontId="12" fillId="4" borderId="34" xfId="0" applyFont="1" applyFill="1" applyBorder="1" applyAlignment="1" applyProtection="1">
      <alignment horizontal="center" wrapText="1"/>
    </xf>
    <xf numFmtId="0" fontId="12" fillId="4" borderId="17" xfId="0" applyFont="1" applyFill="1" applyBorder="1" applyAlignment="1" applyProtection="1">
      <alignment horizontal="center"/>
    </xf>
    <xf numFmtId="0" fontId="12" fillId="4" borderId="35" xfId="0" applyFont="1" applyFill="1" applyBorder="1" applyAlignment="1" applyProtection="1">
      <alignment horizontal="center"/>
    </xf>
    <xf numFmtId="0" fontId="10" fillId="5" borderId="0" xfId="0" applyFont="1" applyFill="1" applyProtection="1">
      <protection hidden="1"/>
    </xf>
    <xf numFmtId="0" fontId="0" fillId="8" borderId="36" xfId="0" applyFill="1" applyBorder="1" applyProtection="1">
      <protection locked="0"/>
    </xf>
    <xf numFmtId="0" fontId="0" fillId="8" borderId="37" xfId="0" applyFill="1" applyBorder="1" applyProtection="1">
      <protection locked="0"/>
    </xf>
    <xf numFmtId="0" fontId="0" fillId="9" borderId="36" xfId="0" applyFill="1" applyBorder="1" applyProtection="1">
      <protection locked="0"/>
    </xf>
    <xf numFmtId="0" fontId="10" fillId="9" borderId="38" xfId="0" applyFont="1" applyFill="1" applyBorder="1" applyProtection="1">
      <protection locked="0"/>
    </xf>
    <xf numFmtId="0" fontId="10" fillId="8" borderId="38" xfId="0" applyFont="1" applyFill="1" applyBorder="1" applyProtection="1">
      <protection locked="0"/>
    </xf>
    <xf numFmtId="0" fontId="10" fillId="7" borderId="38" xfId="0" applyFont="1" applyFill="1" applyBorder="1" applyProtection="1">
      <protection locked="0"/>
    </xf>
    <xf numFmtId="169" fontId="0" fillId="7" borderId="36" xfId="3" applyFont="1" applyFill="1" applyBorder="1" applyProtection="1">
      <protection locked="0"/>
    </xf>
    <xf numFmtId="169" fontId="0" fillId="7" borderId="37" xfId="3" applyFont="1" applyFill="1" applyBorder="1" applyProtection="1">
      <protection locked="0"/>
    </xf>
    <xf numFmtId="0" fontId="0" fillId="7" borderId="1" xfId="0" applyFill="1" applyBorder="1" applyProtection="1">
      <protection locked="0"/>
    </xf>
    <xf numFmtId="0" fontId="0" fillId="7" borderId="27" xfId="0" applyFill="1" applyBorder="1" applyProtection="1">
      <protection locked="0"/>
    </xf>
    <xf numFmtId="0" fontId="24" fillId="5" borderId="31" xfId="0" applyFont="1" applyFill="1" applyBorder="1" applyProtection="1">
      <protection locked="0"/>
    </xf>
    <xf numFmtId="0" fontId="15" fillId="5" borderId="32" xfId="0" applyFont="1" applyFill="1" applyBorder="1" applyAlignment="1" applyProtection="1">
      <alignment horizontal="center"/>
      <protection locked="0"/>
    </xf>
    <xf numFmtId="0" fontId="15" fillId="5" borderId="30" xfId="0" applyFont="1" applyFill="1" applyBorder="1" applyAlignment="1" applyProtection="1">
      <alignment horizontal="center"/>
      <protection locked="0"/>
    </xf>
    <xf numFmtId="0" fontId="6" fillId="5" borderId="26" xfId="0" applyFont="1" applyFill="1" applyBorder="1" applyProtection="1">
      <protection locked="0"/>
    </xf>
    <xf numFmtId="0" fontId="15" fillId="5" borderId="32" xfId="0" applyFont="1" applyFill="1" applyBorder="1" applyProtection="1">
      <protection locked="0"/>
    </xf>
    <xf numFmtId="0" fontId="10" fillId="4" borderId="0" xfId="0" applyFont="1" applyFill="1" applyProtection="1">
      <protection hidden="1"/>
    </xf>
    <xf numFmtId="0" fontId="27" fillId="2" borderId="2" xfId="0" applyFont="1" applyFill="1" applyBorder="1" applyAlignment="1" applyProtection="1">
      <alignment horizontal="center"/>
    </xf>
    <xf numFmtId="0" fontId="27" fillId="2" borderId="2" xfId="0" applyFont="1" applyFill="1" applyBorder="1" applyAlignment="1" applyProtection="1">
      <alignment horizontal="center" wrapText="1"/>
    </xf>
    <xf numFmtId="0" fontId="12" fillId="4" borderId="39" xfId="0" applyFont="1" applyFill="1" applyBorder="1" applyAlignment="1" applyProtection="1">
      <alignment wrapText="1"/>
    </xf>
    <xf numFmtId="0" fontId="12" fillId="4" borderId="0" xfId="0" applyFont="1" applyFill="1" applyBorder="1" applyAlignment="1" applyProtection="1">
      <alignment horizontal="center" wrapText="1"/>
    </xf>
    <xf numFmtId="0" fontId="12" fillId="4" borderId="33" xfId="0" applyFont="1" applyFill="1" applyBorder="1" applyAlignment="1" applyProtection="1">
      <alignment wrapText="1"/>
    </xf>
    <xf numFmtId="164" fontId="18" fillId="2" borderId="34" xfId="0" applyNumberFormat="1" applyFont="1" applyFill="1" applyBorder="1" applyProtection="1">
      <protection hidden="1"/>
    </xf>
    <xf numFmtId="4" fontId="0" fillId="2" borderId="39" xfId="0" applyNumberFormat="1" applyFill="1" applyBorder="1" applyProtection="1">
      <protection hidden="1"/>
    </xf>
    <xf numFmtId="0" fontId="0" fillId="4" borderId="39" xfId="0" applyFill="1" applyBorder="1" applyProtection="1">
      <protection hidden="1"/>
    </xf>
    <xf numFmtId="4" fontId="0" fillId="4" borderId="39" xfId="0" applyNumberFormat="1" applyFill="1" applyBorder="1" applyProtection="1">
      <protection hidden="1"/>
    </xf>
    <xf numFmtId="0" fontId="8" fillId="4" borderId="40" xfId="0" applyFont="1" applyFill="1" applyBorder="1" applyAlignment="1" applyProtection="1">
      <protection hidden="1"/>
    </xf>
    <xf numFmtId="0" fontId="18" fillId="2" borderId="34" xfId="0" applyFont="1" applyFill="1" applyBorder="1" applyAlignment="1" applyProtection="1">
      <protection hidden="1"/>
    </xf>
    <xf numFmtId="0" fontId="0" fillId="4" borderId="40" xfId="0" applyFill="1" applyBorder="1" applyProtection="1">
      <protection hidden="1"/>
    </xf>
    <xf numFmtId="0" fontId="8" fillId="4" borderId="39" xfId="0" applyFont="1" applyFill="1" applyBorder="1" applyAlignment="1" applyProtection="1">
      <protection hidden="1"/>
    </xf>
    <xf numFmtId="164" fontId="0" fillId="4" borderId="17" xfId="0" applyNumberFormat="1" applyFill="1" applyBorder="1" applyProtection="1">
      <protection hidden="1"/>
    </xf>
    <xf numFmtId="0" fontId="10" fillId="4" borderId="0" xfId="0" applyFont="1" applyFill="1" applyBorder="1" applyAlignment="1" applyProtection="1">
      <alignment horizontal="right"/>
      <protection hidden="1"/>
    </xf>
    <xf numFmtId="0" fontId="9" fillId="4" borderId="0" xfId="0" applyFont="1" applyFill="1" applyBorder="1" applyProtection="1">
      <protection hidden="1"/>
    </xf>
    <xf numFmtId="0" fontId="0" fillId="4" borderId="0" xfId="0" applyFill="1" applyBorder="1" applyProtection="1">
      <protection hidden="1"/>
    </xf>
    <xf numFmtId="0" fontId="9" fillId="4" borderId="16" xfId="0" applyFont="1" applyFill="1" applyBorder="1" applyProtection="1">
      <protection hidden="1"/>
    </xf>
    <xf numFmtId="0" fontId="0" fillId="4" borderId="17" xfId="0" applyFill="1" applyBorder="1" applyAlignment="1" applyProtection="1">
      <protection hidden="1"/>
    </xf>
    <xf numFmtId="0" fontId="0" fillId="4" borderId="0" xfId="0" applyFill="1" applyBorder="1" applyAlignment="1" applyProtection="1">
      <protection hidden="1"/>
    </xf>
    <xf numFmtId="14" fontId="0" fillId="4" borderId="16" xfId="0" applyNumberFormat="1" applyFill="1" applyBorder="1" applyProtection="1">
      <protection hidden="1"/>
    </xf>
    <xf numFmtId="4" fontId="0" fillId="4" borderId="0" xfId="0" applyNumberFormat="1" applyFill="1" applyBorder="1" applyProtection="1">
      <protection hidden="1"/>
    </xf>
    <xf numFmtId="0" fontId="0" fillId="4" borderId="0" xfId="0" applyFill="1" applyBorder="1" applyAlignment="1" applyProtection="1">
      <alignment horizontal="right"/>
      <protection hidden="1"/>
    </xf>
    <xf numFmtId="0" fontId="0" fillId="4" borderId="35" xfId="0" applyFill="1" applyBorder="1" applyAlignment="1" applyProtection="1">
      <protection hidden="1"/>
    </xf>
    <xf numFmtId="0" fontId="0" fillId="4" borderId="33" xfId="0" applyFill="1" applyBorder="1" applyAlignment="1" applyProtection="1">
      <protection hidden="1"/>
    </xf>
    <xf numFmtId="0" fontId="0" fillId="4" borderId="16" xfId="0" applyFill="1" applyBorder="1" applyProtection="1">
      <protection hidden="1"/>
    </xf>
    <xf numFmtId="0" fontId="13" fillId="4" borderId="7" xfId="0" applyFont="1" applyFill="1" applyBorder="1" applyAlignment="1" applyProtection="1">
      <protection hidden="1"/>
    </xf>
    <xf numFmtId="0" fontId="13" fillId="4" borderId="0" xfId="0" applyFont="1" applyFill="1" applyBorder="1" applyProtection="1">
      <protection hidden="1"/>
    </xf>
    <xf numFmtId="0" fontId="13" fillId="4" borderId="16" xfId="0" applyFont="1" applyFill="1" applyBorder="1" applyProtection="1">
      <protection hidden="1"/>
    </xf>
    <xf numFmtId="0" fontId="0" fillId="4" borderId="16" xfId="0" applyFill="1" applyBorder="1" applyAlignment="1" applyProtection="1">
      <protection hidden="1"/>
    </xf>
    <xf numFmtId="0" fontId="0" fillId="4" borderId="17" xfId="0" applyFill="1" applyBorder="1" applyProtection="1">
      <protection hidden="1"/>
    </xf>
    <xf numFmtId="0" fontId="10" fillId="4" borderId="17" xfId="0" applyFont="1" applyFill="1" applyBorder="1" applyAlignment="1" applyProtection="1">
      <protection hidden="1"/>
    </xf>
    <xf numFmtId="164" fontId="0" fillId="4" borderId="35" xfId="0" applyNumberFormat="1" applyFill="1" applyBorder="1" applyProtection="1">
      <protection hidden="1"/>
    </xf>
    <xf numFmtId="0" fontId="0" fillId="4" borderId="33" xfId="0" applyFill="1" applyBorder="1" applyProtection="1">
      <protection hidden="1"/>
    </xf>
    <xf numFmtId="0" fontId="9" fillId="4" borderId="41" xfId="0" applyFont="1" applyFill="1" applyBorder="1" applyProtection="1">
      <protection hidden="1"/>
    </xf>
    <xf numFmtId="4" fontId="0" fillId="3" borderId="42" xfId="0" applyNumberFormat="1" applyFill="1" applyBorder="1" applyProtection="1">
      <protection locked="0"/>
    </xf>
    <xf numFmtId="4" fontId="0" fillId="3" borderId="43" xfId="0" applyNumberFormat="1" applyFill="1" applyBorder="1" applyProtection="1">
      <protection locked="0"/>
    </xf>
    <xf numFmtId="171" fontId="18" fillId="2" borderId="2" xfId="1" applyFont="1" applyFill="1" applyBorder="1" applyAlignment="1" applyProtection="1">
      <alignment horizontal="right" wrapText="1"/>
    </xf>
    <xf numFmtId="171" fontId="18" fillId="2" borderId="44" xfId="1" applyFont="1" applyFill="1" applyBorder="1" applyAlignment="1" applyProtection="1">
      <alignment horizontal="right" wrapText="1"/>
    </xf>
    <xf numFmtId="171" fontId="18" fillId="2" borderId="45" xfId="1" applyFont="1" applyFill="1" applyBorder="1" applyAlignment="1" applyProtection="1">
      <alignment horizontal="right" wrapText="1"/>
    </xf>
    <xf numFmtId="171" fontId="0" fillId="4" borderId="7" xfId="1" applyFont="1" applyFill="1" applyBorder="1" applyAlignment="1" applyProtection="1"/>
    <xf numFmtId="171" fontId="0" fillId="4" borderId="46" xfId="1" applyFont="1" applyFill="1" applyBorder="1" applyAlignment="1" applyProtection="1"/>
    <xf numFmtId="171" fontId="0" fillId="4" borderId="47" xfId="1" applyFont="1" applyFill="1" applyBorder="1" applyAlignment="1" applyProtection="1"/>
    <xf numFmtId="171" fontId="0" fillId="4" borderId="48" xfId="1" applyFont="1" applyFill="1" applyBorder="1" applyAlignment="1" applyProtection="1"/>
    <xf numFmtId="171" fontId="0" fillId="4" borderId="8" xfId="1" applyFont="1" applyFill="1" applyBorder="1" applyAlignment="1" applyProtection="1"/>
    <xf numFmtId="171" fontId="0" fillId="4" borderId="49" xfId="1" applyFont="1" applyFill="1" applyBorder="1" applyAlignment="1" applyProtection="1"/>
    <xf numFmtId="171" fontId="0" fillId="4" borderId="9" xfId="1" applyFont="1" applyFill="1" applyBorder="1" applyAlignment="1" applyProtection="1"/>
    <xf numFmtId="171" fontId="0" fillId="4" borderId="50" xfId="1" applyFont="1" applyFill="1" applyBorder="1" applyAlignment="1" applyProtection="1"/>
    <xf numFmtId="171" fontId="0" fillId="4" borderId="51" xfId="1" applyFont="1" applyFill="1" applyBorder="1" applyAlignment="1" applyProtection="1"/>
    <xf numFmtId="171" fontId="0" fillId="4" borderId="52" xfId="1" applyFont="1" applyFill="1" applyBorder="1" applyAlignment="1" applyProtection="1"/>
    <xf numFmtId="170" fontId="18" fillId="2" borderId="2" xfId="2" applyFont="1" applyFill="1" applyBorder="1" applyAlignment="1" applyProtection="1">
      <alignment wrapText="1"/>
    </xf>
    <xf numFmtId="170" fontId="0" fillId="3" borderId="11" xfId="2" applyFont="1" applyFill="1" applyBorder="1" applyAlignment="1" applyProtection="1">
      <protection locked="0"/>
    </xf>
    <xf numFmtId="170" fontId="0" fillId="3" borderId="12" xfId="2" applyFont="1" applyFill="1" applyBorder="1" applyAlignment="1" applyProtection="1">
      <protection locked="0"/>
    </xf>
    <xf numFmtId="170" fontId="0" fillId="3" borderId="14" xfId="2" applyFont="1" applyFill="1" applyBorder="1" applyAlignment="1" applyProtection="1">
      <protection locked="0"/>
    </xf>
    <xf numFmtId="170" fontId="10" fillId="4" borderId="0" xfId="2" applyFont="1" applyFill="1" applyBorder="1" applyAlignment="1" applyProtection="1">
      <protection hidden="1"/>
    </xf>
    <xf numFmtId="170" fontId="9" fillId="5" borderId="0" xfId="2" applyFont="1" applyFill="1" applyBorder="1" applyAlignment="1"/>
    <xf numFmtId="170" fontId="0" fillId="4" borderId="16" xfId="2" applyFont="1" applyFill="1" applyBorder="1" applyAlignment="1" applyProtection="1">
      <protection hidden="1"/>
    </xf>
    <xf numFmtId="170" fontId="8" fillId="2" borderId="41" xfId="2" applyFont="1" applyFill="1" applyBorder="1" applyAlignment="1" applyProtection="1">
      <protection hidden="1"/>
    </xf>
    <xf numFmtId="170" fontId="8" fillId="2" borderId="33" xfId="2" applyFont="1" applyFill="1" applyBorder="1" applyAlignment="1" applyProtection="1">
      <alignment horizontal="center"/>
      <protection hidden="1"/>
    </xf>
    <xf numFmtId="170" fontId="10" fillId="3" borderId="53" xfId="2" applyFont="1" applyFill="1" applyBorder="1" applyAlignment="1" applyProtection="1">
      <protection locked="0"/>
    </xf>
    <xf numFmtId="14" fontId="9" fillId="3" borderId="53" xfId="0" applyNumberFormat="1" applyFont="1" applyFill="1" applyBorder="1" applyAlignment="1" applyProtection="1">
      <alignment horizontal="center"/>
      <protection locked="0"/>
    </xf>
    <xf numFmtId="4" fontId="0" fillId="3" borderId="54" xfId="0" applyNumberFormat="1" applyFill="1" applyBorder="1" applyProtection="1">
      <protection locked="0"/>
    </xf>
    <xf numFmtId="164" fontId="0" fillId="3" borderId="55" xfId="0" applyNumberFormat="1" applyFill="1" applyBorder="1" applyProtection="1">
      <protection locked="0"/>
    </xf>
    <xf numFmtId="0" fontId="0" fillId="3" borderId="54" xfId="0" applyFill="1" applyBorder="1" applyProtection="1">
      <protection locked="0"/>
    </xf>
    <xf numFmtId="4" fontId="0" fillId="3" borderId="55" xfId="0" applyNumberFormat="1" applyFill="1" applyBorder="1" applyProtection="1">
      <protection locked="0"/>
    </xf>
    <xf numFmtId="164" fontId="10" fillId="3" borderId="53" xfId="0" applyNumberFormat="1" applyFont="1" applyFill="1" applyBorder="1" applyProtection="1">
      <protection locked="0"/>
    </xf>
    <xf numFmtId="170" fontId="9" fillId="7" borderId="1" xfId="2" applyFont="1" applyFill="1" applyBorder="1" applyAlignment="1" applyProtection="1">
      <protection locked="0"/>
    </xf>
    <xf numFmtId="0" fontId="23" fillId="5" borderId="26" xfId="0" quotePrefix="1" applyFont="1" applyFill="1" applyBorder="1" applyAlignment="1" applyProtection="1">
      <alignment horizontal="center"/>
    </xf>
    <xf numFmtId="14" fontId="9" fillId="5" borderId="26" xfId="0" applyNumberFormat="1" applyFont="1" applyFill="1" applyBorder="1" applyAlignment="1" applyProtection="1"/>
    <xf numFmtId="170" fontId="9" fillId="5" borderId="26" xfId="2" applyFont="1" applyFill="1" applyBorder="1" applyAlignment="1" applyProtection="1"/>
    <xf numFmtId="4" fontId="10" fillId="4" borderId="33" xfId="0" applyNumberFormat="1" applyFont="1" applyFill="1" applyBorder="1" applyProtection="1">
      <protection hidden="1"/>
    </xf>
    <xf numFmtId="171" fontId="0" fillId="10" borderId="33" xfId="0" applyNumberFormat="1" applyFill="1" applyBorder="1" applyProtection="1">
      <protection hidden="1"/>
    </xf>
    <xf numFmtId="0" fontId="10" fillId="4" borderId="33" xfId="0" applyFont="1" applyFill="1" applyBorder="1" applyAlignment="1" applyProtection="1">
      <alignment horizontal="center"/>
      <protection hidden="1"/>
    </xf>
    <xf numFmtId="0" fontId="9" fillId="0" borderId="0" xfId="0" applyFont="1"/>
    <xf numFmtId="0" fontId="0" fillId="0" borderId="0" xfId="0" applyAlignment="1">
      <alignment horizontal="center"/>
    </xf>
    <xf numFmtId="164" fontId="18" fillId="12" borderId="34" xfId="0" applyNumberFormat="1" applyFont="1" applyFill="1" applyBorder="1" applyProtection="1">
      <protection hidden="1"/>
    </xf>
    <xf numFmtId="4" fontId="0" fillId="12" borderId="39" xfId="0" applyNumberFormat="1" applyFill="1" applyBorder="1" applyProtection="1">
      <protection hidden="1"/>
    </xf>
    <xf numFmtId="170" fontId="8" fillId="12" borderId="33" xfId="2" applyFont="1" applyFill="1" applyBorder="1" applyAlignment="1" applyProtection="1">
      <alignment horizontal="center"/>
      <protection hidden="1"/>
    </xf>
    <xf numFmtId="4" fontId="0" fillId="11" borderId="39" xfId="0" applyNumberFormat="1" applyFill="1" applyBorder="1" applyProtection="1">
      <protection hidden="1"/>
    </xf>
    <xf numFmtId="0" fontId="0" fillId="11" borderId="39" xfId="0" applyFill="1" applyBorder="1" applyProtection="1">
      <protection hidden="1"/>
    </xf>
    <xf numFmtId="0" fontId="8" fillId="11" borderId="40" xfId="0" applyFont="1" applyFill="1" applyBorder="1" applyAlignment="1" applyProtection="1">
      <protection hidden="1"/>
    </xf>
    <xf numFmtId="164" fontId="0" fillId="11" borderId="17" xfId="0" applyNumberFormat="1" applyFill="1" applyBorder="1" applyProtection="1">
      <protection hidden="1"/>
    </xf>
    <xf numFmtId="0" fontId="10" fillId="11" borderId="0" xfId="0" applyFont="1" applyFill="1" applyBorder="1" applyAlignment="1" applyProtection="1">
      <alignment horizontal="right"/>
      <protection hidden="1"/>
    </xf>
    <xf numFmtId="0" fontId="9" fillId="11" borderId="0" xfId="0" applyFont="1" applyFill="1" applyBorder="1" applyProtection="1">
      <protection hidden="1"/>
    </xf>
    <xf numFmtId="0" fontId="0" fillId="11" borderId="0" xfId="0" applyFill="1" applyBorder="1" applyProtection="1">
      <protection hidden="1"/>
    </xf>
    <xf numFmtId="0" fontId="9" fillId="11" borderId="16" xfId="0" applyFont="1" applyFill="1" applyBorder="1" applyProtection="1">
      <protection hidden="1"/>
    </xf>
    <xf numFmtId="4" fontId="0" fillId="11" borderId="0" xfId="0" applyNumberFormat="1" applyFill="1" applyBorder="1" applyProtection="1">
      <protection hidden="1"/>
    </xf>
    <xf numFmtId="0" fontId="0" fillId="11" borderId="0" xfId="0" applyFill="1" applyBorder="1" applyAlignment="1" applyProtection="1">
      <alignment horizontal="right"/>
      <protection hidden="1"/>
    </xf>
    <xf numFmtId="0" fontId="13" fillId="11" borderId="7" xfId="0" applyFont="1" applyFill="1" applyBorder="1" applyAlignment="1" applyProtection="1">
      <protection hidden="1"/>
    </xf>
    <xf numFmtId="0" fontId="13" fillId="11" borderId="0" xfId="0" applyFont="1" applyFill="1" applyBorder="1" applyProtection="1">
      <protection hidden="1"/>
    </xf>
    <xf numFmtId="0" fontId="13" fillId="11" borderId="16" xfId="0" applyFont="1" applyFill="1" applyBorder="1" applyProtection="1">
      <protection hidden="1"/>
    </xf>
    <xf numFmtId="0" fontId="0" fillId="11" borderId="0" xfId="0" applyFill="1" applyBorder="1" applyAlignment="1" applyProtection="1">
      <protection hidden="1"/>
    </xf>
    <xf numFmtId="0" fontId="0" fillId="11" borderId="16" xfId="0" applyFill="1" applyBorder="1" applyAlignment="1" applyProtection="1">
      <protection hidden="1"/>
    </xf>
    <xf numFmtId="0" fontId="10" fillId="11" borderId="17" xfId="0" applyFont="1" applyFill="1" applyBorder="1" applyAlignment="1" applyProtection="1">
      <protection hidden="1"/>
    </xf>
    <xf numFmtId="164" fontId="0" fillId="11" borderId="35" xfId="0" applyNumberFormat="1" applyFill="1" applyBorder="1" applyProtection="1">
      <protection hidden="1"/>
    </xf>
    <xf numFmtId="4" fontId="10" fillId="11" borderId="33" xfId="0" applyNumberFormat="1" applyFont="1" applyFill="1" applyBorder="1" applyProtection="1">
      <protection hidden="1"/>
    </xf>
    <xf numFmtId="0" fontId="10" fillId="11" borderId="33" xfId="0" applyFont="1" applyFill="1" applyBorder="1" applyAlignment="1" applyProtection="1">
      <alignment horizontal="center"/>
      <protection hidden="1"/>
    </xf>
    <xf numFmtId="0" fontId="0" fillId="11" borderId="33" xfId="0" applyFill="1" applyBorder="1" applyProtection="1">
      <protection hidden="1"/>
    </xf>
    <xf numFmtId="0" fontId="9" fillId="11" borderId="41" xfId="0" applyFont="1" applyFill="1" applyBorder="1" applyProtection="1">
      <protection hidden="1"/>
    </xf>
    <xf numFmtId="171" fontId="29" fillId="12" borderId="33" xfId="0" applyNumberFormat="1" applyFont="1" applyFill="1" applyBorder="1" applyProtection="1">
      <protection hidden="1"/>
    </xf>
    <xf numFmtId="170" fontId="10" fillId="0" borderId="53" xfId="2" applyFont="1" applyFill="1" applyBorder="1" applyAlignment="1" applyProtection="1">
      <protection locked="0"/>
    </xf>
    <xf numFmtId="0" fontId="10" fillId="0" borderId="53" xfId="0" applyNumberFormat="1" applyFont="1" applyFill="1" applyBorder="1" applyAlignment="1" applyProtection="1">
      <alignment horizontal="center"/>
      <protection locked="0"/>
    </xf>
    <xf numFmtId="164" fontId="10" fillId="0" borderId="53" xfId="0" applyNumberFormat="1" applyFont="1" applyFill="1" applyBorder="1" applyProtection="1">
      <protection locked="0"/>
    </xf>
    <xf numFmtId="14" fontId="9" fillId="0" borderId="53" xfId="0" applyNumberFormat="1" applyFont="1" applyFill="1" applyBorder="1" applyAlignment="1" applyProtection="1">
      <alignment horizontal="center"/>
      <protection locked="0"/>
    </xf>
    <xf numFmtId="0" fontId="0" fillId="11" borderId="40" xfId="0" applyFill="1" applyBorder="1" applyProtection="1">
      <protection hidden="1"/>
    </xf>
    <xf numFmtId="0" fontId="8" fillId="11" borderId="39" xfId="0" applyFont="1" applyFill="1" applyBorder="1" applyAlignment="1" applyProtection="1">
      <protection hidden="1"/>
    </xf>
    <xf numFmtId="0" fontId="0" fillId="11" borderId="17" xfId="0" applyFill="1" applyBorder="1" applyAlignment="1" applyProtection="1">
      <protection hidden="1"/>
    </xf>
    <xf numFmtId="14" fontId="0" fillId="11" borderId="16" xfId="0" applyNumberFormat="1" applyFill="1" applyBorder="1" applyProtection="1">
      <protection hidden="1"/>
    </xf>
    <xf numFmtId="0" fontId="0" fillId="11" borderId="35" xfId="0" applyFill="1" applyBorder="1" applyAlignment="1" applyProtection="1">
      <protection hidden="1"/>
    </xf>
    <xf numFmtId="0" fontId="0" fillId="11" borderId="33" xfId="0" applyFill="1" applyBorder="1" applyAlignment="1" applyProtection="1">
      <protection hidden="1"/>
    </xf>
    <xf numFmtId="0" fontId="0" fillId="11" borderId="16" xfId="0" applyFill="1" applyBorder="1" applyProtection="1">
      <protection hidden="1"/>
    </xf>
    <xf numFmtId="170" fontId="0" fillId="11" borderId="16" xfId="2" applyFont="1" applyFill="1" applyBorder="1" applyAlignment="1" applyProtection="1">
      <protection hidden="1"/>
    </xf>
    <xf numFmtId="0" fontId="0" fillId="11" borderId="17" xfId="0" applyFill="1" applyBorder="1" applyProtection="1">
      <protection hidden="1"/>
    </xf>
    <xf numFmtId="0" fontId="18" fillId="12" borderId="34" xfId="0" applyFont="1" applyFill="1" applyBorder="1" applyAlignment="1" applyProtection="1">
      <protection hidden="1"/>
    </xf>
    <xf numFmtId="170" fontId="8" fillId="12" borderId="41" xfId="2" applyFont="1" applyFill="1" applyBorder="1" applyAlignment="1" applyProtection="1">
      <protection hidden="1"/>
    </xf>
    <xf numFmtId="4" fontId="0" fillId="0" borderId="54" xfId="0" applyNumberFormat="1" applyFill="1" applyBorder="1" applyProtection="1">
      <protection locked="0"/>
    </xf>
    <xf numFmtId="164" fontId="0" fillId="0" borderId="55" xfId="0" applyNumberFormat="1" applyFill="1" applyBorder="1" applyProtection="1">
      <protection locked="0"/>
    </xf>
    <xf numFmtId="0" fontId="0" fillId="0" borderId="54" xfId="0" applyFill="1" applyBorder="1" applyProtection="1">
      <protection locked="0"/>
    </xf>
    <xf numFmtId="4" fontId="0" fillId="0" borderId="55" xfId="0" applyNumberFormat="1" applyFill="1" applyBorder="1" applyProtection="1">
      <protection locked="0"/>
    </xf>
    <xf numFmtId="0" fontId="31" fillId="0" borderId="0" xfId="4" applyFont="1"/>
    <xf numFmtId="0" fontId="32" fillId="0" borderId="71" xfId="4" applyFont="1" applyFill="1" applyBorder="1" applyAlignment="1">
      <alignment horizontal="left"/>
    </xf>
    <xf numFmtId="0" fontId="32" fillId="0" borderId="72" xfId="4" applyFont="1" applyFill="1" applyBorder="1" applyAlignment="1">
      <alignment horizontal="left"/>
    </xf>
    <xf numFmtId="0" fontId="31" fillId="0" borderId="73" xfId="4" applyFont="1" applyFill="1" applyBorder="1" applyAlignment="1">
      <alignment horizontal="left"/>
    </xf>
    <xf numFmtId="0" fontId="31" fillId="0" borderId="0" xfId="4" applyFont="1" applyAlignment="1">
      <alignment vertical="center"/>
    </xf>
    <xf numFmtId="0" fontId="33" fillId="0" borderId="74" xfId="4" applyFont="1" applyFill="1" applyBorder="1" applyAlignment="1">
      <alignment horizontal="left"/>
    </xf>
    <xf numFmtId="0" fontId="33" fillId="0" borderId="75" xfId="4" applyFont="1" applyFill="1" applyBorder="1" applyAlignment="1">
      <alignment horizontal="left"/>
    </xf>
    <xf numFmtId="0" fontId="31" fillId="0" borderId="75" xfId="4" applyFont="1" applyFill="1" applyBorder="1" applyAlignment="1">
      <alignment horizontal="left"/>
    </xf>
    <xf numFmtId="0" fontId="31" fillId="0" borderId="76" xfId="4" applyFont="1" applyFill="1" applyBorder="1"/>
    <xf numFmtId="0" fontId="33" fillId="0" borderId="74" xfId="4" applyFont="1" applyFill="1" applyBorder="1"/>
    <xf numFmtId="0" fontId="33" fillId="0" borderId="75" xfId="4" applyFont="1" applyFill="1" applyBorder="1"/>
    <xf numFmtId="0" fontId="34" fillId="3" borderId="76" xfId="4" applyFont="1" applyFill="1" applyBorder="1" applyAlignment="1">
      <alignment horizontal="center"/>
    </xf>
    <xf numFmtId="0" fontId="33" fillId="0" borderId="77" xfId="4" applyFont="1" applyFill="1" applyBorder="1" applyAlignment="1">
      <alignment horizontal="left"/>
    </xf>
    <xf numFmtId="0" fontId="33" fillId="0" borderId="78" xfId="4" applyFont="1" applyFill="1" applyBorder="1" applyAlignment="1">
      <alignment horizontal="left"/>
    </xf>
    <xf numFmtId="2" fontId="35" fillId="3" borderId="78" xfId="4" applyNumberFormat="1" applyFont="1" applyFill="1" applyBorder="1" applyAlignment="1">
      <alignment horizontal="centerContinuous"/>
    </xf>
    <xf numFmtId="3" fontId="36" fillId="3" borderId="78" xfId="4" applyNumberFormat="1" applyFont="1" applyFill="1" applyBorder="1" applyAlignment="1">
      <alignment horizontal="centerContinuous"/>
    </xf>
    <xf numFmtId="0" fontId="33" fillId="0" borderId="77" xfId="4" applyFont="1" applyFill="1" applyBorder="1"/>
    <xf numFmtId="0" fontId="33" fillId="0" borderId="78" xfId="4" applyFont="1" applyFill="1" applyBorder="1"/>
    <xf numFmtId="10" fontId="34" fillId="0" borderId="79" xfId="4" applyNumberFormat="1" applyFont="1" applyFill="1" applyBorder="1" applyAlignment="1">
      <alignment horizontal="center"/>
    </xf>
    <xf numFmtId="0" fontId="33" fillId="0" borderId="80" xfId="4" applyFont="1" applyFill="1" applyBorder="1" applyAlignment="1">
      <alignment horizontal="left"/>
    </xf>
    <xf numFmtId="0" fontId="33" fillId="0" borderId="0" xfId="4" applyFont="1" applyFill="1" applyBorder="1" applyAlignment="1">
      <alignment horizontal="left"/>
    </xf>
    <xf numFmtId="0" fontId="37" fillId="0" borderId="0" xfId="4" applyFont="1" applyFill="1" applyBorder="1" applyAlignment="1">
      <alignment horizontal="right"/>
    </xf>
    <xf numFmtId="0" fontId="38" fillId="3" borderId="81" xfId="4" applyFont="1" applyFill="1" applyBorder="1" applyAlignment="1">
      <alignment horizontal="center"/>
    </xf>
    <xf numFmtId="0" fontId="33" fillId="0" borderId="80" xfId="4" applyFont="1" applyFill="1" applyBorder="1"/>
    <xf numFmtId="0" fontId="33" fillId="0" borderId="0" xfId="4" applyFont="1" applyFill="1" applyBorder="1"/>
    <xf numFmtId="0" fontId="31" fillId="0" borderId="82" xfId="4" applyFont="1" applyFill="1" applyBorder="1"/>
    <xf numFmtId="0" fontId="31" fillId="0" borderId="83" xfId="4" applyFont="1" applyFill="1" applyBorder="1"/>
    <xf numFmtId="0" fontId="37" fillId="0" borderId="83" xfId="4" applyFont="1" applyFill="1" applyBorder="1" applyAlignment="1">
      <alignment horizontal="right"/>
    </xf>
    <xf numFmtId="0" fontId="38" fillId="3" borderId="84" xfId="4" applyFont="1" applyFill="1" applyBorder="1" applyAlignment="1">
      <alignment horizontal="center"/>
    </xf>
    <xf numFmtId="0" fontId="31" fillId="0" borderId="0" xfId="4" applyFont="1" applyFill="1" applyProtection="1"/>
    <xf numFmtId="0" fontId="31" fillId="0" borderId="0" xfId="4" applyFont="1" applyProtection="1"/>
    <xf numFmtId="0" fontId="38" fillId="0" borderId="85" xfId="4" applyFont="1" applyFill="1" applyBorder="1" applyAlignment="1">
      <alignment horizontal="center"/>
    </xf>
    <xf numFmtId="0" fontId="31" fillId="0" borderId="86" xfId="4" applyFont="1" applyFill="1" applyBorder="1" applyAlignment="1">
      <alignment horizontal="center"/>
    </xf>
    <xf numFmtId="172" fontId="31" fillId="0" borderId="87" xfId="4" applyNumberFormat="1" applyFont="1" applyFill="1" applyBorder="1" applyAlignment="1">
      <alignment horizontal="right"/>
    </xf>
    <xf numFmtId="172" fontId="31" fillId="0" borderId="88" xfId="4" applyNumberFormat="1" applyFont="1" applyFill="1" applyBorder="1" applyAlignment="1">
      <alignment horizontal="right"/>
    </xf>
    <xf numFmtId="2" fontId="31" fillId="0" borderId="0" xfId="4" applyNumberFormat="1" applyFont="1"/>
    <xf numFmtId="0" fontId="31" fillId="0" borderId="89" xfId="4" applyFont="1" applyFill="1" applyBorder="1" applyAlignment="1">
      <alignment horizontal="center"/>
    </xf>
    <xf numFmtId="172" fontId="31" fillId="0" borderId="90" xfId="4" applyNumberFormat="1" applyFont="1" applyFill="1" applyBorder="1" applyAlignment="1">
      <alignment horizontal="right"/>
    </xf>
    <xf numFmtId="0" fontId="31" fillId="0" borderId="0" xfId="4" applyFont="1" applyBorder="1"/>
    <xf numFmtId="0" fontId="31" fillId="0" borderId="0" xfId="4" applyFont="1" applyFill="1"/>
    <xf numFmtId="10" fontId="31" fillId="0" borderId="0" xfId="4" applyNumberFormat="1" applyFont="1"/>
    <xf numFmtId="0" fontId="31" fillId="0" borderId="87" xfId="4" applyFont="1" applyFill="1" applyBorder="1" applyAlignment="1">
      <alignment horizontal="center"/>
    </xf>
    <xf numFmtId="4" fontId="31" fillId="0" borderId="87" xfId="4" applyNumberFormat="1" applyFont="1" applyFill="1" applyBorder="1" applyAlignment="1">
      <alignment horizontal="right"/>
    </xf>
    <xf numFmtId="0" fontId="31" fillId="0" borderId="88" xfId="4" applyFont="1" applyFill="1" applyBorder="1" applyAlignment="1">
      <alignment horizontal="center"/>
    </xf>
    <xf numFmtId="4" fontId="31" fillId="0" borderId="88" xfId="4" applyNumberFormat="1" applyFont="1" applyFill="1" applyBorder="1" applyAlignment="1">
      <alignment horizontal="right"/>
    </xf>
    <xf numFmtId="0" fontId="31" fillId="0" borderId="90" xfId="4" applyFont="1" applyFill="1" applyBorder="1" applyAlignment="1">
      <alignment horizontal="center"/>
    </xf>
    <xf numFmtId="4" fontId="31" fillId="0" borderId="90" xfId="4" applyNumberFormat="1" applyFont="1" applyFill="1" applyBorder="1" applyAlignment="1">
      <alignment horizontal="right"/>
    </xf>
    <xf numFmtId="0" fontId="31" fillId="0" borderId="0" xfId="4" applyFont="1" applyFill="1" applyBorder="1"/>
    <xf numFmtId="0" fontId="31" fillId="0" borderId="91" xfId="4" applyFont="1" applyBorder="1" applyAlignment="1">
      <alignment horizontal="center"/>
    </xf>
    <xf numFmtId="173" fontId="31" fillId="0" borderId="91" xfId="4" applyNumberFormat="1" applyFont="1" applyBorder="1"/>
    <xf numFmtId="0" fontId="31" fillId="0" borderId="91" xfId="4" applyFont="1" applyBorder="1"/>
    <xf numFmtId="173" fontId="31" fillId="17" borderId="91" xfId="5" applyNumberFormat="1" applyFont="1" applyFill="1" applyBorder="1"/>
    <xf numFmtId="0" fontId="31" fillId="16" borderId="91" xfId="4" applyFont="1" applyFill="1" applyBorder="1"/>
    <xf numFmtId="0" fontId="31" fillId="0" borderId="92" xfId="4" applyFont="1" applyFill="1" applyBorder="1"/>
    <xf numFmtId="173" fontId="31" fillId="17" borderId="91" xfId="4" applyNumberFormat="1" applyFont="1" applyFill="1" applyBorder="1"/>
    <xf numFmtId="0" fontId="31" fillId="17" borderId="91" xfId="4" applyFont="1" applyFill="1" applyBorder="1" applyAlignment="1">
      <alignment horizontal="center"/>
    </xf>
    <xf numFmtId="0" fontId="31" fillId="19" borderId="92" xfId="4" applyFont="1" applyFill="1" applyBorder="1"/>
    <xf numFmtId="10" fontId="31" fillId="0" borderId="91" xfId="5" applyNumberFormat="1" applyFont="1" applyBorder="1"/>
    <xf numFmtId="10" fontId="31" fillId="0" borderId="0" xfId="5" applyNumberFormat="1" applyFont="1" applyBorder="1"/>
    <xf numFmtId="0" fontId="31" fillId="19" borderId="94" xfId="4" applyFont="1" applyFill="1" applyBorder="1" applyAlignment="1">
      <alignment horizontal="left" vertical="center"/>
    </xf>
    <xf numFmtId="8" fontId="5" fillId="17" borderId="91" xfId="6" applyNumberFormat="1" applyFill="1" applyBorder="1" applyAlignment="1">
      <alignment horizontal="center"/>
    </xf>
    <xf numFmtId="0" fontId="5" fillId="17" borderId="91" xfId="6" applyFill="1" applyBorder="1" applyAlignment="1">
      <alignment horizontal="center"/>
    </xf>
    <xf numFmtId="0" fontId="31" fillId="20" borderId="91" xfId="4" applyFont="1" applyFill="1" applyBorder="1"/>
    <xf numFmtId="0" fontId="31" fillId="20" borderId="93" xfId="4" applyFont="1" applyFill="1" applyBorder="1"/>
    <xf numFmtId="0" fontId="31" fillId="0" borderId="0" xfId="4" applyFont="1" applyAlignment="1">
      <alignment horizontal="center"/>
    </xf>
    <xf numFmtId="8" fontId="31" fillId="0" borderId="0" xfId="4" applyNumberFormat="1" applyFont="1" applyAlignment="1">
      <alignment horizontal="center"/>
    </xf>
    <xf numFmtId="44" fontId="31" fillId="17" borderId="91" xfId="4" applyNumberFormat="1" applyFont="1" applyFill="1" applyBorder="1" applyAlignment="1">
      <alignment horizontal="center"/>
    </xf>
    <xf numFmtId="0" fontId="30" fillId="0" borderId="0" xfId="4"/>
    <xf numFmtId="8" fontId="30" fillId="0" borderId="0" xfId="4" applyNumberFormat="1"/>
    <xf numFmtId="0" fontId="30" fillId="15" borderId="0" xfId="4" applyFill="1" applyAlignment="1">
      <alignment horizontal="left"/>
    </xf>
    <xf numFmtId="8" fontId="31" fillId="0" borderId="0" xfId="4" applyNumberFormat="1" applyFont="1"/>
    <xf numFmtId="0" fontId="9" fillId="13" borderId="91" xfId="7" applyFill="1" applyBorder="1"/>
    <xf numFmtId="8" fontId="31" fillId="0" borderId="91" xfId="4" applyNumberFormat="1" applyFont="1" applyBorder="1"/>
    <xf numFmtId="0" fontId="9" fillId="23" borderId="91" xfId="7" applyFill="1" applyBorder="1"/>
    <xf numFmtId="175" fontId="9" fillId="23" borderId="91" xfId="7" applyNumberFormat="1" applyFill="1" applyBorder="1"/>
    <xf numFmtId="176" fontId="9" fillId="23" borderId="91" xfId="8" applyFont="1" applyFill="1" applyBorder="1"/>
    <xf numFmtId="10" fontId="9" fillId="23" borderId="91" xfId="7" applyNumberFormat="1" applyFill="1" applyBorder="1"/>
    <xf numFmtId="173" fontId="9" fillId="23" borderId="91" xfId="8" applyNumberFormat="1" applyFont="1" applyFill="1" applyBorder="1"/>
    <xf numFmtId="0" fontId="31" fillId="14" borderId="91" xfId="4" applyFont="1" applyFill="1" applyBorder="1"/>
    <xf numFmtId="8" fontId="31" fillId="14" borderId="91" xfId="4" applyNumberFormat="1" applyFont="1" applyFill="1" applyBorder="1"/>
    <xf numFmtId="0" fontId="9" fillId="0" borderId="0" xfId="7"/>
    <xf numFmtId="173" fontId="9" fillId="23" borderId="91" xfId="8" applyNumberFormat="1" applyFont="1" applyFill="1" applyBorder="1" applyAlignment="1">
      <alignment horizontal="center"/>
    </xf>
    <xf numFmtId="0" fontId="5" fillId="13" borderId="91" xfId="6" applyFill="1" applyBorder="1"/>
    <xf numFmtId="0" fontId="5" fillId="23" borderId="91" xfId="6" applyFill="1" applyBorder="1"/>
    <xf numFmtId="175" fontId="5" fillId="23" borderId="91" xfId="6" applyNumberFormat="1" applyFill="1" applyBorder="1"/>
    <xf numFmtId="44" fontId="5" fillId="23" borderId="91" xfId="9" applyFont="1" applyFill="1" applyBorder="1"/>
    <xf numFmtId="10" fontId="5" fillId="23" borderId="91" xfId="6" applyNumberFormat="1" applyFill="1" applyBorder="1"/>
    <xf numFmtId="0" fontId="31" fillId="0" borderId="0" xfId="4" applyFont="1" applyAlignment="1">
      <alignment horizontal="right"/>
    </xf>
    <xf numFmtId="0" fontId="5" fillId="0" borderId="0" xfId="6" applyFill="1" applyBorder="1"/>
    <xf numFmtId="173" fontId="5" fillId="0" borderId="0" xfId="6" applyNumberFormat="1"/>
    <xf numFmtId="0" fontId="5" fillId="0" borderId="0" xfId="6"/>
    <xf numFmtId="0" fontId="5" fillId="0" borderId="0" xfId="6" applyFont="1" applyFill="1" applyBorder="1"/>
    <xf numFmtId="0" fontId="6" fillId="0" borderId="0" xfId="0" applyFont="1"/>
    <xf numFmtId="164" fontId="6" fillId="0" borderId="0" xfId="0" applyNumberFormat="1" applyFont="1" applyAlignment="1" applyProtection="1">
      <alignment horizontal="right"/>
      <protection locked="0"/>
    </xf>
    <xf numFmtId="0" fontId="2" fillId="0" borderId="0" xfId="6" applyFont="1" applyFill="1" applyBorder="1"/>
    <xf numFmtId="4" fontId="42" fillId="0" borderId="0" xfId="0" applyNumberFormat="1" applyFont="1" applyProtection="1">
      <protection locked="0"/>
    </xf>
    <xf numFmtId="173" fontId="42" fillId="0" borderId="0" xfId="0" applyNumberFormat="1" applyFont="1" applyProtection="1">
      <protection locked="0"/>
    </xf>
    <xf numFmtId="4" fontId="0" fillId="0" borderId="0" xfId="0" applyNumberFormat="1" applyFill="1" applyProtection="1">
      <protection locked="0"/>
    </xf>
    <xf numFmtId="0" fontId="31" fillId="0" borderId="100" xfId="4" applyFont="1" applyBorder="1"/>
    <xf numFmtId="0" fontId="0" fillId="0" borderId="0" xfId="0" applyBorder="1" applyProtection="1">
      <protection locked="0"/>
    </xf>
    <xf numFmtId="173" fontId="31" fillId="17" borderId="103" xfId="4" applyNumberFormat="1" applyFont="1" applyFill="1" applyBorder="1"/>
    <xf numFmtId="0" fontId="0" fillId="0" borderId="104" xfId="0" applyBorder="1" applyProtection="1">
      <protection locked="0"/>
    </xf>
    <xf numFmtId="0" fontId="31" fillId="0" borderId="92" xfId="4" applyFont="1" applyBorder="1"/>
    <xf numFmtId="4" fontId="0" fillId="0" borderId="0" xfId="0" applyNumberFormat="1" applyBorder="1" applyProtection="1">
      <protection locked="0"/>
    </xf>
    <xf numFmtId="4" fontId="0" fillId="0" borderId="104" xfId="0" applyNumberFormat="1" applyBorder="1" applyProtection="1">
      <protection locked="0"/>
    </xf>
    <xf numFmtId="0" fontId="31" fillId="16" borderId="99" xfId="4" applyFont="1" applyFill="1" applyBorder="1"/>
    <xf numFmtId="0" fontId="31" fillId="18" borderId="99" xfId="4" applyFont="1" applyFill="1" applyBorder="1"/>
    <xf numFmtId="0" fontId="31" fillId="0" borderId="101" xfId="4" applyFont="1" applyBorder="1"/>
    <xf numFmtId="0" fontId="31" fillId="17" borderId="100" xfId="4" applyFont="1" applyFill="1" applyBorder="1" applyAlignment="1">
      <alignment horizontal="center"/>
    </xf>
    <xf numFmtId="0" fontId="31" fillId="19" borderId="99" xfId="4" applyFont="1" applyFill="1" applyBorder="1"/>
    <xf numFmtId="0" fontId="11" fillId="0" borderId="0" xfId="0" applyFont="1" applyBorder="1" applyProtection="1">
      <protection locked="0"/>
    </xf>
    <xf numFmtId="0" fontId="11" fillId="0" borderId="101" xfId="0" applyFont="1" applyBorder="1" applyProtection="1">
      <protection locked="0"/>
    </xf>
    <xf numFmtId="0" fontId="9" fillId="0" borderId="0" xfId="0" applyFont="1" applyBorder="1" applyProtection="1">
      <protection locked="0"/>
    </xf>
    <xf numFmtId="0" fontId="0" fillId="0" borderId="101" xfId="0" applyBorder="1" applyProtection="1">
      <protection locked="0"/>
    </xf>
    <xf numFmtId="0" fontId="31" fillId="16" borderId="102" xfId="4" applyFont="1" applyFill="1" applyBorder="1"/>
    <xf numFmtId="0" fontId="31" fillId="0" borderId="103" xfId="4" applyFont="1" applyBorder="1" applyAlignment="1">
      <alignment horizontal="center"/>
    </xf>
    <xf numFmtId="0" fontId="31" fillId="0" borderId="104" xfId="4" applyFont="1" applyBorder="1"/>
    <xf numFmtId="0" fontId="9" fillId="0" borderId="104" xfId="0" applyFont="1" applyBorder="1" applyProtection="1">
      <protection locked="0"/>
    </xf>
    <xf numFmtId="0" fontId="0" fillId="0" borderId="105" xfId="0" applyBorder="1" applyProtection="1">
      <protection locked="0"/>
    </xf>
    <xf numFmtId="10" fontId="31" fillId="16" borderId="99" xfId="5" applyNumberFormat="1" applyFont="1" applyFill="1" applyBorder="1"/>
    <xf numFmtId="0" fontId="31" fillId="25" borderId="91" xfId="4" applyFont="1" applyFill="1" applyBorder="1"/>
    <xf numFmtId="0" fontId="31" fillId="25" borderId="99" xfId="4" applyFont="1" applyFill="1" applyBorder="1"/>
    <xf numFmtId="0" fontId="31" fillId="25" borderId="102" xfId="4" applyFont="1" applyFill="1" applyBorder="1"/>
    <xf numFmtId="0" fontId="31" fillId="17" borderId="100" xfId="4" applyFont="1" applyFill="1" applyBorder="1"/>
    <xf numFmtId="0" fontId="5" fillId="20" borderId="91" xfId="6" applyFill="1" applyBorder="1"/>
    <xf numFmtId="0" fontId="5" fillId="20" borderId="91" xfId="6" applyFont="1" applyFill="1" applyBorder="1"/>
    <xf numFmtId="0" fontId="31" fillId="21" borderId="91" xfId="4" applyFont="1" applyFill="1" applyBorder="1" applyAlignment="1">
      <alignment horizontal="center"/>
    </xf>
    <xf numFmtId="8" fontId="31" fillId="21" borderId="91" xfId="4" applyNumberFormat="1" applyFont="1" applyFill="1" applyBorder="1" applyAlignment="1">
      <alignment horizontal="center"/>
    </xf>
    <xf numFmtId="0" fontId="5" fillId="0" borderId="91" xfId="6" applyFill="1" applyBorder="1" applyAlignment="1">
      <alignment horizontal="center"/>
    </xf>
    <xf numFmtId="0" fontId="5" fillId="20" borderId="99" xfId="6" applyFill="1" applyBorder="1"/>
    <xf numFmtId="0" fontId="5" fillId="0" borderId="100" xfId="6" applyFill="1" applyBorder="1" applyAlignment="1">
      <alignment horizontal="center"/>
    </xf>
    <xf numFmtId="2" fontId="5" fillId="17" borderId="100" xfId="6" applyNumberFormat="1" applyFill="1" applyBorder="1" applyAlignment="1">
      <alignment horizontal="center"/>
    </xf>
    <xf numFmtId="0" fontId="31" fillId="0" borderId="86" xfId="4" applyFont="1" applyBorder="1"/>
    <xf numFmtId="2" fontId="5" fillId="0" borderId="100" xfId="6" applyNumberFormat="1" applyFill="1" applyBorder="1" applyAlignment="1">
      <alignment horizontal="center"/>
    </xf>
    <xf numFmtId="0" fontId="31" fillId="20" borderId="99" xfId="4" applyFont="1" applyFill="1" applyBorder="1"/>
    <xf numFmtId="174" fontId="31" fillId="17" borderId="100" xfId="4" applyNumberFormat="1" applyFont="1" applyFill="1" applyBorder="1" applyAlignment="1">
      <alignment horizontal="center"/>
    </xf>
    <xf numFmtId="174" fontId="31" fillId="0" borderId="101" xfId="4" applyNumberFormat="1" applyFont="1" applyBorder="1" applyAlignment="1">
      <alignment horizontal="center"/>
    </xf>
    <xf numFmtId="174" fontId="31" fillId="17" borderId="101" xfId="4" applyNumberFormat="1" applyFont="1" applyFill="1" applyBorder="1" applyAlignment="1">
      <alignment horizontal="center"/>
    </xf>
    <xf numFmtId="0" fontId="31" fillId="0" borderId="0" xfId="4" applyFont="1" applyBorder="1" applyAlignment="1">
      <alignment horizontal="center"/>
    </xf>
    <xf numFmtId="0" fontId="31" fillId="21" borderId="0" xfId="4" applyFont="1" applyFill="1" applyBorder="1" applyAlignment="1">
      <alignment horizontal="center"/>
    </xf>
    <xf numFmtId="0" fontId="31" fillId="20" borderId="0" xfId="4" applyFont="1" applyFill="1" applyBorder="1"/>
    <xf numFmtId="44" fontId="31" fillId="0" borderId="0" xfId="4" applyNumberFormat="1" applyFont="1" applyBorder="1" applyAlignment="1">
      <alignment horizontal="center"/>
    </xf>
    <xf numFmtId="0" fontId="31" fillId="20" borderId="86" xfId="4" applyFont="1" applyFill="1" applyBorder="1"/>
    <xf numFmtId="174" fontId="31" fillId="0" borderId="101" xfId="4" applyNumberFormat="1" applyFont="1" applyBorder="1"/>
    <xf numFmtId="44" fontId="31" fillId="21" borderId="0" xfId="4" applyNumberFormat="1" applyFont="1" applyFill="1" applyBorder="1" applyAlignment="1">
      <alignment horizontal="center"/>
    </xf>
    <xf numFmtId="8" fontId="31" fillId="21" borderId="0" xfId="4" applyNumberFormat="1" applyFont="1" applyFill="1" applyBorder="1" applyAlignment="1">
      <alignment horizontal="center"/>
    </xf>
    <xf numFmtId="0" fontId="31" fillId="20" borderId="112" xfId="4" applyFont="1" applyFill="1" applyBorder="1"/>
    <xf numFmtId="8" fontId="31" fillId="21" borderId="104" xfId="4" applyNumberFormat="1" applyFont="1" applyFill="1" applyBorder="1" applyAlignment="1">
      <alignment horizontal="center"/>
    </xf>
    <xf numFmtId="0" fontId="31" fillId="20" borderId="104" xfId="4" applyFont="1" applyFill="1" applyBorder="1"/>
    <xf numFmtId="0" fontId="5" fillId="13" borderId="91" xfId="6" applyFill="1" applyBorder="1" applyAlignment="1">
      <alignment horizontal="center"/>
    </xf>
    <xf numFmtId="0" fontId="9" fillId="13" borderId="91" xfId="7" applyFill="1" applyBorder="1" applyAlignment="1">
      <alignment horizontal="center"/>
    </xf>
    <xf numFmtId="0" fontId="10" fillId="4" borderId="33" xfId="0" applyFont="1" applyFill="1" applyBorder="1" applyAlignment="1" applyProtection="1">
      <alignment horizontal="right"/>
      <protection hidden="1"/>
    </xf>
    <xf numFmtId="0" fontId="10" fillId="11" borderId="33" xfId="0" applyFont="1" applyFill="1" applyBorder="1" applyAlignment="1" applyProtection="1">
      <alignment horizontal="right"/>
      <protection hidden="1"/>
    </xf>
    <xf numFmtId="0" fontId="12" fillId="4" borderId="16" xfId="0" applyFont="1" applyFill="1" applyBorder="1" applyAlignment="1" applyProtection="1">
      <alignment horizontal="right"/>
    </xf>
    <xf numFmtId="0" fontId="12" fillId="4" borderId="17" xfId="0" applyFont="1" applyFill="1" applyBorder="1" applyAlignment="1" applyProtection="1">
      <alignment horizontal="right"/>
    </xf>
    <xf numFmtId="0" fontId="12" fillId="4" borderId="0" xfId="0" applyFont="1" applyFill="1" applyBorder="1" applyAlignment="1" applyProtection="1">
      <alignment horizontal="center" wrapText="1"/>
    </xf>
    <xf numFmtId="0" fontId="39" fillId="0" borderId="0" xfId="4" applyFont="1" applyFill="1" applyBorder="1" applyAlignment="1">
      <alignment vertical="center"/>
    </xf>
    <xf numFmtId="0" fontId="31" fillId="0" borderId="0" xfId="4" applyFont="1" applyFill="1" applyBorder="1" applyAlignment="1">
      <alignment vertical="center"/>
    </xf>
    <xf numFmtId="173" fontId="31" fillId="0" borderId="0" xfId="4" applyNumberFormat="1" applyFont="1" applyFill="1" applyBorder="1"/>
    <xf numFmtId="8" fontId="31" fillId="0" borderId="0" xfId="4" applyNumberFormat="1" applyFont="1" applyFill="1" applyBorder="1"/>
    <xf numFmtId="0" fontId="41" fillId="0" borderId="0" xfId="4" applyFont="1" applyFill="1" applyBorder="1"/>
    <xf numFmtId="173" fontId="41" fillId="0" borderId="0" xfId="4" applyNumberFormat="1" applyFont="1" applyFill="1" applyBorder="1"/>
    <xf numFmtId="8" fontId="41" fillId="0" borderId="0" xfId="4" applyNumberFormat="1" applyFont="1" applyFill="1" applyBorder="1"/>
    <xf numFmtId="0" fontId="1" fillId="13" borderId="91" xfId="6" applyFont="1" applyFill="1" applyBorder="1"/>
    <xf numFmtId="0" fontId="31" fillId="24" borderId="91" xfId="4" applyFont="1" applyFill="1" applyBorder="1" applyAlignment="1"/>
    <xf numFmtId="0" fontId="31" fillId="24" borderId="99" xfId="4" applyFont="1" applyFill="1" applyBorder="1" applyAlignment="1"/>
    <xf numFmtId="173" fontId="31" fillId="0" borderId="91" xfId="4" applyNumberFormat="1" applyFont="1" applyBorder="1" applyAlignment="1">
      <alignment horizontal="center"/>
    </xf>
    <xf numFmtId="173" fontId="31" fillId="17" borderId="91" xfId="5" applyNumberFormat="1" applyFont="1" applyFill="1" applyBorder="1" applyAlignment="1">
      <alignment horizontal="center"/>
    </xf>
    <xf numFmtId="173" fontId="31" fillId="17" borderId="91" xfId="4" applyNumberFormat="1" applyFont="1" applyFill="1" applyBorder="1" applyAlignment="1">
      <alignment horizontal="center"/>
    </xf>
    <xf numFmtId="10" fontId="31" fillId="0" borderId="91" xfId="5" applyNumberFormat="1" applyFont="1" applyBorder="1" applyAlignment="1">
      <alignment horizontal="center"/>
    </xf>
    <xf numFmtId="173" fontId="31" fillId="17" borderId="103" xfId="4" applyNumberFormat="1" applyFont="1" applyFill="1" applyBorder="1" applyAlignment="1">
      <alignment horizontal="center"/>
    </xf>
    <xf numFmtId="0" fontId="44" fillId="16" borderId="99" xfId="4" applyFont="1" applyFill="1" applyBorder="1"/>
    <xf numFmtId="10" fontId="44" fillId="16" borderId="99" xfId="5" applyNumberFormat="1" applyFont="1" applyFill="1" applyBorder="1"/>
    <xf numFmtId="0" fontId="44" fillId="16" borderId="102" xfId="4" applyFont="1" applyFill="1" applyBorder="1"/>
    <xf numFmtId="0" fontId="31" fillId="0" borderId="0" xfId="0" applyFont="1" applyProtection="1">
      <protection locked="0"/>
    </xf>
    <xf numFmtId="170" fontId="33" fillId="0" borderId="91" xfId="2" applyFont="1" applyFill="1" applyBorder="1" applyAlignment="1" applyProtection="1">
      <alignment horizontal="center"/>
      <protection locked="0"/>
    </xf>
    <xf numFmtId="14" fontId="31" fillId="0" borderId="113" xfId="0" applyNumberFormat="1" applyFont="1" applyFill="1" applyBorder="1" applyAlignment="1" applyProtection="1">
      <alignment horizontal="center"/>
      <protection locked="0"/>
    </xf>
    <xf numFmtId="164" fontId="33" fillId="0" borderId="91" xfId="0" applyNumberFormat="1" applyFont="1" applyFill="1" applyBorder="1" applyAlignment="1" applyProtection="1">
      <alignment horizontal="center"/>
      <protection locked="0"/>
    </xf>
    <xf numFmtId="0" fontId="33" fillId="0" borderId="91" xfId="0" applyNumberFormat="1" applyFont="1" applyFill="1" applyBorder="1" applyAlignment="1" applyProtection="1">
      <alignment horizontal="center"/>
      <protection locked="0"/>
    </xf>
    <xf numFmtId="0" fontId="31" fillId="4" borderId="0" xfId="0" applyFont="1" applyFill="1" applyBorder="1" applyProtection="1">
      <protection hidden="1"/>
    </xf>
    <xf numFmtId="0" fontId="31" fillId="0" borderId="0" xfId="0" applyFont="1" applyBorder="1" applyProtection="1">
      <protection locked="0"/>
    </xf>
    <xf numFmtId="164" fontId="31" fillId="0" borderId="0" xfId="0" applyNumberFormat="1" applyFont="1" applyProtection="1">
      <protection locked="0"/>
    </xf>
    <xf numFmtId="4" fontId="31" fillId="0" borderId="0" xfId="0" applyNumberFormat="1" applyFont="1" applyProtection="1">
      <protection locked="0"/>
    </xf>
    <xf numFmtId="0" fontId="31" fillId="0" borderId="101" xfId="0" applyFont="1" applyBorder="1" applyProtection="1">
      <protection locked="0"/>
    </xf>
    <xf numFmtId="0" fontId="44" fillId="25" borderId="91" xfId="4" applyFont="1" applyFill="1" applyBorder="1"/>
    <xf numFmtId="0" fontId="44" fillId="25" borderId="103" xfId="4" applyFont="1" applyFill="1" applyBorder="1"/>
    <xf numFmtId="0" fontId="41" fillId="0" borderId="91" xfId="6" applyFont="1" applyFill="1" applyBorder="1" applyAlignment="1">
      <alignment horizontal="center"/>
    </xf>
    <xf numFmtId="8" fontId="41" fillId="17" borderId="91" xfId="6" applyNumberFormat="1" applyFont="1" applyFill="1" applyBorder="1" applyAlignment="1">
      <alignment horizontal="center"/>
    </xf>
    <xf numFmtId="0" fontId="41" fillId="17" borderId="91" xfId="6" applyFont="1" applyFill="1" applyBorder="1" applyAlignment="1">
      <alignment horizontal="center"/>
    </xf>
    <xf numFmtId="0" fontId="41" fillId="0" borderId="0" xfId="6" applyFont="1" applyFill="1" applyBorder="1"/>
    <xf numFmtId="8" fontId="31" fillId="0" borderId="0" xfId="0" applyNumberFormat="1" applyFont="1" applyProtection="1">
      <protection locked="0"/>
    </xf>
    <xf numFmtId="0" fontId="47" fillId="24" borderId="91" xfId="4" applyFont="1" applyFill="1" applyBorder="1" applyAlignment="1">
      <alignment horizontal="center"/>
    </xf>
    <xf numFmtId="0" fontId="44" fillId="25" borderId="99" xfId="4" applyFont="1" applyFill="1" applyBorder="1"/>
    <xf numFmtId="0" fontId="44" fillId="19" borderId="99" xfId="4" applyFont="1" applyFill="1" applyBorder="1"/>
    <xf numFmtId="0" fontId="44" fillId="18" borderId="99" xfId="4" applyFont="1" applyFill="1" applyBorder="1"/>
    <xf numFmtId="0" fontId="44" fillId="25" borderId="102" xfId="4" applyFont="1" applyFill="1" applyBorder="1"/>
    <xf numFmtId="0" fontId="44" fillId="0" borderId="92" xfId="4" applyFont="1" applyFill="1" applyBorder="1"/>
    <xf numFmtId="0" fontId="44" fillId="19" borderId="92" xfId="4" applyFont="1" applyFill="1" applyBorder="1"/>
    <xf numFmtId="0" fontId="44" fillId="0" borderId="0" xfId="4" applyFont="1" applyFill="1" applyBorder="1"/>
    <xf numFmtId="0" fontId="44" fillId="19" borderId="94" xfId="4" applyFont="1" applyFill="1" applyBorder="1" applyAlignment="1">
      <alignment horizontal="left" vertical="center"/>
    </xf>
    <xf numFmtId="170" fontId="45" fillId="26" borderId="91" xfId="2" applyFont="1" applyFill="1" applyBorder="1" applyAlignment="1" applyProtection="1">
      <alignment horizontal="center"/>
      <protection hidden="1"/>
    </xf>
    <xf numFmtId="0" fontId="31" fillId="27" borderId="0" xfId="0" applyFont="1" applyFill="1" applyBorder="1" applyProtection="1">
      <protection hidden="1"/>
    </xf>
    <xf numFmtId="0" fontId="31" fillId="27" borderId="0" xfId="0" applyFont="1" applyFill="1" applyBorder="1" applyAlignment="1" applyProtection="1">
      <protection hidden="1"/>
    </xf>
    <xf numFmtId="0" fontId="31" fillId="17" borderId="92" xfId="4" applyFont="1" applyFill="1" applyBorder="1" applyAlignment="1">
      <alignment horizontal="center"/>
    </xf>
    <xf numFmtId="0" fontId="31" fillId="17" borderId="114" xfId="4" applyFont="1" applyFill="1" applyBorder="1" applyAlignment="1">
      <alignment horizontal="center"/>
    </xf>
    <xf numFmtId="0" fontId="37" fillId="27" borderId="7" xfId="0" applyFont="1" applyFill="1" applyBorder="1" applyAlignment="1" applyProtection="1">
      <protection hidden="1"/>
    </xf>
    <xf numFmtId="0" fontId="44" fillId="27" borderId="0" xfId="0" applyFont="1" applyFill="1" applyBorder="1" applyProtection="1">
      <protection hidden="1"/>
    </xf>
    <xf numFmtId="0" fontId="31" fillId="27" borderId="0" xfId="0" applyFont="1" applyFill="1" applyBorder="1" applyProtection="1">
      <protection locked="0"/>
    </xf>
    <xf numFmtId="0" fontId="31" fillId="27" borderId="117" xfId="0" applyFont="1" applyFill="1" applyBorder="1" applyProtection="1">
      <protection hidden="1"/>
    </xf>
    <xf numFmtId="0" fontId="31" fillId="27" borderId="118" xfId="0" applyFont="1" applyFill="1" applyBorder="1" applyProtection="1">
      <protection hidden="1"/>
    </xf>
    <xf numFmtId="0" fontId="31" fillId="27" borderId="119" xfId="0" applyFont="1" applyFill="1" applyBorder="1" applyProtection="1">
      <protection hidden="1"/>
    </xf>
    <xf numFmtId="0" fontId="44" fillId="27" borderId="118" xfId="0" applyFont="1" applyFill="1" applyBorder="1" applyAlignment="1" applyProtection="1">
      <protection hidden="1"/>
    </xf>
    <xf numFmtId="0" fontId="44" fillId="27" borderId="120" xfId="0" applyFont="1" applyFill="1" applyBorder="1" applyAlignment="1" applyProtection="1">
      <protection hidden="1"/>
    </xf>
    <xf numFmtId="0" fontId="31" fillId="27" borderId="121" xfId="0" applyFont="1" applyFill="1" applyBorder="1" applyProtection="1">
      <protection hidden="1"/>
    </xf>
    <xf numFmtId="170" fontId="33" fillId="0" borderId="122" xfId="2" applyFont="1" applyFill="1" applyBorder="1" applyAlignment="1" applyProtection="1">
      <alignment horizontal="center"/>
      <protection locked="0"/>
    </xf>
    <xf numFmtId="164" fontId="33" fillId="0" borderId="122" xfId="0" applyNumberFormat="1" applyFont="1" applyFill="1" applyBorder="1" applyAlignment="1" applyProtection="1">
      <alignment horizontal="center"/>
      <protection locked="0"/>
    </xf>
    <xf numFmtId="0" fontId="33" fillId="0" borderId="122" xfId="0" applyNumberFormat="1" applyFont="1" applyFill="1" applyBorder="1" applyAlignment="1" applyProtection="1">
      <alignment horizontal="center"/>
      <protection locked="0"/>
    </xf>
    <xf numFmtId="170" fontId="45" fillId="26" borderId="122" xfId="2" applyFont="1" applyFill="1" applyBorder="1" applyAlignment="1" applyProtection="1">
      <alignment horizontal="center"/>
      <protection hidden="1"/>
    </xf>
    <xf numFmtId="14" fontId="31" fillId="27" borderId="119" xfId="0" applyNumberFormat="1" applyFont="1" applyFill="1" applyBorder="1" applyProtection="1">
      <protection hidden="1"/>
    </xf>
    <xf numFmtId="170" fontId="31" fillId="27" borderId="119" xfId="2" applyFont="1" applyFill="1" applyBorder="1" applyAlignment="1" applyProtection="1">
      <protection hidden="1"/>
    </xf>
    <xf numFmtId="0" fontId="44" fillId="27" borderId="123" xfId="0" applyFont="1" applyFill="1" applyBorder="1" applyAlignment="1" applyProtection="1">
      <alignment horizontal="left"/>
      <protection hidden="1"/>
    </xf>
    <xf numFmtId="4" fontId="44" fillId="27" borderId="124" xfId="0" applyNumberFormat="1" applyFont="1" applyFill="1" applyBorder="1" applyAlignment="1" applyProtection="1">
      <alignment horizontal="left"/>
      <protection hidden="1"/>
    </xf>
    <xf numFmtId="171" fontId="31" fillId="26" borderId="125" xfId="0" applyNumberFormat="1" applyFont="1" applyFill="1" applyBorder="1" applyAlignment="1" applyProtection="1">
      <alignment horizontal="center"/>
      <protection hidden="1"/>
    </xf>
    <xf numFmtId="0" fontId="31" fillId="27" borderId="121" xfId="0" applyFont="1" applyFill="1" applyBorder="1" applyProtection="1">
      <protection locked="0"/>
    </xf>
    <xf numFmtId="170" fontId="45" fillId="26" borderId="126" xfId="2" applyFont="1" applyFill="1" applyBorder="1" applyAlignment="1" applyProtection="1">
      <protection hidden="1"/>
    </xf>
    <xf numFmtId="0" fontId="45" fillId="27" borderId="0" xfId="0" applyFont="1" applyFill="1" applyBorder="1" applyAlignment="1" applyProtection="1">
      <protection hidden="1"/>
    </xf>
    <xf numFmtId="0" fontId="45" fillId="27" borderId="119" xfId="0" applyFont="1" applyFill="1" applyBorder="1" applyAlignment="1" applyProtection="1">
      <protection hidden="1"/>
    </xf>
    <xf numFmtId="0" fontId="51" fillId="26" borderId="115" xfId="0" applyFont="1" applyFill="1" applyBorder="1" applyAlignment="1" applyProtection="1">
      <protection hidden="1"/>
    </xf>
    <xf numFmtId="4" fontId="31" fillId="0" borderId="131" xfId="0" applyNumberFormat="1" applyFont="1" applyFill="1" applyBorder="1" applyProtection="1">
      <protection locked="0"/>
    </xf>
    <xf numFmtId="164" fontId="31" fillId="0" borderId="132" xfId="0" applyNumberFormat="1" applyFont="1" applyFill="1" applyBorder="1" applyProtection="1">
      <protection locked="0"/>
    </xf>
    <xf numFmtId="0" fontId="44" fillId="27" borderId="0" xfId="0" applyFont="1" applyFill="1" applyBorder="1" applyAlignment="1" applyProtection="1">
      <protection hidden="1"/>
    </xf>
    <xf numFmtId="0" fontId="50" fillId="26" borderId="116" xfId="0" applyFont="1" applyFill="1" applyBorder="1" applyAlignment="1" applyProtection="1">
      <protection hidden="1"/>
    </xf>
    <xf numFmtId="0" fontId="44" fillId="27" borderId="133" xfId="0" applyFont="1" applyFill="1" applyBorder="1" applyAlignment="1" applyProtection="1">
      <alignment horizontal="left"/>
      <protection hidden="1"/>
    </xf>
    <xf numFmtId="0" fontId="31" fillId="27" borderId="134" xfId="0" applyFont="1" applyFill="1" applyBorder="1" applyProtection="1">
      <protection hidden="1"/>
    </xf>
    <xf numFmtId="0" fontId="31" fillId="27" borderId="134" xfId="0" applyFont="1" applyFill="1" applyBorder="1" applyAlignment="1" applyProtection="1">
      <protection hidden="1"/>
    </xf>
    <xf numFmtId="0" fontId="45" fillId="27" borderId="134" xfId="0" applyFont="1" applyFill="1" applyBorder="1" applyAlignment="1" applyProtection="1">
      <protection hidden="1"/>
    </xf>
    <xf numFmtId="0" fontId="49" fillId="26" borderId="0" xfId="0" applyFont="1" applyFill="1" applyBorder="1" applyAlignment="1" applyProtection="1">
      <protection hidden="1"/>
    </xf>
    <xf numFmtId="0" fontId="51" fillId="26" borderId="118" xfId="0" applyFont="1" applyFill="1" applyBorder="1" applyAlignment="1" applyProtection="1">
      <protection hidden="1"/>
    </xf>
    <xf numFmtId="4" fontId="44" fillId="27" borderId="136" xfId="0" applyNumberFormat="1" applyFont="1" applyFill="1" applyBorder="1" applyAlignment="1" applyProtection="1">
      <alignment horizontal="left"/>
      <protection hidden="1"/>
    </xf>
    <xf numFmtId="171" fontId="46" fillId="26" borderId="137" xfId="0" applyNumberFormat="1" applyFont="1" applyFill="1" applyBorder="1" applyAlignment="1" applyProtection="1">
      <alignment horizontal="center"/>
      <protection hidden="1"/>
    </xf>
    <xf numFmtId="0" fontId="31" fillId="27" borderId="134" xfId="0" applyFont="1" applyFill="1" applyBorder="1" applyProtection="1">
      <protection locked="0"/>
    </xf>
    <xf numFmtId="170" fontId="45" fillId="26" borderId="119" xfId="2" applyFont="1" applyFill="1" applyBorder="1" applyAlignment="1" applyProtection="1">
      <protection hidden="1"/>
    </xf>
    <xf numFmtId="0" fontId="31" fillId="0" borderId="91" xfId="0" applyFont="1" applyFill="1" applyBorder="1" applyProtection="1">
      <protection locked="0"/>
    </xf>
    <xf numFmtId="0" fontId="51" fillId="26" borderId="0" xfId="0" applyFont="1" applyFill="1" applyBorder="1" applyAlignment="1" applyProtection="1">
      <protection hidden="1"/>
    </xf>
    <xf numFmtId="164" fontId="31" fillId="0" borderId="140" xfId="0" applyNumberFormat="1" applyFont="1" applyFill="1" applyBorder="1" applyProtection="1">
      <protection locked="0"/>
    </xf>
    <xf numFmtId="0" fontId="31" fillId="0" borderId="131" xfId="0" applyFont="1" applyFill="1" applyBorder="1" applyProtection="1">
      <protection locked="0"/>
    </xf>
    <xf numFmtId="4" fontId="31" fillId="0" borderId="140" xfId="0" applyNumberFormat="1" applyFont="1" applyFill="1" applyBorder="1" applyProtection="1">
      <protection locked="0"/>
    </xf>
    <xf numFmtId="173" fontId="31" fillId="0" borderId="38" xfId="0" applyNumberFormat="1" applyFont="1" applyFill="1" applyBorder="1" applyProtection="1">
      <protection locked="0"/>
    </xf>
    <xf numFmtId="0" fontId="52" fillId="20" borderId="99" xfId="6" applyFont="1" applyFill="1" applyBorder="1"/>
    <xf numFmtId="0" fontId="52" fillId="20" borderId="91" xfId="6" applyFont="1" applyFill="1" applyBorder="1"/>
    <xf numFmtId="0" fontId="44" fillId="20" borderId="99" xfId="4" applyFont="1" applyFill="1" applyBorder="1"/>
    <xf numFmtId="0" fontId="44" fillId="0" borderId="86" xfId="4" applyFont="1" applyBorder="1"/>
    <xf numFmtId="0" fontId="44" fillId="20" borderId="86" xfId="4" applyFont="1" applyFill="1" applyBorder="1"/>
    <xf numFmtId="0" fontId="44" fillId="20" borderId="91" xfId="4" applyFont="1" applyFill="1" applyBorder="1"/>
    <xf numFmtId="0" fontId="44" fillId="0" borderId="0" xfId="4" applyFont="1" applyBorder="1"/>
    <xf numFmtId="0" fontId="44" fillId="20" borderId="93" xfId="4" applyFont="1" applyFill="1" applyBorder="1"/>
    <xf numFmtId="4" fontId="44" fillId="0" borderId="0" xfId="0" applyNumberFormat="1" applyFont="1" applyBorder="1" applyProtection="1">
      <protection locked="0"/>
    </xf>
    <xf numFmtId="0" fontId="44" fillId="20" borderId="141" xfId="4" applyFont="1" applyFill="1" applyBorder="1"/>
    <xf numFmtId="0" fontId="44" fillId="20" borderId="143" xfId="4" applyFont="1" applyFill="1" applyBorder="1"/>
    <xf numFmtId="0" fontId="44" fillId="20" borderId="145" xfId="4" applyFont="1" applyFill="1" applyBorder="1"/>
    <xf numFmtId="0" fontId="44" fillId="20" borderId="146" xfId="4" applyFont="1" applyFill="1" applyBorder="1"/>
    <xf numFmtId="0" fontId="41" fillId="0" borderId="100" xfId="6" applyFont="1" applyFill="1" applyBorder="1" applyAlignment="1">
      <alignment horizontal="center"/>
    </xf>
    <xf numFmtId="2" fontId="41" fillId="17" borderId="100" xfId="6" applyNumberFormat="1" applyFont="1" applyFill="1" applyBorder="1" applyAlignment="1">
      <alignment horizontal="center"/>
    </xf>
    <xf numFmtId="2" fontId="41" fillId="0" borderId="100" xfId="6" applyNumberFormat="1" applyFont="1" applyFill="1" applyBorder="1" applyAlignment="1">
      <alignment horizontal="center"/>
    </xf>
    <xf numFmtId="174" fontId="31" fillId="17" borderId="150" xfId="4" applyNumberFormat="1" applyFont="1" applyFill="1" applyBorder="1" applyAlignment="1">
      <alignment horizontal="center"/>
    </xf>
    <xf numFmtId="0" fontId="44" fillId="20" borderId="151" xfId="4" applyFont="1" applyFill="1" applyBorder="1"/>
    <xf numFmtId="164" fontId="0" fillId="0" borderId="3" xfId="0" applyNumberFormat="1" applyFill="1" applyBorder="1" applyProtection="1">
      <protection locked="0"/>
    </xf>
    <xf numFmtId="4" fontId="31" fillId="0" borderId="0" xfId="0" applyNumberFormat="1" applyFont="1" applyBorder="1" applyProtection="1">
      <protection locked="0"/>
    </xf>
    <xf numFmtId="0" fontId="41" fillId="0" borderId="0" xfId="6" applyFont="1" applyBorder="1"/>
    <xf numFmtId="173" fontId="31" fillId="0" borderId="157" xfId="0" applyNumberFormat="1" applyFont="1" applyBorder="1" applyProtection="1">
      <protection locked="0"/>
    </xf>
    <xf numFmtId="173" fontId="41" fillId="0" borderId="157" xfId="6" applyNumberFormat="1" applyFont="1" applyBorder="1"/>
    <xf numFmtId="0" fontId="41" fillId="0" borderId="159" xfId="6" applyFont="1" applyBorder="1"/>
    <xf numFmtId="173" fontId="41" fillId="0" borderId="160" xfId="6" applyNumberFormat="1" applyFont="1" applyBorder="1"/>
    <xf numFmtId="0" fontId="31" fillId="0" borderId="162" xfId="4" applyFont="1" applyBorder="1"/>
    <xf numFmtId="0" fontId="31" fillId="0" borderId="164" xfId="4" applyFont="1" applyBorder="1"/>
    <xf numFmtId="0" fontId="41" fillId="0" borderId="161" xfId="6" applyFont="1" applyFill="1" applyBorder="1"/>
    <xf numFmtId="173" fontId="41" fillId="0" borderId="166" xfId="6" applyNumberFormat="1" applyFont="1" applyBorder="1"/>
    <xf numFmtId="0" fontId="31" fillId="0" borderId="168" xfId="4" applyFont="1" applyBorder="1"/>
    <xf numFmtId="0" fontId="31" fillId="0" borderId="169" xfId="4" applyFont="1" applyBorder="1"/>
    <xf numFmtId="0" fontId="41" fillId="0" borderId="171" xfId="6" applyFont="1" applyFill="1" applyBorder="1"/>
    <xf numFmtId="173" fontId="41" fillId="0" borderId="172" xfId="6" applyNumberFormat="1" applyFont="1" applyBorder="1"/>
    <xf numFmtId="0" fontId="53" fillId="13" borderId="91" xfId="6" applyFont="1" applyFill="1" applyBorder="1"/>
    <xf numFmtId="0" fontId="53" fillId="13" borderId="91" xfId="6" applyFont="1" applyFill="1" applyBorder="1" applyAlignment="1">
      <alignment horizontal="center"/>
    </xf>
    <xf numFmtId="0" fontId="54" fillId="13" borderId="91" xfId="7" applyFont="1" applyFill="1" applyBorder="1"/>
    <xf numFmtId="0" fontId="54" fillId="13" borderId="91" xfId="7" applyFont="1" applyFill="1" applyBorder="1" applyAlignment="1">
      <alignment horizontal="center"/>
    </xf>
    <xf numFmtId="44" fontId="31" fillId="0" borderId="0" xfId="0" applyNumberFormat="1" applyFont="1" applyProtection="1">
      <protection locked="0"/>
    </xf>
    <xf numFmtId="0" fontId="53" fillId="13" borderId="91" xfId="6" applyFont="1" applyFill="1" applyBorder="1" applyAlignment="1">
      <alignment horizontal="center"/>
    </xf>
    <xf numFmtId="44" fontId="31" fillId="28" borderId="0" xfId="0" applyNumberFormat="1" applyFont="1" applyFill="1" applyProtection="1">
      <protection locked="0"/>
    </xf>
    <xf numFmtId="0" fontId="31" fillId="28" borderId="0" xfId="4" applyFont="1" applyFill="1" applyBorder="1" applyAlignment="1">
      <alignment horizontal="center"/>
    </xf>
    <xf numFmtId="0" fontId="31" fillId="20" borderId="0" xfId="0" applyFont="1" applyFill="1" applyProtection="1">
      <protection locked="0"/>
    </xf>
    <xf numFmtId="164" fontId="31" fillId="20" borderId="0" xfId="0" applyNumberFormat="1" applyFont="1" applyFill="1" applyProtection="1">
      <protection locked="0"/>
    </xf>
    <xf numFmtId="164" fontId="31" fillId="20" borderId="0" xfId="0" applyNumberFormat="1" applyFont="1" applyFill="1" applyBorder="1" applyProtection="1">
      <protection locked="0"/>
    </xf>
    <xf numFmtId="0" fontId="31" fillId="28" borderId="0" xfId="0" applyFont="1" applyFill="1" applyAlignment="1" applyProtection="1">
      <alignment horizontal="center"/>
      <protection locked="0"/>
    </xf>
    <xf numFmtId="8" fontId="31" fillId="28" borderId="0" xfId="0" applyNumberFormat="1" applyFont="1" applyFill="1" applyAlignment="1" applyProtection="1">
      <alignment horizontal="center"/>
      <protection locked="0"/>
    </xf>
    <xf numFmtId="44" fontId="31" fillId="28" borderId="0" xfId="0" applyNumberFormat="1" applyFont="1" applyFill="1" applyAlignment="1" applyProtection="1">
      <alignment horizontal="center"/>
      <protection locked="0"/>
    </xf>
    <xf numFmtId="0" fontId="31" fillId="17" borderId="0" xfId="0" applyFont="1" applyFill="1" applyAlignment="1" applyProtection="1">
      <alignment horizontal="center"/>
      <protection locked="0"/>
    </xf>
    <xf numFmtId="8" fontId="31" fillId="17" borderId="0" xfId="0" applyNumberFormat="1" applyFont="1" applyFill="1" applyAlignment="1" applyProtection="1">
      <alignment horizontal="center"/>
      <protection locked="0"/>
    </xf>
    <xf numFmtId="8" fontId="31" fillId="17" borderId="91" xfId="4" applyNumberFormat="1" applyFont="1" applyFill="1" applyBorder="1" applyAlignment="1">
      <alignment horizontal="center"/>
    </xf>
    <xf numFmtId="0" fontId="31" fillId="17" borderId="144" xfId="4" applyFont="1" applyFill="1" applyBorder="1" applyAlignment="1">
      <alignment horizontal="center"/>
    </xf>
    <xf numFmtId="44" fontId="31" fillId="17" borderId="144" xfId="4" applyNumberFormat="1" applyFont="1" applyFill="1" applyBorder="1" applyAlignment="1">
      <alignment horizontal="center"/>
    </xf>
    <xf numFmtId="0" fontId="31" fillId="17" borderId="139" xfId="4" applyFont="1" applyFill="1" applyBorder="1" applyAlignment="1">
      <alignment horizontal="center"/>
    </xf>
    <xf numFmtId="0" fontId="31" fillId="17" borderId="142" xfId="4" applyFont="1" applyFill="1" applyBorder="1" applyAlignment="1">
      <alignment horizontal="center"/>
    </xf>
    <xf numFmtId="44" fontId="31" fillId="17" borderId="139" xfId="4" applyNumberFormat="1" applyFont="1" applyFill="1" applyBorder="1" applyAlignment="1">
      <alignment horizontal="center"/>
    </xf>
    <xf numFmtId="44" fontId="31" fillId="17" borderId="142" xfId="4" applyNumberFormat="1" applyFont="1" applyFill="1" applyBorder="1" applyAlignment="1">
      <alignment horizontal="center"/>
    </xf>
    <xf numFmtId="8" fontId="31" fillId="17" borderId="144" xfId="4" applyNumberFormat="1" applyFont="1" applyFill="1" applyBorder="1" applyAlignment="1">
      <alignment horizontal="center"/>
    </xf>
    <xf numFmtId="0" fontId="12" fillId="4" borderId="40" xfId="0" applyFont="1" applyFill="1" applyBorder="1" applyAlignment="1" applyProtection="1">
      <alignment horizontal="right" wrapText="1"/>
    </xf>
    <xf numFmtId="0" fontId="12" fillId="4" borderId="16" xfId="0" applyFont="1" applyFill="1" applyBorder="1" applyAlignment="1" applyProtection="1">
      <alignment horizontal="right"/>
    </xf>
    <xf numFmtId="0" fontId="12" fillId="4" borderId="41" xfId="0" applyFont="1" applyFill="1" applyBorder="1" applyAlignment="1" applyProtection="1">
      <alignment horizontal="right"/>
    </xf>
    <xf numFmtId="0" fontId="12" fillId="4" borderId="34" xfId="0" applyFont="1" applyFill="1" applyBorder="1" applyAlignment="1" applyProtection="1">
      <alignment horizontal="right" wrapText="1"/>
    </xf>
    <xf numFmtId="0" fontId="12" fillId="4" borderId="17" xfId="0" applyFont="1" applyFill="1" applyBorder="1" applyAlignment="1" applyProtection="1">
      <alignment horizontal="right"/>
    </xf>
    <xf numFmtId="0" fontId="12" fillId="4" borderId="35" xfId="0" applyFont="1" applyFill="1" applyBorder="1" applyAlignment="1" applyProtection="1">
      <alignment horizontal="right"/>
    </xf>
    <xf numFmtId="165" fontId="17" fillId="2" borderId="21" xfId="0" applyNumberFormat="1" applyFont="1" applyFill="1" applyBorder="1" applyAlignment="1" applyProtection="1">
      <alignment horizontal="center" wrapText="1"/>
    </xf>
    <xf numFmtId="165" fontId="17" fillId="2" borderId="45" xfId="0" applyNumberFormat="1" applyFont="1" applyFill="1" applyBorder="1" applyAlignment="1" applyProtection="1">
      <alignment horizontal="center" wrapText="1"/>
    </xf>
    <xf numFmtId="0" fontId="6" fillId="12" borderId="0" xfId="0" applyFont="1" applyFill="1" applyAlignment="1">
      <alignment horizontal="center"/>
    </xf>
    <xf numFmtId="0" fontId="9" fillId="12" borderId="0" xfId="0" applyFont="1" applyFill="1" applyAlignment="1">
      <alignment horizontal="center"/>
    </xf>
    <xf numFmtId="0" fontId="53" fillId="13" borderId="91" xfId="6" applyFont="1" applyFill="1" applyBorder="1" applyAlignment="1">
      <alignment horizontal="center"/>
    </xf>
    <xf numFmtId="0" fontId="47" fillId="20" borderId="141" xfId="4" applyFont="1" applyFill="1" applyBorder="1" applyAlignment="1">
      <alignment horizontal="center"/>
    </xf>
    <xf numFmtId="0" fontId="47" fillId="20" borderId="142" xfId="4" applyFont="1" applyFill="1" applyBorder="1" applyAlignment="1">
      <alignment horizontal="center"/>
    </xf>
    <xf numFmtId="0" fontId="47" fillId="26" borderId="152" xfId="4" applyFont="1" applyFill="1" applyBorder="1" applyAlignment="1">
      <alignment horizontal="center"/>
    </xf>
    <xf numFmtId="0" fontId="31" fillId="0" borderId="0" xfId="0" applyFont="1" applyAlignment="1" applyProtection="1">
      <alignment horizontal="center"/>
      <protection locked="0"/>
    </xf>
    <xf numFmtId="0" fontId="47" fillId="20" borderId="173" xfId="4" applyFont="1" applyFill="1" applyBorder="1" applyAlignment="1">
      <alignment horizontal="center"/>
    </xf>
    <xf numFmtId="0" fontId="47" fillId="20" borderId="174" xfId="4" applyFont="1" applyFill="1" applyBorder="1" applyAlignment="1">
      <alignment horizontal="center"/>
    </xf>
    <xf numFmtId="0" fontId="31" fillId="20" borderId="170" xfId="4" applyFont="1" applyFill="1" applyBorder="1" applyAlignment="1">
      <alignment horizontal="center" vertical="center"/>
    </xf>
    <xf numFmtId="0" fontId="31" fillId="20" borderId="156" xfId="4" applyFont="1" applyFill="1" applyBorder="1" applyAlignment="1">
      <alignment horizontal="center" vertical="center"/>
    </xf>
    <xf numFmtId="0" fontId="31" fillId="20" borderId="167" xfId="4" applyFont="1" applyFill="1" applyBorder="1" applyAlignment="1">
      <alignment horizontal="center" vertical="center"/>
    </xf>
    <xf numFmtId="0" fontId="31" fillId="20" borderId="158" xfId="4" applyFont="1" applyFill="1" applyBorder="1" applyAlignment="1">
      <alignment horizontal="center" vertical="center"/>
    </xf>
    <xf numFmtId="164" fontId="31" fillId="26" borderId="153" xfId="0" applyNumberFormat="1" applyFont="1" applyFill="1" applyBorder="1" applyAlignment="1" applyProtection="1">
      <alignment horizontal="center"/>
      <protection locked="0"/>
    </xf>
    <xf numFmtId="164" fontId="31" fillId="26" borderId="154" xfId="0" applyNumberFormat="1" applyFont="1" applyFill="1" applyBorder="1" applyAlignment="1" applyProtection="1">
      <alignment horizontal="center"/>
      <protection locked="0"/>
    </xf>
    <xf numFmtId="164" fontId="31" fillId="26" borderId="155" xfId="0" applyNumberFormat="1" applyFont="1" applyFill="1" applyBorder="1" applyAlignment="1" applyProtection="1">
      <alignment horizontal="center"/>
      <protection locked="0"/>
    </xf>
    <xf numFmtId="164" fontId="31" fillId="20" borderId="156" xfId="0" applyNumberFormat="1" applyFont="1" applyFill="1" applyBorder="1" applyAlignment="1" applyProtection="1">
      <alignment horizontal="center" vertical="center"/>
      <protection locked="0"/>
    </xf>
    <xf numFmtId="164" fontId="31" fillId="20" borderId="163" xfId="0" applyNumberFormat="1" applyFont="1" applyFill="1" applyBorder="1" applyAlignment="1" applyProtection="1">
      <alignment horizontal="center" vertical="center"/>
      <protection locked="0"/>
    </xf>
    <xf numFmtId="0" fontId="31" fillId="20" borderId="165" xfId="4" applyFont="1" applyFill="1" applyBorder="1" applyAlignment="1">
      <alignment horizontal="center" vertical="center"/>
    </xf>
    <xf numFmtId="0" fontId="54" fillId="13" borderId="91" xfId="7" applyFont="1" applyFill="1" applyBorder="1" applyAlignment="1">
      <alignment horizontal="center"/>
    </xf>
    <xf numFmtId="0" fontId="47" fillId="13" borderId="91" xfId="4" applyFont="1" applyFill="1" applyBorder="1" applyAlignment="1">
      <alignment horizontal="center"/>
    </xf>
    <xf numFmtId="0" fontId="55" fillId="13" borderId="91" xfId="4" applyFont="1" applyFill="1" applyBorder="1" applyAlignment="1">
      <alignment horizontal="center"/>
    </xf>
    <xf numFmtId="0" fontId="37" fillId="27" borderId="121" xfId="0" applyFont="1" applyFill="1" applyBorder="1" applyAlignment="1" applyProtection="1">
      <alignment horizontal="right"/>
      <protection hidden="1"/>
    </xf>
    <xf numFmtId="0" fontId="44" fillId="27" borderId="0" xfId="0" applyFont="1" applyFill="1" applyBorder="1" applyAlignment="1" applyProtection="1">
      <alignment horizontal="right" wrapText="1"/>
      <protection hidden="1"/>
    </xf>
    <xf numFmtId="0" fontId="47" fillId="19" borderId="99" xfId="4" applyFont="1" applyFill="1" applyBorder="1" applyAlignment="1">
      <alignment horizontal="center"/>
    </xf>
    <xf numFmtId="0" fontId="47" fillId="19" borderId="91" xfId="4" applyFont="1" applyFill="1" applyBorder="1" applyAlignment="1">
      <alignment horizontal="center"/>
    </xf>
    <xf numFmtId="0" fontId="47" fillId="19" borderId="100" xfId="4" applyFont="1" applyFill="1" applyBorder="1" applyAlignment="1">
      <alignment horizontal="center"/>
    </xf>
    <xf numFmtId="0" fontId="48" fillId="19" borderId="147" xfId="6" applyFont="1" applyFill="1" applyBorder="1" applyAlignment="1">
      <alignment horizontal="center"/>
    </xf>
    <xf numFmtId="0" fontId="48" fillId="19" borderId="148" xfId="6" applyFont="1" applyFill="1" applyBorder="1" applyAlignment="1">
      <alignment horizontal="center"/>
    </xf>
    <xf numFmtId="0" fontId="48" fillId="19" borderId="149" xfId="6" applyFont="1" applyFill="1" applyBorder="1" applyAlignment="1">
      <alignment horizontal="center"/>
    </xf>
    <xf numFmtId="0" fontId="31" fillId="15" borderId="97" xfId="0" applyFont="1" applyFill="1" applyBorder="1" applyAlignment="1" applyProtection="1">
      <alignment horizontal="center"/>
      <protection locked="0"/>
    </xf>
    <xf numFmtId="0" fontId="31" fillId="15" borderId="106" xfId="0" applyFont="1" applyFill="1" applyBorder="1" applyAlignment="1" applyProtection="1">
      <alignment horizontal="center"/>
      <protection locked="0"/>
    </xf>
    <xf numFmtId="0" fontId="47" fillId="24" borderId="107" xfId="4" applyFont="1" applyFill="1" applyBorder="1" applyAlignment="1">
      <alignment horizontal="center" vertical="center"/>
    </xf>
    <xf numFmtId="0" fontId="47" fillId="24" borderId="108" xfId="4" applyFont="1" applyFill="1" applyBorder="1" applyAlignment="1">
      <alignment horizontal="center" vertical="center"/>
    </xf>
    <xf numFmtId="0" fontId="44" fillId="27" borderId="118" xfId="0" applyFont="1" applyFill="1" applyBorder="1" applyAlignment="1" applyProtection="1">
      <alignment horizontal="right" wrapText="1"/>
      <protection hidden="1"/>
    </xf>
    <xf numFmtId="164" fontId="47" fillId="26" borderId="135" xfId="0" applyNumberFormat="1" applyFont="1" applyFill="1" applyBorder="1" applyAlignment="1" applyProtection="1">
      <alignment horizontal="center" vertical="center"/>
      <protection hidden="1"/>
    </xf>
    <xf numFmtId="164" fontId="47" fillId="26" borderId="127" xfId="0" applyNumberFormat="1" applyFont="1" applyFill="1" applyBorder="1" applyAlignment="1" applyProtection="1">
      <alignment horizontal="center" vertical="center"/>
      <protection hidden="1"/>
    </xf>
    <xf numFmtId="0" fontId="47" fillId="15" borderId="95" xfId="4" applyFont="1" applyFill="1" applyBorder="1" applyAlignment="1">
      <alignment horizontal="center"/>
    </xf>
    <xf numFmtId="0" fontId="47" fillId="15" borderId="96" xfId="4" applyFont="1" applyFill="1" applyBorder="1" applyAlignment="1">
      <alignment horizontal="center"/>
    </xf>
    <xf numFmtId="0" fontId="47" fillId="24" borderId="91" xfId="4" applyFont="1" applyFill="1" applyBorder="1" applyAlignment="1">
      <alignment horizontal="center"/>
    </xf>
    <xf numFmtId="0" fontId="47" fillId="24" borderId="92" xfId="4" applyFont="1" applyFill="1" applyBorder="1" applyAlignment="1">
      <alignment horizontal="center"/>
    </xf>
    <xf numFmtId="0" fontId="47" fillId="24" borderId="91" xfId="4" applyFont="1" applyFill="1" applyBorder="1" applyAlignment="1">
      <alignment horizontal="center" vertical="center"/>
    </xf>
    <xf numFmtId="0" fontId="47" fillId="24" borderId="92" xfId="4" applyFont="1" applyFill="1" applyBorder="1" applyAlignment="1">
      <alignment horizontal="center" vertical="center"/>
    </xf>
    <xf numFmtId="164" fontId="47" fillId="26" borderId="128" xfId="0" applyNumberFormat="1" applyFont="1" applyFill="1" applyBorder="1" applyAlignment="1" applyProtection="1">
      <alignment horizontal="center"/>
      <protection locked="0"/>
    </xf>
    <xf numFmtId="164" fontId="47" fillId="26" borderId="129" xfId="0" applyNumberFormat="1" applyFont="1" applyFill="1" applyBorder="1" applyAlignment="1" applyProtection="1">
      <alignment horizontal="center"/>
      <protection locked="0"/>
    </xf>
    <xf numFmtId="164" fontId="47" fillId="26" borderId="130" xfId="0" applyNumberFormat="1" applyFont="1" applyFill="1" applyBorder="1" applyAlignment="1" applyProtection="1">
      <alignment horizontal="center"/>
      <protection locked="0"/>
    </xf>
    <xf numFmtId="0" fontId="47" fillId="26" borderId="128" xfId="0" applyFont="1" applyFill="1" applyBorder="1" applyAlignment="1" applyProtection="1">
      <alignment horizontal="center"/>
      <protection locked="0"/>
    </xf>
    <xf numFmtId="0" fontId="47" fillId="26" borderId="129" xfId="0" applyFont="1" applyFill="1" applyBorder="1" applyAlignment="1" applyProtection="1">
      <alignment horizontal="center"/>
      <protection locked="0"/>
    </xf>
    <xf numFmtId="0" fontId="47" fillId="26" borderId="130" xfId="0" applyFont="1" applyFill="1" applyBorder="1" applyAlignment="1" applyProtection="1">
      <alignment horizontal="center"/>
      <protection locked="0"/>
    </xf>
    <xf numFmtId="0" fontId="37" fillId="27" borderId="0" xfId="0" applyFont="1" applyFill="1" applyBorder="1" applyAlignment="1" applyProtection="1">
      <alignment horizontal="right"/>
      <protection hidden="1"/>
    </xf>
    <xf numFmtId="164" fontId="48" fillId="26" borderId="138" xfId="0" applyNumberFormat="1" applyFont="1" applyFill="1" applyBorder="1" applyAlignment="1" applyProtection="1">
      <alignment horizontal="center"/>
      <protection hidden="1"/>
    </xf>
    <xf numFmtId="164" fontId="48" fillId="26" borderId="139" xfId="0" applyNumberFormat="1" applyFont="1" applyFill="1" applyBorder="1" applyAlignment="1" applyProtection="1">
      <alignment horizontal="center"/>
      <protection hidden="1"/>
    </xf>
    <xf numFmtId="0" fontId="6" fillId="26" borderId="0" xfId="0" applyFont="1" applyFill="1" applyAlignment="1">
      <alignment horizontal="center"/>
    </xf>
    <xf numFmtId="4" fontId="8" fillId="2" borderId="2" xfId="0" applyNumberFormat="1" applyFont="1" applyFill="1" applyBorder="1" applyAlignment="1" applyProtection="1">
      <alignment horizontal="center" wrapText="1"/>
    </xf>
    <xf numFmtId="164" fontId="8" fillId="2" borderId="21" xfId="0" applyNumberFormat="1" applyFont="1" applyFill="1" applyBorder="1" applyAlignment="1" applyProtection="1">
      <alignment horizontal="left"/>
    </xf>
    <xf numFmtId="164" fontId="8" fillId="2" borderId="2" xfId="0" applyNumberFormat="1" applyFont="1" applyFill="1" applyBorder="1" applyAlignment="1" applyProtection="1">
      <alignment horizontal="left"/>
    </xf>
    <xf numFmtId="164" fontId="8" fillId="2" borderId="45" xfId="0" applyNumberFormat="1" applyFont="1" applyFill="1" applyBorder="1" applyAlignment="1" applyProtection="1">
      <alignment horizontal="left"/>
    </xf>
    <xf numFmtId="0" fontId="8" fillId="2" borderId="21" xfId="0" applyFont="1" applyFill="1" applyBorder="1" applyAlignment="1" applyProtection="1">
      <alignment horizontal="left"/>
    </xf>
    <xf numFmtId="0" fontId="8" fillId="2" borderId="2" xfId="0" applyFont="1" applyFill="1" applyBorder="1" applyAlignment="1" applyProtection="1">
      <alignment horizontal="left"/>
    </xf>
    <xf numFmtId="0" fontId="8" fillId="2" borderId="45" xfId="0" applyFont="1" applyFill="1" applyBorder="1" applyAlignment="1" applyProtection="1">
      <alignment horizontal="left"/>
    </xf>
    <xf numFmtId="164" fontId="12" fillId="4" borderId="65" xfId="0" applyNumberFormat="1" applyFont="1" applyFill="1" applyBorder="1" applyAlignment="1" applyProtection="1">
      <alignment horizontal="center" wrapText="1"/>
    </xf>
    <xf numFmtId="164" fontId="12" fillId="4" borderId="66" xfId="0" applyNumberFormat="1" applyFont="1" applyFill="1" applyBorder="1" applyAlignment="1" applyProtection="1">
      <alignment horizontal="center" wrapText="1"/>
    </xf>
    <xf numFmtId="4" fontId="12" fillId="4" borderId="67" xfId="0" applyNumberFormat="1" applyFont="1" applyFill="1" applyBorder="1" applyAlignment="1" applyProtection="1">
      <alignment horizontal="center" wrapText="1"/>
    </xf>
    <xf numFmtId="4" fontId="12" fillId="4" borderId="68" xfId="0" applyNumberFormat="1" applyFont="1" applyFill="1" applyBorder="1" applyAlignment="1" applyProtection="1">
      <alignment horizontal="center" wrapText="1"/>
    </xf>
    <xf numFmtId="0" fontId="12" fillId="4" borderId="67" xfId="0" applyFont="1" applyFill="1" applyBorder="1" applyAlignment="1" applyProtection="1">
      <alignment horizontal="center" wrapText="1"/>
    </xf>
    <xf numFmtId="0" fontId="12" fillId="4" borderId="68" xfId="0" applyFont="1" applyFill="1" applyBorder="1" applyAlignment="1" applyProtection="1">
      <alignment horizontal="center" wrapText="1"/>
    </xf>
    <xf numFmtId="4" fontId="12" fillId="4" borderId="69" xfId="0" applyNumberFormat="1" applyFont="1" applyFill="1" applyBorder="1" applyAlignment="1" applyProtection="1">
      <alignment horizontal="center" wrapText="1"/>
    </xf>
    <xf numFmtId="4" fontId="12" fillId="4" borderId="70" xfId="0" applyNumberFormat="1" applyFont="1" applyFill="1" applyBorder="1" applyAlignment="1" applyProtection="1">
      <alignment horizontal="center" wrapText="1"/>
    </xf>
    <xf numFmtId="0" fontId="12" fillId="4" borderId="39" xfId="0" applyFont="1" applyFill="1" applyBorder="1" applyAlignment="1" applyProtection="1">
      <alignment horizontal="center" wrapText="1"/>
    </xf>
    <xf numFmtId="0" fontId="12" fillId="4" borderId="0" xfId="0" applyFont="1" applyFill="1" applyBorder="1" applyAlignment="1" applyProtection="1">
      <alignment horizontal="center" wrapText="1"/>
    </xf>
    <xf numFmtId="0" fontId="12" fillId="4" borderId="33" xfId="0" applyFont="1" applyFill="1" applyBorder="1" applyAlignment="1" applyProtection="1">
      <alignment horizontal="center" wrapText="1"/>
    </xf>
    <xf numFmtId="0" fontId="12" fillId="4" borderId="39" xfId="0" applyFont="1" applyFill="1" applyBorder="1" applyAlignment="1" applyProtection="1">
      <alignment horizontal="right" wrapText="1"/>
    </xf>
    <xf numFmtId="0" fontId="12" fillId="4" borderId="0" xfId="0" applyFont="1" applyFill="1" applyBorder="1" applyAlignment="1" applyProtection="1">
      <alignment horizontal="right"/>
    </xf>
    <xf numFmtId="0" fontId="12" fillId="4" borderId="33" xfId="0" applyFont="1" applyFill="1" applyBorder="1" applyAlignment="1" applyProtection="1">
      <alignment horizontal="right"/>
    </xf>
    <xf numFmtId="0" fontId="12" fillId="4" borderId="56" xfId="0" applyFont="1" applyFill="1" applyBorder="1" applyAlignment="1" applyProtection="1">
      <alignment horizontal="right" wrapText="1"/>
    </xf>
    <xf numFmtId="0" fontId="12" fillId="4" borderId="57" xfId="0" applyFont="1" applyFill="1" applyBorder="1" applyAlignment="1" applyProtection="1">
      <alignment horizontal="right" wrapText="1"/>
    </xf>
    <xf numFmtId="0" fontId="12" fillId="4" borderId="58" xfId="0" applyFont="1" applyFill="1" applyBorder="1" applyAlignment="1" applyProtection="1">
      <alignment horizontal="right" wrapText="1"/>
    </xf>
    <xf numFmtId="0" fontId="12" fillId="4" borderId="59" xfId="0" applyFont="1" applyFill="1" applyBorder="1" applyAlignment="1" applyProtection="1">
      <alignment horizontal="right" wrapText="1"/>
    </xf>
    <xf numFmtId="0" fontId="12" fillId="4" borderId="60" xfId="0" applyFont="1" applyFill="1" applyBorder="1" applyAlignment="1" applyProtection="1">
      <alignment horizontal="right" wrapText="1"/>
    </xf>
    <xf numFmtId="0" fontId="12" fillId="4" borderId="61" xfId="0" applyFont="1" applyFill="1" applyBorder="1" applyAlignment="1" applyProtection="1">
      <alignment horizontal="right" wrapText="1"/>
    </xf>
    <xf numFmtId="0" fontId="12" fillId="4" borderId="62" xfId="0" applyFont="1" applyFill="1" applyBorder="1" applyAlignment="1" applyProtection="1">
      <alignment horizontal="right" wrapText="1"/>
    </xf>
    <xf numFmtId="0" fontId="12" fillId="4" borderId="63" xfId="0" applyFont="1" applyFill="1" applyBorder="1" applyAlignment="1" applyProtection="1">
      <alignment horizontal="right" wrapText="1"/>
    </xf>
    <xf numFmtId="0" fontId="12" fillId="4" borderId="64" xfId="0" applyFont="1" applyFill="1" applyBorder="1" applyAlignment="1" applyProtection="1">
      <alignment horizontal="right" wrapText="1"/>
    </xf>
    <xf numFmtId="0" fontId="12" fillId="4" borderId="0" xfId="0" applyFont="1" applyFill="1" applyBorder="1" applyAlignment="1" applyProtection="1">
      <alignment horizontal="right" wrapText="1"/>
    </xf>
    <xf numFmtId="0" fontId="12" fillId="4" borderId="33" xfId="0" applyFont="1" applyFill="1" applyBorder="1" applyAlignment="1" applyProtection="1">
      <alignment horizontal="right" wrapText="1"/>
    </xf>
    <xf numFmtId="0" fontId="30" fillId="0" borderId="0" xfId="4" applyAlignment="1">
      <alignment horizontal="center"/>
    </xf>
    <xf numFmtId="0" fontId="5" fillId="13" borderId="91" xfId="6" applyFill="1" applyBorder="1" applyAlignment="1">
      <alignment horizontal="center"/>
    </xf>
    <xf numFmtId="0" fontId="40" fillId="22" borderId="91" xfId="4" applyFont="1" applyFill="1" applyBorder="1" applyAlignment="1">
      <alignment horizontal="center" vertical="center"/>
    </xf>
    <xf numFmtId="0" fontId="31" fillId="22" borderId="91" xfId="4" applyFont="1" applyFill="1" applyBorder="1" applyAlignment="1">
      <alignment horizontal="center" vertical="center"/>
    </xf>
    <xf numFmtId="0" fontId="9" fillId="13" borderId="91" xfId="7" applyFill="1" applyBorder="1" applyAlignment="1">
      <alignment horizontal="center"/>
    </xf>
    <xf numFmtId="0" fontId="31" fillId="13" borderId="91" xfId="4" applyFont="1" applyFill="1" applyBorder="1" applyAlignment="1">
      <alignment horizontal="center"/>
    </xf>
    <xf numFmtId="0" fontId="30" fillId="13" borderId="91" xfId="4" applyFill="1" applyBorder="1" applyAlignment="1">
      <alignment horizontal="center"/>
    </xf>
    <xf numFmtId="0" fontId="10" fillId="11" borderId="35" xfId="0" applyFont="1" applyFill="1" applyBorder="1" applyAlignment="1" applyProtection="1">
      <alignment horizontal="right"/>
      <protection hidden="1"/>
    </xf>
    <xf numFmtId="0" fontId="10" fillId="11" borderId="33" xfId="0" applyFont="1" applyFill="1" applyBorder="1" applyAlignment="1" applyProtection="1">
      <alignment horizontal="right"/>
      <protection hidden="1"/>
    </xf>
    <xf numFmtId="0" fontId="9" fillId="12" borderId="39" xfId="0" applyFont="1" applyFill="1" applyBorder="1" applyAlignment="1" applyProtection="1">
      <alignment horizontal="center"/>
      <protection locked="0"/>
    </xf>
    <xf numFmtId="0" fontId="31" fillId="15" borderId="95" xfId="4" applyFont="1" applyFill="1" applyBorder="1" applyAlignment="1">
      <alignment horizontal="center"/>
    </xf>
    <xf numFmtId="0" fontId="31" fillId="15" borderId="96" xfId="4" applyFont="1" applyFill="1" applyBorder="1" applyAlignment="1">
      <alignment horizontal="center"/>
    </xf>
    <xf numFmtId="0" fontId="6" fillId="15" borderId="97" xfId="0" applyFont="1" applyFill="1" applyBorder="1" applyAlignment="1" applyProtection="1">
      <alignment horizontal="center"/>
      <protection locked="0"/>
    </xf>
    <xf numFmtId="0" fontId="6" fillId="15" borderId="106" xfId="0" applyFont="1" applyFill="1" applyBorder="1" applyAlignment="1" applyProtection="1">
      <alignment horizontal="center"/>
      <protection locked="0"/>
    </xf>
    <xf numFmtId="0" fontId="31" fillId="24" borderId="107" xfId="4" applyFont="1" applyFill="1" applyBorder="1" applyAlignment="1">
      <alignment horizontal="center" vertical="center"/>
    </xf>
    <xf numFmtId="0" fontId="31" fillId="24" borderId="108" xfId="4" applyFont="1" applyFill="1" applyBorder="1" applyAlignment="1">
      <alignment horizontal="center" vertical="center"/>
    </xf>
    <xf numFmtId="0" fontId="31" fillId="24" borderId="109" xfId="4" applyFont="1" applyFill="1" applyBorder="1" applyAlignment="1">
      <alignment horizontal="center" vertical="center"/>
    </xf>
    <xf numFmtId="164" fontId="9" fillId="12" borderId="33" xfId="0" applyNumberFormat="1" applyFont="1" applyFill="1" applyBorder="1" applyAlignment="1" applyProtection="1">
      <alignment horizontal="center"/>
      <protection locked="0"/>
    </xf>
    <xf numFmtId="0" fontId="31" fillId="24" borderId="99" xfId="4" applyFont="1" applyFill="1" applyBorder="1" applyAlignment="1">
      <alignment horizontal="center"/>
    </xf>
    <xf numFmtId="0" fontId="31" fillId="24" borderId="91" xfId="4" applyFont="1" applyFill="1" applyBorder="1" applyAlignment="1"/>
    <xf numFmtId="0" fontId="30" fillId="24" borderId="91" xfId="4" applyFill="1" applyBorder="1" applyAlignment="1"/>
    <xf numFmtId="0" fontId="31" fillId="24" borderId="91" xfId="4" applyFont="1" applyFill="1" applyBorder="1" applyAlignment="1">
      <alignment horizontal="center"/>
    </xf>
    <xf numFmtId="0" fontId="31" fillId="24" borderId="100" xfId="4" applyFont="1" applyFill="1" applyBorder="1" applyAlignment="1">
      <alignment horizontal="center"/>
    </xf>
    <xf numFmtId="0" fontId="9" fillId="11" borderId="17" xfId="0" applyFont="1" applyFill="1" applyBorder="1" applyAlignment="1" applyProtection="1">
      <alignment horizontal="right" wrapText="1"/>
      <protection hidden="1"/>
    </xf>
    <xf numFmtId="0" fontId="9" fillId="11" borderId="0" xfId="0" applyFont="1" applyFill="1" applyBorder="1" applyAlignment="1" applyProtection="1">
      <alignment horizontal="right" wrapText="1"/>
      <protection hidden="1"/>
    </xf>
    <xf numFmtId="0" fontId="31" fillId="24" borderId="91" xfId="4" applyFont="1" applyFill="1" applyBorder="1" applyAlignment="1">
      <alignment horizontal="center" vertical="center"/>
    </xf>
    <xf numFmtId="0" fontId="31" fillId="24" borderId="100" xfId="4" applyFont="1" applyFill="1" applyBorder="1" applyAlignment="1">
      <alignment horizontal="center" vertical="center"/>
    </xf>
    <xf numFmtId="0" fontId="9" fillId="4" borderId="17" xfId="0" applyFont="1" applyFill="1" applyBorder="1" applyAlignment="1" applyProtection="1">
      <alignment horizontal="right" wrapText="1"/>
      <protection hidden="1"/>
    </xf>
    <xf numFmtId="0" fontId="9" fillId="4" borderId="0" xfId="0" applyFont="1" applyFill="1" applyBorder="1" applyAlignment="1" applyProtection="1">
      <alignment horizontal="right" wrapText="1"/>
      <protection hidden="1"/>
    </xf>
    <xf numFmtId="0" fontId="31" fillId="19" borderId="99" xfId="4" applyFont="1" applyFill="1" applyBorder="1" applyAlignment="1">
      <alignment horizontal="center"/>
    </xf>
    <xf numFmtId="0" fontId="31" fillId="19" borderId="91" xfId="4" applyFont="1" applyFill="1" applyBorder="1" applyAlignment="1">
      <alignment horizontal="center"/>
    </xf>
    <xf numFmtId="0" fontId="30" fillId="19" borderId="100" xfId="4" applyFill="1" applyBorder="1" applyAlignment="1">
      <alignment horizontal="center"/>
    </xf>
    <xf numFmtId="0" fontId="10" fillId="4" borderId="35" xfId="0" applyFont="1" applyFill="1" applyBorder="1" applyAlignment="1" applyProtection="1">
      <alignment horizontal="right"/>
      <protection hidden="1"/>
    </xf>
    <xf numFmtId="0" fontId="10" fillId="4" borderId="33" xfId="0" applyFont="1" applyFill="1" applyBorder="1" applyAlignment="1" applyProtection="1">
      <alignment horizontal="right"/>
      <protection hidden="1"/>
    </xf>
    <xf numFmtId="0" fontId="31" fillId="24" borderId="110" xfId="4" applyFont="1" applyFill="1" applyBorder="1" applyAlignment="1">
      <alignment horizontal="center" vertical="center"/>
    </xf>
    <xf numFmtId="0" fontId="31" fillId="24" borderId="93" xfId="4" applyFont="1" applyFill="1" applyBorder="1" applyAlignment="1">
      <alignment horizontal="center" vertical="center"/>
    </xf>
    <xf numFmtId="0" fontId="4" fillId="19" borderId="111" xfId="6" applyFont="1" applyFill="1" applyBorder="1" applyAlignment="1">
      <alignment horizontal="center"/>
    </xf>
    <xf numFmtId="0" fontId="5" fillId="19" borderId="97" xfId="6" applyFill="1" applyBorder="1" applyAlignment="1">
      <alignment horizontal="center"/>
    </xf>
    <xf numFmtId="0" fontId="4" fillId="19" borderId="97" xfId="6" applyFont="1" applyFill="1" applyBorder="1" applyAlignment="1">
      <alignment horizontal="center"/>
    </xf>
    <xf numFmtId="0" fontId="3" fillId="19" borderId="97" xfId="6" applyFont="1" applyFill="1" applyBorder="1" applyAlignment="1">
      <alignment horizontal="center"/>
    </xf>
    <xf numFmtId="0" fontId="5" fillId="19" borderId="98" xfId="6" applyFill="1" applyBorder="1" applyAlignment="1">
      <alignment horizontal="center"/>
    </xf>
  </cellXfs>
  <cellStyles count="10">
    <cellStyle name="cBMilliers" xfId="1"/>
    <cellStyle name="cBMilliers-" xfId="2"/>
    <cellStyle name="Milliers" xfId="3" builtinId="3"/>
    <cellStyle name="Monétaire 2" xfId="9"/>
    <cellStyle name="Monétaire 3" xfId="8"/>
    <cellStyle name="Normal" xfId="0" builtinId="0"/>
    <cellStyle name="Normal 2" xfId="6"/>
    <cellStyle name="Normal 2 2" xfId="4"/>
    <cellStyle name="Normal 3" xfId="7"/>
    <cellStyle name="Pourcentage 2" xfId="5"/>
  </cellStyles>
  <dxfs count="82">
    <dxf>
      <fill>
        <patternFill>
          <bgColor indexed="10"/>
        </patternFill>
      </fill>
    </dxf>
    <dxf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ill>
        <patternFill>
          <bgColor indexed="33"/>
        </patternFill>
      </fill>
    </dxf>
    <dxf>
      <fill>
        <patternFill>
          <bgColor indexed="9"/>
        </patternFill>
      </fill>
    </dxf>
    <dxf>
      <fill>
        <patternFill>
          <bgColor indexed="34"/>
        </patternFill>
      </fill>
    </dxf>
    <dxf>
      <fill>
        <patternFill>
          <bgColor indexed="9"/>
        </patternFill>
      </fill>
    </dxf>
    <dxf>
      <fill>
        <patternFill>
          <bgColor indexed="33"/>
        </patternFill>
      </fill>
    </dxf>
    <dxf>
      <fill>
        <patternFill>
          <bgColor indexed="9"/>
        </patternFill>
      </fill>
    </dxf>
    <dxf>
      <fill>
        <patternFill>
          <bgColor indexed="34"/>
        </patternFill>
      </fill>
    </dxf>
    <dxf>
      <fill>
        <patternFill>
          <bgColor indexed="9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indexed="33"/>
        </patternFill>
      </fill>
    </dxf>
    <dxf>
      <fill>
        <patternFill>
          <bgColor indexed="9"/>
        </patternFill>
      </fill>
    </dxf>
    <dxf>
      <fill>
        <patternFill>
          <bgColor indexed="34"/>
        </patternFill>
      </fill>
    </dxf>
    <dxf>
      <fill>
        <patternFill>
          <bgColor indexed="9"/>
        </patternFill>
      </fill>
    </dxf>
    <dxf>
      <fill>
        <patternFill>
          <bgColor indexed="33"/>
        </patternFill>
      </fill>
    </dxf>
    <dxf>
      <fill>
        <patternFill>
          <bgColor indexed="9"/>
        </patternFill>
      </fill>
    </dxf>
    <dxf>
      <fill>
        <patternFill>
          <bgColor indexed="34"/>
        </patternFill>
      </fill>
    </dxf>
    <dxf>
      <fill>
        <patternFill>
          <bgColor indexed="9"/>
        </patternFill>
      </fill>
    </dxf>
    <dxf>
      <fill>
        <patternFill>
          <bgColor indexed="33"/>
        </patternFill>
      </fill>
    </dxf>
    <dxf>
      <fill>
        <patternFill>
          <bgColor indexed="9"/>
        </patternFill>
      </fill>
    </dxf>
    <dxf>
      <fill>
        <patternFill>
          <bgColor indexed="34"/>
        </patternFill>
      </fill>
    </dxf>
    <dxf>
      <fill>
        <patternFill>
          <bgColor indexed="9"/>
        </patternFill>
      </fill>
    </dxf>
    <dxf>
      <fill>
        <patternFill>
          <bgColor indexed="33"/>
        </patternFill>
      </fill>
    </dxf>
    <dxf>
      <fill>
        <patternFill>
          <bgColor indexed="9"/>
        </patternFill>
      </fill>
    </dxf>
    <dxf>
      <fill>
        <patternFill>
          <bgColor indexed="34"/>
        </patternFill>
      </fill>
    </dxf>
    <dxf>
      <fill>
        <patternFill>
          <bgColor indexed="9"/>
        </patternFill>
      </fill>
    </dxf>
    <dxf>
      <fill>
        <patternFill>
          <bgColor indexed="33"/>
        </patternFill>
      </fill>
    </dxf>
    <dxf>
      <fill>
        <patternFill>
          <bgColor indexed="9"/>
        </patternFill>
      </fill>
    </dxf>
    <dxf>
      <fill>
        <patternFill>
          <bgColor indexed="34"/>
        </patternFill>
      </fill>
    </dxf>
    <dxf>
      <fill>
        <patternFill>
          <bgColor indexed="9"/>
        </patternFill>
      </fill>
    </dxf>
    <dxf>
      <fill>
        <patternFill>
          <bgColor indexed="33"/>
        </patternFill>
      </fill>
    </dxf>
    <dxf>
      <fill>
        <patternFill>
          <bgColor indexed="9"/>
        </patternFill>
      </fill>
    </dxf>
    <dxf>
      <fill>
        <patternFill>
          <bgColor indexed="34"/>
        </patternFill>
      </fill>
    </dxf>
    <dxf>
      <fill>
        <patternFill>
          <bgColor indexed="9"/>
        </patternFill>
      </fill>
    </dxf>
    <dxf>
      <fill>
        <patternFill>
          <bgColor indexed="33"/>
        </patternFill>
      </fill>
    </dxf>
    <dxf>
      <fill>
        <patternFill>
          <bgColor indexed="9"/>
        </patternFill>
      </fill>
    </dxf>
    <dxf>
      <fill>
        <patternFill>
          <bgColor indexed="34"/>
        </patternFill>
      </fill>
    </dxf>
    <dxf>
      <fill>
        <patternFill>
          <bgColor indexed="9"/>
        </patternFill>
      </fill>
    </dxf>
    <dxf>
      <fill>
        <patternFill>
          <bgColor indexed="33"/>
        </patternFill>
      </fill>
    </dxf>
    <dxf>
      <fill>
        <patternFill>
          <bgColor indexed="9"/>
        </patternFill>
      </fill>
    </dxf>
    <dxf>
      <fill>
        <patternFill>
          <bgColor indexed="34"/>
        </patternFill>
      </fill>
    </dxf>
    <dxf>
      <fill>
        <patternFill>
          <bgColor indexed="9"/>
        </patternFill>
      </fill>
    </dxf>
    <dxf>
      <fill>
        <patternFill>
          <bgColor indexed="33"/>
        </patternFill>
      </fill>
    </dxf>
    <dxf>
      <fill>
        <patternFill>
          <bgColor indexed="9"/>
        </patternFill>
      </fill>
    </dxf>
    <dxf>
      <fill>
        <patternFill>
          <bgColor indexed="34"/>
        </patternFill>
      </fill>
    </dxf>
    <dxf>
      <fill>
        <patternFill>
          <bgColor indexed="9"/>
        </patternFill>
      </fill>
    </dxf>
    <dxf>
      <fill>
        <patternFill>
          <bgColor indexed="33"/>
        </patternFill>
      </fill>
    </dxf>
    <dxf>
      <fill>
        <patternFill>
          <bgColor indexed="9"/>
        </patternFill>
      </fill>
    </dxf>
    <dxf>
      <fill>
        <patternFill>
          <bgColor indexed="34"/>
        </patternFill>
      </fill>
    </dxf>
    <dxf>
      <fill>
        <patternFill>
          <bgColor indexed="9"/>
        </patternFill>
      </fill>
    </dxf>
    <dxf>
      <fill>
        <patternFill>
          <bgColor indexed="33"/>
        </patternFill>
      </fill>
    </dxf>
    <dxf>
      <fill>
        <patternFill>
          <bgColor indexed="9"/>
        </patternFill>
      </fill>
    </dxf>
    <dxf>
      <fill>
        <patternFill>
          <bgColor indexed="34"/>
        </patternFill>
      </fill>
    </dxf>
    <dxf>
      <fill>
        <patternFill>
          <bgColor indexed="9"/>
        </patternFill>
      </fill>
    </dxf>
    <dxf>
      <fill>
        <patternFill>
          <bgColor indexed="33"/>
        </patternFill>
      </fill>
    </dxf>
    <dxf>
      <fill>
        <patternFill>
          <bgColor indexed="9"/>
        </patternFill>
      </fill>
    </dxf>
    <dxf>
      <fill>
        <patternFill>
          <bgColor indexed="34"/>
        </patternFill>
      </fill>
    </dxf>
    <dxf>
      <fill>
        <patternFill>
          <bgColor indexed="9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666699"/>
      <rgbColor rgb="00CCCCFF"/>
      <rgbColor rgb="00FFFFCC"/>
      <rgbColor rgb="00CCFFFF"/>
      <rgbColor rgb="00660066"/>
      <rgbColor rgb="00FF8080"/>
      <rgbColor rgb="000066CC"/>
      <rgbColor rgb="00CCCCFF"/>
      <rgbColor rgb="00B0C4DE"/>
      <rgbColor rgb="00FFCCFF"/>
      <rgbColor rgb="00FF99FF"/>
      <rgbColor rgb="0099FFCC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microsoft.com/office/2006/relationships/vbaProject" Target="vbaProject.bin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ctrlProps/ctrlProp1.xml><?xml version="1.0" encoding="utf-8"?>
<formControlPr xmlns="http://schemas.microsoft.com/office/spreadsheetml/2009/9/main" objectType="GBox"/>
</file>

<file path=xl/ctrlProps/ctrlProp2.xml><?xml version="1.0" encoding="utf-8"?>
<formControlPr xmlns="http://schemas.microsoft.com/office/spreadsheetml/2009/9/main" objectType="Radio" checked="Checked" firstButton="1" fmlaLink="$I$9" lockText="1"/>
</file>

<file path=xl/ctrlProps/ctrlProp3.xml><?xml version="1.0" encoding="utf-8"?>
<formControlPr xmlns="http://schemas.microsoft.com/office/spreadsheetml/2009/9/main" objectType="Radio" lockText="1"/>
</file>

<file path=xl/ctrlProps/ctrlProp4.xml><?xml version="1.0" encoding="utf-8"?>
<formControlPr xmlns="http://schemas.microsoft.com/office/spreadsheetml/2009/9/main" objectType="CheckBox" fmlaLink="$I$12" lockText="1"/>
</file>

<file path=xl/ctrlProps/ctrlProp5.xml><?xml version="1.0" encoding="utf-8"?>
<formControlPr xmlns="http://schemas.microsoft.com/office/spreadsheetml/2009/9/main" objectType="CheckBox" fmlaLink="$I$15" lockText="1"/>
</file>

<file path=xl/ctrlProps/ctrlProp6.xml><?xml version="1.0" encoding="utf-8"?>
<formControlPr xmlns="http://schemas.microsoft.com/office/spreadsheetml/2009/9/main" objectType="Radio" checked="Checked" firstButton="1" fmlaLink="$I$27" lockText="1"/>
</file>

<file path=xl/ctrlProps/ctrlProp7.xml><?xml version="1.0" encoding="utf-8"?>
<formControlPr xmlns="http://schemas.microsoft.com/office/spreadsheetml/2009/9/main" objectType="Radio" lockText="1"/>
</file>

<file path=xl/ctrlProps/ctrlProp8.xml><?xml version="1.0" encoding="utf-8"?>
<formControlPr xmlns="http://schemas.microsoft.com/office/spreadsheetml/2009/9/main" objectType="GBox"/>
</file>

<file path=xl/ctrlProps/ctrlProp9.xml><?xml version="1.0" encoding="utf-8"?>
<formControlPr xmlns="http://schemas.microsoft.com/office/spreadsheetml/2009/9/main" objectType="Radio" lockText="1"/>
</file>

<file path=xl/ctrlProps/ctrlProp10.xml><?xml version="1.0" encoding="utf-8"?>
<formControlPr xmlns="http://schemas.microsoft.com/office/spreadsheetml/2009/9/main" objectType="Spin" dx="16" fmlaLink="$I$23" max="1000" page="10" val="504"/>
</file>

<file path=xl/ctrlProps/ctrlProp11.xml><?xml version="1.0" encoding="utf-8"?>
<formControlPr xmlns="http://schemas.microsoft.com/office/spreadsheetml/2009/9/main" objectType="GBox"/>
</file>

<file path=xl/ctrlProps/ctrlProp12.xml><?xml version="1.0" encoding="utf-8"?>
<formControlPr xmlns="http://schemas.microsoft.com/office/spreadsheetml/2009/9/main" objectType="Radio" checked="Checked" firstButton="1" fmlaLink="$I$9" lockText="1"/>
</file>

<file path=xl/ctrlProps/ctrlProp13.xml><?xml version="1.0" encoding="utf-8"?>
<formControlPr xmlns="http://schemas.microsoft.com/office/spreadsheetml/2009/9/main" objectType="Radio" lockText="1"/>
</file>

<file path=xl/ctrlProps/ctrlProp14.xml><?xml version="1.0" encoding="utf-8"?>
<formControlPr xmlns="http://schemas.microsoft.com/office/spreadsheetml/2009/9/main" objectType="CheckBox" fmlaLink="$I$12" lockText="1"/>
</file>

<file path=xl/ctrlProps/ctrlProp15.xml><?xml version="1.0" encoding="utf-8"?>
<formControlPr xmlns="http://schemas.microsoft.com/office/spreadsheetml/2009/9/main" objectType="CheckBox" fmlaLink="$I$15" lockText="1"/>
</file>

<file path=xl/ctrlProps/ctrlProp16.xml><?xml version="1.0" encoding="utf-8"?>
<formControlPr xmlns="http://schemas.microsoft.com/office/spreadsheetml/2009/9/main" objectType="Radio" checked="Checked" firstButton="1" fmlaLink="$I$27" lockText="1"/>
</file>

<file path=xl/ctrlProps/ctrlProp17.xml><?xml version="1.0" encoding="utf-8"?>
<formControlPr xmlns="http://schemas.microsoft.com/office/spreadsheetml/2009/9/main" objectType="Radio" lockText="1"/>
</file>

<file path=xl/ctrlProps/ctrlProp18.xml><?xml version="1.0" encoding="utf-8"?>
<formControlPr xmlns="http://schemas.microsoft.com/office/spreadsheetml/2009/9/main" objectType="GBox"/>
</file>

<file path=xl/ctrlProps/ctrlProp19.xml><?xml version="1.0" encoding="utf-8"?>
<formControlPr xmlns="http://schemas.microsoft.com/office/spreadsheetml/2009/9/main" objectType="Radio" lockText="1"/>
</file>

<file path=xl/ctrlProps/ctrlProp20.xml><?xml version="1.0" encoding="utf-8"?>
<formControlPr xmlns="http://schemas.microsoft.com/office/spreadsheetml/2009/9/main" objectType="Spin" dx="16" fmlaLink="$I$23" max="1000" page="10" val="505"/>
</file>

<file path=xl/ctrlProps/ctrlProp21.xml><?xml version="1.0" encoding="utf-8"?>
<formControlPr xmlns="http://schemas.microsoft.com/office/spreadsheetml/2009/9/main" objectType="Drop" dropStyle="combo" dx="22" fmlaLink="'Données Projet 1'!$F$3" fmlaRange="'Données Projet 1'!$F$4:$F$10" val="0"/>
</file>

<file path=xl/ctrlProps/ctrlProp22.xml><?xml version="1.0" encoding="utf-8"?>
<formControlPr xmlns="http://schemas.microsoft.com/office/spreadsheetml/2009/9/main" objectType="Radio" firstButton="1" fmlaLink="'Données Projet 1'!$E$3" lockText="1"/>
</file>

<file path=xl/ctrlProps/ctrlProp23.xml><?xml version="1.0" encoding="utf-8"?>
<formControlPr xmlns="http://schemas.microsoft.com/office/spreadsheetml/2009/9/main" objectType="Radio" checked="Checked" lockText="1"/>
</file>

<file path=xl/ctrlProps/ctrlProp24.xml><?xml version="1.0" encoding="utf-8"?>
<formControlPr xmlns="http://schemas.microsoft.com/office/spreadsheetml/2009/9/main" objectType="GBox"/>
</file>

<file path=xl/ctrlProps/ctrlProp25.xml><?xml version="1.0" encoding="utf-8"?>
<formControlPr xmlns="http://schemas.microsoft.com/office/spreadsheetml/2009/9/main" objectType="Radio" firstButton="1" fmlaLink="$L$8" lockText="1"/>
</file>

<file path=xl/ctrlProps/ctrlProp26.xml><?xml version="1.0" encoding="utf-8"?>
<formControlPr xmlns="http://schemas.microsoft.com/office/spreadsheetml/2009/9/main" objectType="Radio" lockText="1"/>
</file>

<file path=xl/ctrlProps/ctrlProp27.xml><?xml version="1.0" encoding="utf-8"?>
<formControlPr xmlns="http://schemas.microsoft.com/office/spreadsheetml/2009/9/main" objectType="GBox"/>
</file>

<file path=xl/ctrlProps/ctrlProp28.xml><?xml version="1.0" encoding="utf-8"?>
<formControlPr xmlns="http://schemas.microsoft.com/office/spreadsheetml/2009/9/main" objectType="Drop" dropStyle="combo" dx="22" fmlaLink="'Données Projet 1'!$M$3" fmlaRange="'Données Projet 1'!$M$4:$M$10" val="0"/>
</file>

<file path=xl/ctrlProps/ctrlProp29.xml><?xml version="1.0" encoding="utf-8"?>
<formControlPr xmlns="http://schemas.microsoft.com/office/spreadsheetml/2009/9/main" objectType="Radio" firstButton="1" fmlaLink="'Données Projet 1'!$L$3" lockText="1"/>
</file>

<file path=xl/ctrlProps/ctrlProp30.xml><?xml version="1.0" encoding="utf-8"?>
<formControlPr xmlns="http://schemas.microsoft.com/office/spreadsheetml/2009/9/main" objectType="Radio" checked="Checked" lockText="1"/>
</file>

<file path=xl/ctrlProps/ctrlProp31.xml><?xml version="1.0" encoding="utf-8"?>
<formControlPr xmlns="http://schemas.microsoft.com/office/spreadsheetml/2009/9/main" objectType="GBox"/>
</file>

<file path=xl/ctrlProps/ctrlProp32.xml><?xml version="1.0" encoding="utf-8"?>
<formControlPr xmlns="http://schemas.microsoft.com/office/spreadsheetml/2009/9/main" objectType="Radio" lockText="1"/>
</file>

<file path=xl/ctrlProps/ctrlProp33.xml><?xml version="1.0" encoding="utf-8"?>
<formControlPr xmlns="http://schemas.microsoft.com/office/spreadsheetml/2009/9/main" objectType="Radio" checked="Checked" firstButton="1" lockText="1"/>
</file>

<file path=xl/ctrlProps/ctrlProp34.xml><?xml version="1.0" encoding="utf-8"?>
<formControlPr xmlns="http://schemas.microsoft.com/office/spreadsheetml/2009/9/main" objectType="GBox"/>
</file>

<file path=xl/ctrlProps/ctrlProp35.xml><?xml version="1.0" encoding="utf-8"?>
<formControlPr xmlns="http://schemas.microsoft.com/office/spreadsheetml/2009/9/main" objectType="GBox"/>
</file>

<file path=xl/ctrlProps/ctrlProp36.xml><?xml version="1.0" encoding="utf-8"?>
<formControlPr xmlns="http://schemas.microsoft.com/office/spreadsheetml/2009/9/main" objectType="GBox" noThreeD="1"/>
</file>

<file path=xl/ctrlProps/ctrlProp37.xml><?xml version="1.0" encoding="utf-8"?>
<formControlPr xmlns="http://schemas.microsoft.com/office/spreadsheetml/2009/9/main" objectType="Radio" checked="Checked" firstButton="1" fmlaLink="$D$24" lockText="1" noThreeD="1"/>
</file>

<file path=xl/ctrlProps/ctrlProp38.xml><?xml version="1.0" encoding="utf-8"?>
<formControlPr xmlns="http://schemas.microsoft.com/office/spreadsheetml/2009/9/main" objectType="Radio" lockText="1" noThreeD="1"/>
</file>

<file path=xl/ctrlProps/ctrlProp39.xml><?xml version="1.0" encoding="utf-8"?>
<formControlPr xmlns="http://schemas.microsoft.com/office/spreadsheetml/2009/9/main" objectType="Radio" lockText="1"/>
</file>

<file path=xl/ctrlProps/ctrlProp40.xml><?xml version="1.0" encoding="utf-8"?>
<formControlPr xmlns="http://schemas.microsoft.com/office/spreadsheetml/2009/9/main" objectType="Radio" lockText="1"/>
</file>

<file path=xl/ctrlProps/ctrlProp41.xml><?xml version="1.0" encoding="utf-8"?>
<formControlPr xmlns="http://schemas.microsoft.com/office/spreadsheetml/2009/9/main" objectType="Radio" checked="Checked" lockText="1"/>
</file>

<file path=xl/ctrlProps/ctrlProp42.xml><?xml version="1.0" encoding="utf-8"?>
<formControlPr xmlns="http://schemas.microsoft.com/office/spreadsheetml/2009/9/main" objectType="GBox"/>
</file>

<file path=xl/ctrlProps/ctrlProp43.xml><?xml version="1.0" encoding="utf-8"?>
<formControlPr xmlns="http://schemas.microsoft.com/office/spreadsheetml/2009/9/main" objectType="Radio" checked="Checked" firstButton="1" fmlaLink="$I$9" lockText="1"/>
</file>

<file path=xl/ctrlProps/ctrlProp44.xml><?xml version="1.0" encoding="utf-8"?>
<formControlPr xmlns="http://schemas.microsoft.com/office/spreadsheetml/2009/9/main" objectType="Radio" lockText="1"/>
</file>

<file path=xl/ctrlProps/ctrlProp45.xml><?xml version="1.0" encoding="utf-8"?>
<formControlPr xmlns="http://schemas.microsoft.com/office/spreadsheetml/2009/9/main" objectType="CheckBox" fmlaLink="$I$12" lockText="1"/>
</file>

<file path=xl/ctrlProps/ctrlProp46.xml><?xml version="1.0" encoding="utf-8"?>
<formControlPr xmlns="http://schemas.microsoft.com/office/spreadsheetml/2009/9/main" objectType="CheckBox" fmlaLink="$I$15" lockText="1"/>
</file>

<file path=xl/ctrlProps/ctrlProp47.xml><?xml version="1.0" encoding="utf-8"?>
<formControlPr xmlns="http://schemas.microsoft.com/office/spreadsheetml/2009/9/main" objectType="Radio" checked="Checked" firstButton="1" fmlaLink="$I$27" lockText="1"/>
</file>

<file path=xl/ctrlProps/ctrlProp48.xml><?xml version="1.0" encoding="utf-8"?>
<formControlPr xmlns="http://schemas.microsoft.com/office/spreadsheetml/2009/9/main" objectType="Radio" lockText="1"/>
</file>

<file path=xl/ctrlProps/ctrlProp49.xml><?xml version="1.0" encoding="utf-8"?>
<formControlPr xmlns="http://schemas.microsoft.com/office/spreadsheetml/2009/9/main" objectType="GBox"/>
</file>

<file path=xl/ctrlProps/ctrlProp50.xml><?xml version="1.0" encoding="utf-8"?>
<formControlPr xmlns="http://schemas.microsoft.com/office/spreadsheetml/2009/9/main" objectType="Radio" lockText="1"/>
</file>

<file path=xl/ctrlProps/ctrlProp51.xml><?xml version="1.0" encoding="utf-8"?>
<formControlPr xmlns="http://schemas.microsoft.com/office/spreadsheetml/2009/9/main" objectType="Spin" dx="16" fmlaLink="$I$23" max="1000" page="10" val="504"/>
</file>

<file path=xl/ctrlProps/ctrlProp52.xml><?xml version="1.0" encoding="utf-8"?>
<formControlPr xmlns="http://schemas.microsoft.com/office/spreadsheetml/2009/9/main" objectType="GBox"/>
</file>

<file path=xl/ctrlProps/ctrlProp53.xml><?xml version="1.0" encoding="utf-8"?>
<formControlPr xmlns="http://schemas.microsoft.com/office/spreadsheetml/2009/9/main" objectType="Radio" checked="Checked" firstButton="1" fmlaLink="$I$9" lockText="1"/>
</file>

<file path=xl/ctrlProps/ctrlProp54.xml><?xml version="1.0" encoding="utf-8"?>
<formControlPr xmlns="http://schemas.microsoft.com/office/spreadsheetml/2009/9/main" objectType="Radio" lockText="1"/>
</file>

<file path=xl/ctrlProps/ctrlProp55.xml><?xml version="1.0" encoding="utf-8"?>
<formControlPr xmlns="http://schemas.microsoft.com/office/spreadsheetml/2009/9/main" objectType="CheckBox" fmlaLink="$I$12" lockText="1"/>
</file>

<file path=xl/ctrlProps/ctrlProp56.xml><?xml version="1.0" encoding="utf-8"?>
<formControlPr xmlns="http://schemas.microsoft.com/office/spreadsheetml/2009/9/main" objectType="CheckBox" fmlaLink="$I$15" lockText="1"/>
</file>

<file path=xl/ctrlProps/ctrlProp57.xml><?xml version="1.0" encoding="utf-8"?>
<formControlPr xmlns="http://schemas.microsoft.com/office/spreadsheetml/2009/9/main" objectType="Radio" checked="Checked" firstButton="1" fmlaLink="$I$27" lockText="1"/>
</file>

<file path=xl/ctrlProps/ctrlProp58.xml><?xml version="1.0" encoding="utf-8"?>
<formControlPr xmlns="http://schemas.microsoft.com/office/spreadsheetml/2009/9/main" objectType="Radio" lockText="1"/>
</file>

<file path=xl/ctrlProps/ctrlProp59.xml><?xml version="1.0" encoding="utf-8"?>
<formControlPr xmlns="http://schemas.microsoft.com/office/spreadsheetml/2009/9/main" objectType="GBox"/>
</file>

<file path=xl/ctrlProps/ctrlProp60.xml><?xml version="1.0" encoding="utf-8"?>
<formControlPr xmlns="http://schemas.microsoft.com/office/spreadsheetml/2009/9/main" objectType="Radio" lockText="1"/>
</file>

<file path=xl/ctrlProps/ctrlProp61.xml><?xml version="1.0" encoding="utf-8"?>
<formControlPr xmlns="http://schemas.microsoft.com/office/spreadsheetml/2009/9/main" objectType="Spin" dx="16" fmlaLink="$I$23" max="1000" page="10" val="505"/>
</file>

<file path=xl/ctrlProps/ctrlProp62.xml><?xml version="1.0" encoding="utf-8"?>
<formControlPr xmlns="http://schemas.microsoft.com/office/spreadsheetml/2009/9/main" objectType="Drop" dropStyle="combo" dx="22" fmlaLink="'Données Projet 1 (2)'!$F$3" fmlaRange="'Données Projet 1 (2)'!$F$4:$F$10" val="0"/>
</file>

<file path=xl/ctrlProps/ctrlProp63.xml><?xml version="1.0" encoding="utf-8"?>
<formControlPr xmlns="http://schemas.microsoft.com/office/spreadsheetml/2009/9/main" objectType="Radio" firstButton="1" fmlaLink="'Données Projet 1 (2)'!$E$3" lockText="1"/>
</file>

<file path=xl/ctrlProps/ctrlProp64.xml><?xml version="1.0" encoding="utf-8"?>
<formControlPr xmlns="http://schemas.microsoft.com/office/spreadsheetml/2009/9/main" objectType="Radio" checked="Checked" lockText="1"/>
</file>

<file path=xl/ctrlProps/ctrlProp65.xml><?xml version="1.0" encoding="utf-8"?>
<formControlPr xmlns="http://schemas.microsoft.com/office/spreadsheetml/2009/9/main" objectType="GBox"/>
</file>

<file path=xl/ctrlProps/ctrlProp66.xml><?xml version="1.0" encoding="utf-8"?>
<formControlPr xmlns="http://schemas.microsoft.com/office/spreadsheetml/2009/9/main" objectType="Radio" checked="Checked" firstButton="1" fmlaLink="'Données Projet 1 (2)'!$E$6" lockText="1"/>
</file>

<file path=xl/ctrlProps/ctrlProp67.xml><?xml version="1.0" encoding="utf-8"?>
<formControlPr xmlns="http://schemas.microsoft.com/office/spreadsheetml/2009/9/main" objectType="Radio" lockText="1"/>
</file>

<file path=xl/ctrlProps/ctrlProp68.xml><?xml version="1.0" encoding="utf-8"?>
<formControlPr xmlns="http://schemas.microsoft.com/office/spreadsheetml/2009/9/main" objectType="GBox"/>
</file>

<file path=xl/ctrlProps/ctrlProp69.xml><?xml version="1.0" encoding="utf-8"?>
<formControlPr xmlns="http://schemas.microsoft.com/office/spreadsheetml/2009/9/main" objectType="Drop" dropStyle="combo" dx="22" fmlaLink="'Données Projet 1 (2)'!$M$3" fmlaRange="'Données Projet 1 (2)'!$M$4:$M$10" val="0"/>
</file>

<file path=xl/ctrlProps/ctrlProp70.xml><?xml version="1.0" encoding="utf-8"?>
<formControlPr xmlns="http://schemas.microsoft.com/office/spreadsheetml/2009/9/main" objectType="Radio" firstButton="1" fmlaLink="'Données Projet 1 (2)'!$L$3" lockText="1"/>
</file>

<file path=xl/ctrlProps/ctrlProp71.xml><?xml version="1.0" encoding="utf-8"?>
<formControlPr xmlns="http://schemas.microsoft.com/office/spreadsheetml/2009/9/main" objectType="Radio" checked="Checked" lockText="1"/>
</file>

<file path=xl/ctrlProps/ctrlProp72.xml><?xml version="1.0" encoding="utf-8"?>
<formControlPr xmlns="http://schemas.microsoft.com/office/spreadsheetml/2009/9/main" objectType="GBox"/>
</file>

<file path=xl/ctrlProps/ctrlProp73.xml><?xml version="1.0" encoding="utf-8"?>
<formControlPr xmlns="http://schemas.microsoft.com/office/spreadsheetml/2009/9/main" objectType="Radio" checked="Checked" firstButton="1" fmlaLink="'Données Projet 1 (2)'!$L$6" lockText="1"/>
</file>

<file path=xl/ctrlProps/ctrlProp74.xml><?xml version="1.0" encoding="utf-8"?>
<formControlPr xmlns="http://schemas.microsoft.com/office/spreadsheetml/2009/9/main" objectType="Radio" lockText="1"/>
</file>

<file path=xl/ctrlProps/ctrlProp75.xml><?xml version="1.0" encoding="utf-8"?>
<formControlPr xmlns="http://schemas.microsoft.com/office/spreadsheetml/2009/9/main" objectType="GBox"/>
</file>

<file path=xl/ctrlProps/ctrlProp76.xml><?xml version="1.0" encoding="utf-8"?>
<formControlPr xmlns="http://schemas.microsoft.com/office/spreadsheetml/2009/9/main" objectType="Radio" checked="Checked" firstButton="1" fmlaLink="$G$32" lockText="1"/>
</file>

<file path=xl/ctrlProps/ctrlProp77.xml><?xml version="1.0" encoding="utf-8"?>
<formControlPr xmlns="http://schemas.microsoft.com/office/spreadsheetml/2009/9/main" objectType="Radio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482600</xdr:colOff>
      <xdr:row>9</xdr:row>
      <xdr:rowOff>12700</xdr:rowOff>
    </xdr:from>
    <xdr:to>
      <xdr:col>12</xdr:col>
      <xdr:colOff>292100</xdr:colOff>
      <xdr:row>10</xdr:row>
      <xdr:rowOff>0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6216650" y="2212975"/>
          <a:ext cx="2962275" cy="22542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fr-FR" sz="1000" b="1" i="1" u="none" strike="noStrike" baseline="0">
              <a:solidFill>
                <a:srgbClr val="000000"/>
              </a:solidFill>
              <a:latin typeface="Helv"/>
              <a:ea typeface="Helv"/>
              <a:cs typeface="Helv"/>
            </a:rPr>
            <a:t>Noms utilisés + coordonnées des cellules</a:t>
          </a:r>
        </a:p>
      </xdr:txBody>
    </xdr:sp>
    <xdr:clientData/>
  </xdr:twoCellAnchor>
  <xdr:twoCellAnchor>
    <xdr:from>
      <xdr:col>8</xdr:col>
      <xdr:colOff>546100</xdr:colOff>
      <xdr:row>24</xdr:row>
      <xdr:rowOff>25400</xdr:rowOff>
    </xdr:from>
    <xdr:to>
      <xdr:col>12</xdr:col>
      <xdr:colOff>50800</xdr:colOff>
      <xdr:row>28</xdr:row>
      <xdr:rowOff>63500</xdr:rowOff>
    </xdr:to>
    <xdr:sp macro="" textlink="">
      <xdr:nvSpPr>
        <xdr:cNvPr id="3" name="Text Box 3"/>
        <xdr:cNvSpPr txBox="1">
          <a:spLocks noChangeArrowheads="1"/>
        </xdr:cNvSpPr>
      </xdr:nvSpPr>
      <xdr:spPr bwMode="auto">
        <a:xfrm>
          <a:off x="6280150" y="5130800"/>
          <a:ext cx="2657475" cy="8001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CC" mc:Ignorable="a14" a14:legacySpreadsheetColorIndex="26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Helv"/>
              <a:ea typeface="Helv"/>
              <a:cs typeface="Helv"/>
            </a:rPr>
            <a:t>La colonne H  contient des éléments pour l'ajustement automatique du nombre de lignes.</a:t>
          </a:r>
        </a:p>
        <a:p>
          <a:pPr algn="ctr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Helv"/>
              <a:ea typeface="Helv"/>
              <a:cs typeface="Helv"/>
            </a:rPr>
            <a:t>Les jours cumulés en fin de mois sont reportés en zone C40:D51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533400</xdr:colOff>
      <xdr:row>9</xdr:row>
      <xdr:rowOff>12700</xdr:rowOff>
    </xdr:from>
    <xdr:to>
      <xdr:col>13</xdr:col>
      <xdr:colOff>469900</xdr:colOff>
      <xdr:row>10</xdr:row>
      <xdr:rowOff>0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6410325" y="2222500"/>
          <a:ext cx="2984500" cy="22542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fr-FR" sz="1000" b="1" i="1" u="none" strike="noStrike" baseline="0">
              <a:solidFill>
                <a:srgbClr val="000000"/>
              </a:solidFill>
              <a:latin typeface="Helv"/>
              <a:ea typeface="Helv"/>
              <a:cs typeface="Helv"/>
            </a:rPr>
            <a:t>Noms utilisés + coordonnées des cellules</a:t>
          </a:r>
        </a:p>
      </xdr:txBody>
    </xdr:sp>
    <xdr:clientData/>
  </xdr:twoCellAnchor>
  <xdr:twoCellAnchor>
    <xdr:from>
      <xdr:col>9</xdr:col>
      <xdr:colOff>571500</xdr:colOff>
      <xdr:row>20</xdr:row>
      <xdr:rowOff>50800</xdr:rowOff>
    </xdr:from>
    <xdr:to>
      <xdr:col>13</xdr:col>
      <xdr:colOff>787400</xdr:colOff>
      <xdr:row>23</xdr:row>
      <xdr:rowOff>101600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6448425" y="4403725"/>
          <a:ext cx="3235325" cy="6223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CC" mc:Ignorable="a14" a14:legacySpreadsheetColorIndex="26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Helv"/>
              <a:ea typeface="Helv"/>
              <a:cs typeface="Helv"/>
            </a:rPr>
            <a:t>Les colonnes H et I contiennent des éléments pour l'ajustement automatique du nombre de lignes ainsi que pour le passage au mode linéaire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295275</xdr:colOff>
          <xdr:row>5</xdr:row>
          <xdr:rowOff>76200</xdr:rowOff>
        </xdr:from>
        <xdr:to>
          <xdr:col>6</xdr:col>
          <xdr:colOff>190500</xdr:colOff>
          <xdr:row>7</xdr:row>
          <xdr:rowOff>66675</xdr:rowOff>
        </xdr:to>
        <xdr:sp macro="" textlink="">
          <xdr:nvSpPr>
            <xdr:cNvPr id="3075" name="Group Box 3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361950</xdr:colOff>
          <xdr:row>5</xdr:row>
          <xdr:rowOff>114300</xdr:rowOff>
        </xdr:from>
        <xdr:to>
          <xdr:col>3</xdr:col>
          <xdr:colOff>381000</xdr:colOff>
          <xdr:row>7</xdr:row>
          <xdr:rowOff>28575</xdr:rowOff>
        </xdr:to>
        <xdr:sp macro="" textlink="">
          <xdr:nvSpPr>
            <xdr:cNvPr id="3076" name="Option Button 4" hidden="1">
              <a:extLst>
                <a:ext uri="{63B3BB69-23CF-44E3-9099-C40C66FF867C}">
                  <a14:compatExt spid="_x0000_s30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Remboursement d'échéance fixe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685800</xdr:colOff>
          <xdr:row>5</xdr:row>
          <xdr:rowOff>114300</xdr:rowOff>
        </xdr:from>
        <xdr:to>
          <xdr:col>6</xdr:col>
          <xdr:colOff>19050</xdr:colOff>
          <xdr:row>7</xdr:row>
          <xdr:rowOff>9525</xdr:rowOff>
        </xdr:to>
        <xdr:sp macro="" textlink="">
          <xdr:nvSpPr>
            <xdr:cNvPr id="3077" name="Option Button 5" hidden="1">
              <a:extLst>
                <a:ext uri="{63B3BB69-23CF-44E3-9099-C40C66FF867C}">
                  <a14:compatExt spid="_x0000_s30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Remboursement du capital constant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95250</xdr:colOff>
          <xdr:row>11</xdr:row>
          <xdr:rowOff>57150</xdr:rowOff>
        </xdr:from>
        <xdr:to>
          <xdr:col>3</xdr:col>
          <xdr:colOff>104775</xdr:colOff>
          <xdr:row>12</xdr:row>
          <xdr:rowOff>114300</xdr:rowOff>
        </xdr:to>
        <xdr:sp macro="" textlink="">
          <xdr:nvSpPr>
            <xdr:cNvPr id="3078" name="Check Box 6" hidden="1">
              <a:extLst>
                <a:ext uri="{63B3BB69-23CF-44E3-9099-C40C66FF867C}">
                  <a14:compatExt spid="_x0000_s30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Limiter la durée d'amortissement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85725</xdr:colOff>
          <xdr:row>14</xdr:row>
          <xdr:rowOff>19050</xdr:rowOff>
        </xdr:from>
        <xdr:to>
          <xdr:col>3</xdr:col>
          <xdr:colOff>838200</xdr:colOff>
          <xdr:row>15</xdr:row>
          <xdr:rowOff>76200</xdr:rowOff>
        </xdr:to>
        <xdr:sp macro="" textlink="">
          <xdr:nvSpPr>
            <xdr:cNvPr id="3079" name="Check Box 7" hidden="1">
              <a:extLst>
                <a:ext uri="{63B3BB69-23CF-44E3-9099-C40C66FF867C}">
                  <a14:compatExt spid="_x0000_s30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Rembourser le capital restant à cette limite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38100</xdr:colOff>
          <xdr:row>24</xdr:row>
          <xdr:rowOff>9525</xdr:rowOff>
        </xdr:from>
        <xdr:to>
          <xdr:col>4</xdr:col>
          <xdr:colOff>57150</xdr:colOff>
          <xdr:row>25</xdr:row>
          <xdr:rowOff>66675</xdr:rowOff>
        </xdr:to>
        <xdr:sp macro="" textlink="">
          <xdr:nvSpPr>
            <xdr:cNvPr id="3081" name="Option Button 9" hidden="1">
              <a:extLst>
                <a:ext uri="{63B3BB69-23CF-44E3-9099-C40C66FF867C}">
                  <a14:compatExt spid="_x0000_s30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1- Échéance standard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38100</xdr:colOff>
          <xdr:row>25</xdr:row>
          <xdr:rowOff>85725</xdr:rowOff>
        </xdr:from>
        <xdr:to>
          <xdr:col>5</xdr:col>
          <xdr:colOff>352425</xdr:colOff>
          <xdr:row>26</xdr:row>
          <xdr:rowOff>142875</xdr:rowOff>
        </xdr:to>
        <xdr:sp macro="" textlink="">
          <xdr:nvSpPr>
            <xdr:cNvPr id="3082" name="Option Button 10" hidden="1">
              <a:extLst>
                <a:ext uri="{63B3BB69-23CF-44E3-9099-C40C66FF867C}">
                  <a14:compatExt spid="_x0000_s30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2- Échéance avec intérêts proportionnels à la durée réelle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723900</xdr:colOff>
          <xdr:row>23</xdr:row>
          <xdr:rowOff>85725</xdr:rowOff>
        </xdr:from>
        <xdr:to>
          <xdr:col>5</xdr:col>
          <xdr:colOff>600075</xdr:colOff>
          <xdr:row>30</xdr:row>
          <xdr:rowOff>85725</xdr:rowOff>
        </xdr:to>
        <xdr:sp macro="" textlink="">
          <xdr:nvSpPr>
            <xdr:cNvPr id="3088" name="Group Box 16" hidden="1">
              <a:extLst>
                <a:ext uri="{63B3BB69-23CF-44E3-9099-C40C66FF867C}">
                  <a14:compatExt spid="_x0000_s308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38100</xdr:colOff>
          <xdr:row>27</xdr:row>
          <xdr:rowOff>9525</xdr:rowOff>
        </xdr:from>
        <xdr:to>
          <xdr:col>4</xdr:col>
          <xdr:colOff>180975</xdr:colOff>
          <xdr:row>28</xdr:row>
          <xdr:rowOff>66675</xdr:rowOff>
        </xdr:to>
        <xdr:sp macro="" textlink="">
          <xdr:nvSpPr>
            <xdr:cNvPr id="3089" name="Option Button 17" hidden="1">
              <a:extLst>
                <a:ext uri="{63B3BB69-23CF-44E3-9099-C40C66FF867C}">
                  <a14:compatExt spid="_x0000_s30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3- Échéance avec montants forcés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809625</xdr:colOff>
          <xdr:row>21</xdr:row>
          <xdr:rowOff>123825</xdr:rowOff>
        </xdr:from>
        <xdr:to>
          <xdr:col>4</xdr:col>
          <xdr:colOff>142875</xdr:colOff>
          <xdr:row>23</xdr:row>
          <xdr:rowOff>66675</xdr:rowOff>
        </xdr:to>
        <xdr:sp macro="" textlink="">
          <xdr:nvSpPr>
            <xdr:cNvPr id="3090" name="Spinner 18" hidden="1">
              <a:extLst>
                <a:ext uri="{63B3BB69-23CF-44E3-9099-C40C66FF867C}">
                  <a14:compatExt spid="_x0000_s30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 fLock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295275</xdr:colOff>
          <xdr:row>5</xdr:row>
          <xdr:rowOff>76200</xdr:rowOff>
        </xdr:from>
        <xdr:to>
          <xdr:col>6</xdr:col>
          <xdr:colOff>190500</xdr:colOff>
          <xdr:row>7</xdr:row>
          <xdr:rowOff>66675</xdr:rowOff>
        </xdr:to>
        <xdr:sp macro="" textlink="">
          <xdr:nvSpPr>
            <xdr:cNvPr id="7169" name="Group Box 1" hidden="1">
              <a:extLst>
                <a:ext uri="{63B3BB69-23CF-44E3-9099-C40C66FF867C}">
                  <a14:compatExt spid="_x0000_s71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361950</xdr:colOff>
          <xdr:row>5</xdr:row>
          <xdr:rowOff>114300</xdr:rowOff>
        </xdr:from>
        <xdr:to>
          <xdr:col>3</xdr:col>
          <xdr:colOff>381000</xdr:colOff>
          <xdr:row>7</xdr:row>
          <xdr:rowOff>28575</xdr:rowOff>
        </xdr:to>
        <xdr:sp macro="" textlink="">
          <xdr:nvSpPr>
            <xdr:cNvPr id="7170" name="Option Button 2" hidden="1">
              <a:extLst>
                <a:ext uri="{63B3BB69-23CF-44E3-9099-C40C66FF867C}">
                  <a14:compatExt spid="_x0000_s71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Remboursement d'échéance fixe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685800</xdr:colOff>
          <xdr:row>5</xdr:row>
          <xdr:rowOff>114300</xdr:rowOff>
        </xdr:from>
        <xdr:to>
          <xdr:col>6</xdr:col>
          <xdr:colOff>19050</xdr:colOff>
          <xdr:row>7</xdr:row>
          <xdr:rowOff>9525</xdr:rowOff>
        </xdr:to>
        <xdr:sp macro="" textlink="">
          <xdr:nvSpPr>
            <xdr:cNvPr id="7171" name="Option Button 3" hidden="1">
              <a:extLst>
                <a:ext uri="{63B3BB69-23CF-44E3-9099-C40C66FF867C}">
                  <a14:compatExt spid="_x0000_s717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Remboursement du capital constant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95250</xdr:colOff>
          <xdr:row>11</xdr:row>
          <xdr:rowOff>57150</xdr:rowOff>
        </xdr:from>
        <xdr:to>
          <xdr:col>3</xdr:col>
          <xdr:colOff>104775</xdr:colOff>
          <xdr:row>12</xdr:row>
          <xdr:rowOff>114300</xdr:rowOff>
        </xdr:to>
        <xdr:sp macro="" textlink="">
          <xdr:nvSpPr>
            <xdr:cNvPr id="7172" name="Check Box 4" hidden="1">
              <a:extLst>
                <a:ext uri="{63B3BB69-23CF-44E3-9099-C40C66FF867C}">
                  <a14:compatExt spid="_x0000_s717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Limiter la durée d'amortissement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85725</xdr:colOff>
          <xdr:row>14</xdr:row>
          <xdr:rowOff>19050</xdr:rowOff>
        </xdr:from>
        <xdr:to>
          <xdr:col>3</xdr:col>
          <xdr:colOff>838200</xdr:colOff>
          <xdr:row>15</xdr:row>
          <xdr:rowOff>76200</xdr:rowOff>
        </xdr:to>
        <xdr:sp macro="" textlink="">
          <xdr:nvSpPr>
            <xdr:cNvPr id="7173" name="Check Box 5" hidden="1">
              <a:extLst>
                <a:ext uri="{63B3BB69-23CF-44E3-9099-C40C66FF867C}">
                  <a14:compatExt spid="_x0000_s71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Rembourser le capital restant à cette limite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38100</xdr:colOff>
          <xdr:row>24</xdr:row>
          <xdr:rowOff>9525</xdr:rowOff>
        </xdr:from>
        <xdr:to>
          <xdr:col>4</xdr:col>
          <xdr:colOff>57150</xdr:colOff>
          <xdr:row>25</xdr:row>
          <xdr:rowOff>66675</xdr:rowOff>
        </xdr:to>
        <xdr:sp macro="" textlink="">
          <xdr:nvSpPr>
            <xdr:cNvPr id="7174" name="Option Button 6" hidden="1">
              <a:extLst>
                <a:ext uri="{63B3BB69-23CF-44E3-9099-C40C66FF867C}">
                  <a14:compatExt spid="_x0000_s71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1- Échéance standard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38100</xdr:colOff>
          <xdr:row>25</xdr:row>
          <xdr:rowOff>85725</xdr:rowOff>
        </xdr:from>
        <xdr:to>
          <xdr:col>5</xdr:col>
          <xdr:colOff>352425</xdr:colOff>
          <xdr:row>26</xdr:row>
          <xdr:rowOff>142875</xdr:rowOff>
        </xdr:to>
        <xdr:sp macro="" textlink="">
          <xdr:nvSpPr>
            <xdr:cNvPr id="7175" name="Option Button 7" hidden="1">
              <a:extLst>
                <a:ext uri="{63B3BB69-23CF-44E3-9099-C40C66FF867C}">
                  <a14:compatExt spid="_x0000_s71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2- Échéance avec intérêts proportionnels à la durée réelle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723900</xdr:colOff>
          <xdr:row>23</xdr:row>
          <xdr:rowOff>85725</xdr:rowOff>
        </xdr:from>
        <xdr:to>
          <xdr:col>5</xdr:col>
          <xdr:colOff>600075</xdr:colOff>
          <xdr:row>30</xdr:row>
          <xdr:rowOff>85725</xdr:rowOff>
        </xdr:to>
        <xdr:sp macro="" textlink="">
          <xdr:nvSpPr>
            <xdr:cNvPr id="7176" name="Group Box 8" hidden="1">
              <a:extLst>
                <a:ext uri="{63B3BB69-23CF-44E3-9099-C40C66FF867C}">
                  <a14:compatExt spid="_x0000_s71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38100</xdr:colOff>
          <xdr:row>27</xdr:row>
          <xdr:rowOff>9525</xdr:rowOff>
        </xdr:from>
        <xdr:to>
          <xdr:col>4</xdr:col>
          <xdr:colOff>180975</xdr:colOff>
          <xdr:row>28</xdr:row>
          <xdr:rowOff>66675</xdr:rowOff>
        </xdr:to>
        <xdr:sp macro="" textlink="">
          <xdr:nvSpPr>
            <xdr:cNvPr id="7177" name="Option Button 9" hidden="1">
              <a:extLst>
                <a:ext uri="{63B3BB69-23CF-44E3-9099-C40C66FF867C}">
                  <a14:compatExt spid="_x0000_s71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3- Échéance avec montants forcés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809625</xdr:colOff>
          <xdr:row>21</xdr:row>
          <xdr:rowOff>123825</xdr:rowOff>
        </xdr:from>
        <xdr:to>
          <xdr:col>4</xdr:col>
          <xdr:colOff>142875</xdr:colOff>
          <xdr:row>23</xdr:row>
          <xdr:rowOff>66675</xdr:rowOff>
        </xdr:to>
        <xdr:sp macro="" textlink="">
          <xdr:nvSpPr>
            <xdr:cNvPr id="7178" name="Spinner 10" hidden="1">
              <a:extLst>
                <a:ext uri="{63B3BB69-23CF-44E3-9099-C40C66FF867C}">
                  <a14:compatExt spid="_x0000_s71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 fLock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</xdr:row>
          <xdr:rowOff>180975</xdr:rowOff>
        </xdr:from>
        <xdr:to>
          <xdr:col>11</xdr:col>
          <xdr:colOff>733425</xdr:colOff>
          <xdr:row>3</xdr:row>
          <xdr:rowOff>171450</xdr:rowOff>
        </xdr:to>
        <xdr:sp macro="" textlink="">
          <xdr:nvSpPr>
            <xdr:cNvPr id="1072" name="Drop Down 48" descr="Périodicité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76200</xdr:colOff>
          <xdr:row>4</xdr:row>
          <xdr:rowOff>0</xdr:rowOff>
        </xdr:from>
        <xdr:to>
          <xdr:col>11</xdr:col>
          <xdr:colOff>647700</xdr:colOff>
          <xdr:row>5</xdr:row>
          <xdr:rowOff>47625</xdr:rowOff>
        </xdr:to>
        <xdr:grpSp>
          <xdr:nvGrpSpPr>
            <xdr:cNvPr id="3" name="Groupe 2"/>
            <xdr:cNvGrpSpPr/>
          </xdr:nvGrpSpPr>
          <xdr:grpSpPr>
            <a:xfrm>
              <a:off x="11760200" y="804333"/>
              <a:ext cx="1460500" cy="248709"/>
              <a:chOff x="10829925" y="800102"/>
              <a:chExt cx="1457325" cy="247650"/>
            </a:xfrm>
          </xdr:grpSpPr>
          <xdr:sp macro="" textlink="">
            <xdr:nvSpPr>
              <xdr:cNvPr id="1080" name="Option Button 56" hidden="1">
                <a:extLst>
                  <a:ext uri="{63B3BB69-23CF-44E3-9099-C40C66FF867C}">
                    <a14:compatExt spid="_x0000_s1080"/>
                  </a:ext>
                </a:extLst>
              </xdr:cNvPr>
              <xdr:cNvSpPr/>
            </xdr:nvSpPr>
            <xdr:spPr bwMode="auto">
              <a:xfrm>
                <a:off x="10839450" y="809625"/>
                <a:ext cx="628650" cy="23812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rPr>
                  <a:t>actuariel</a:t>
                </a:r>
              </a:p>
            </xdr:txBody>
          </xdr:sp>
          <xdr:sp macro="" textlink="">
            <xdr:nvSpPr>
              <xdr:cNvPr id="1081" name="Option Button 57" hidden="1">
                <a:extLst>
                  <a:ext uri="{63B3BB69-23CF-44E3-9099-C40C66FF867C}">
                    <a14:compatExt spid="_x0000_s1081"/>
                  </a:ext>
                </a:extLst>
              </xdr:cNvPr>
              <xdr:cNvSpPr/>
            </xdr:nvSpPr>
            <xdr:spPr bwMode="auto">
              <a:xfrm>
                <a:off x="11439525" y="809625"/>
                <a:ext cx="819150" cy="23812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rPr>
                  <a:t>proportionnel</a:t>
                </a:r>
              </a:p>
            </xdr:txBody>
          </xdr:sp>
          <xdr:sp macro="" textlink="">
            <xdr:nvSpPr>
              <xdr:cNvPr id="1082" name="Group Box 58" hidden="1">
                <a:extLst>
                  <a:ext uri="{63B3BB69-23CF-44E3-9099-C40C66FF867C}">
                    <a14:compatExt spid="_x0000_s1082"/>
                  </a:ext>
                </a:extLst>
              </xdr:cNvPr>
              <xdr:cNvSpPr/>
            </xdr:nvSpPr>
            <xdr:spPr bwMode="auto">
              <a:xfrm>
                <a:off x="10829925" y="800102"/>
                <a:ext cx="1457325" cy="24765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1390650</xdr:colOff>
          <xdr:row>4</xdr:row>
          <xdr:rowOff>152400</xdr:rowOff>
        </xdr:from>
        <xdr:to>
          <xdr:col>13</xdr:col>
          <xdr:colOff>476250</xdr:colOff>
          <xdr:row>5</xdr:row>
          <xdr:rowOff>171450</xdr:rowOff>
        </xdr:to>
        <xdr:sp macro="" textlink="">
          <xdr:nvSpPr>
            <xdr:cNvPr id="1083" name="Option Button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simple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457200</xdr:colOff>
          <xdr:row>4</xdr:row>
          <xdr:rowOff>152400</xdr:rowOff>
        </xdr:from>
        <xdr:to>
          <xdr:col>14</xdr:col>
          <xdr:colOff>0</xdr:colOff>
          <xdr:row>5</xdr:row>
          <xdr:rowOff>171450</xdr:rowOff>
        </xdr:to>
        <xdr:sp macro="" textlink="">
          <xdr:nvSpPr>
            <xdr:cNvPr id="1084" name="Option Button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total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</xdr:row>
          <xdr:rowOff>123825</xdr:rowOff>
        </xdr:from>
        <xdr:to>
          <xdr:col>13</xdr:col>
          <xdr:colOff>895350</xdr:colOff>
          <xdr:row>5</xdr:row>
          <xdr:rowOff>171450</xdr:rowOff>
        </xdr:to>
        <xdr:sp macro="" textlink="">
          <xdr:nvSpPr>
            <xdr:cNvPr id="1085" name="Group Box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10</xdr:row>
          <xdr:rowOff>171450</xdr:rowOff>
        </xdr:from>
        <xdr:to>
          <xdr:col>11</xdr:col>
          <xdr:colOff>733425</xdr:colOff>
          <xdr:row>11</xdr:row>
          <xdr:rowOff>180975</xdr:rowOff>
        </xdr:to>
        <xdr:sp macro="" textlink="">
          <xdr:nvSpPr>
            <xdr:cNvPr id="1116" name="Drop Down 92" descr="Périodicité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28575</xdr:colOff>
          <xdr:row>12</xdr:row>
          <xdr:rowOff>19050</xdr:rowOff>
        </xdr:from>
        <xdr:to>
          <xdr:col>11</xdr:col>
          <xdr:colOff>600075</xdr:colOff>
          <xdr:row>13</xdr:row>
          <xdr:rowOff>66675</xdr:rowOff>
        </xdr:to>
        <xdr:grpSp>
          <xdr:nvGrpSpPr>
            <xdr:cNvPr id="4" name="Groupe 3"/>
            <xdr:cNvGrpSpPr/>
          </xdr:nvGrpSpPr>
          <xdr:grpSpPr>
            <a:xfrm>
              <a:off x="11712575" y="2432050"/>
              <a:ext cx="1460500" cy="248708"/>
              <a:chOff x="10782300" y="2381242"/>
              <a:chExt cx="1457325" cy="247650"/>
            </a:xfrm>
          </xdr:grpSpPr>
          <xdr:sp macro="" textlink="">
            <xdr:nvSpPr>
              <xdr:cNvPr id="1117" name="Option Button 93" hidden="1">
                <a:extLst>
                  <a:ext uri="{63B3BB69-23CF-44E3-9099-C40C66FF867C}">
                    <a14:compatExt spid="_x0000_s1117"/>
                  </a:ext>
                </a:extLst>
              </xdr:cNvPr>
              <xdr:cNvSpPr/>
            </xdr:nvSpPr>
            <xdr:spPr bwMode="auto">
              <a:xfrm>
                <a:off x="10820400" y="2390775"/>
                <a:ext cx="628650" cy="2286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rPr>
                  <a:t>actuariel</a:t>
                </a:r>
              </a:p>
            </xdr:txBody>
          </xdr:sp>
          <xdr:sp macro="" textlink="">
            <xdr:nvSpPr>
              <xdr:cNvPr id="1118" name="Option Button 94" hidden="1">
                <a:extLst>
                  <a:ext uri="{63B3BB69-23CF-44E3-9099-C40C66FF867C}">
                    <a14:compatExt spid="_x0000_s1118"/>
                  </a:ext>
                </a:extLst>
              </xdr:cNvPr>
              <xdr:cNvSpPr/>
            </xdr:nvSpPr>
            <xdr:spPr bwMode="auto">
              <a:xfrm>
                <a:off x="11420475" y="2390775"/>
                <a:ext cx="819150" cy="2286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rPr>
                  <a:t>proportionnel</a:t>
                </a:r>
              </a:p>
            </xdr:txBody>
          </xdr:sp>
          <xdr:sp macro="" textlink="">
            <xdr:nvSpPr>
              <xdr:cNvPr id="1119" name="Group Box 95" hidden="1">
                <a:extLst>
                  <a:ext uri="{63B3BB69-23CF-44E3-9099-C40C66FF867C}">
                    <a14:compatExt spid="_x0000_s1119"/>
                  </a:ext>
                </a:extLst>
              </xdr:cNvPr>
              <xdr:cNvSpPr/>
            </xdr:nvSpPr>
            <xdr:spPr bwMode="auto">
              <a:xfrm>
                <a:off x="10782300" y="2381242"/>
                <a:ext cx="1457325" cy="24765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1417119</xdr:colOff>
          <xdr:row>12</xdr:row>
          <xdr:rowOff>114300</xdr:rowOff>
        </xdr:from>
        <xdr:to>
          <xdr:col>13</xdr:col>
          <xdr:colOff>888697</xdr:colOff>
          <xdr:row>13</xdr:row>
          <xdr:rowOff>161925</xdr:rowOff>
        </xdr:to>
        <xdr:grpSp>
          <xdr:nvGrpSpPr>
            <xdr:cNvPr id="5" name="Groupe 4"/>
            <xdr:cNvGrpSpPr/>
          </xdr:nvGrpSpPr>
          <xdr:grpSpPr>
            <a:xfrm>
              <a:off x="14752119" y="2527300"/>
              <a:ext cx="921495" cy="248708"/>
              <a:chOff x="14540588" y="2428873"/>
              <a:chExt cx="1042306" cy="247650"/>
            </a:xfrm>
          </xdr:grpSpPr>
          <xdr:sp macro="" textlink="">
            <xdr:nvSpPr>
              <xdr:cNvPr id="1120" name="Option Button 96" hidden="1">
                <a:extLst>
                  <a:ext uri="{63B3BB69-23CF-44E3-9099-C40C66FF867C}">
                    <a14:compatExt spid="_x0000_s1120"/>
                  </a:ext>
                </a:extLst>
              </xdr:cNvPr>
              <xdr:cNvSpPr/>
            </xdr:nvSpPr>
            <xdr:spPr bwMode="auto">
              <a:xfrm>
                <a:off x="14540588" y="2447925"/>
                <a:ext cx="533400" cy="21907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rPr>
                  <a:t>simple</a:t>
                </a:r>
              </a:p>
            </xdr:txBody>
          </xdr:sp>
          <xdr:sp macro="" textlink="">
            <xdr:nvSpPr>
              <xdr:cNvPr id="1121" name="Option Button 97" hidden="1">
                <a:extLst>
                  <a:ext uri="{63B3BB69-23CF-44E3-9099-C40C66FF867C}">
                    <a14:compatExt spid="_x0000_s1121"/>
                  </a:ext>
                </a:extLst>
              </xdr:cNvPr>
              <xdr:cNvSpPr/>
            </xdr:nvSpPr>
            <xdr:spPr bwMode="auto">
              <a:xfrm>
                <a:off x="15085847" y="2447925"/>
                <a:ext cx="447675" cy="21907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rPr>
                  <a:t>total</a:t>
                </a:r>
              </a:p>
            </xdr:txBody>
          </xdr:sp>
          <xdr:sp macro="" textlink="">
            <xdr:nvSpPr>
              <xdr:cNvPr id="1122" name="Group Box 98" hidden="1">
                <a:extLst>
                  <a:ext uri="{63B3BB69-23CF-44E3-9099-C40C66FF867C}">
                    <a14:compatExt spid="_x0000_s1122"/>
                  </a:ext>
                </a:extLst>
              </xdr:cNvPr>
              <xdr:cNvSpPr/>
            </xdr:nvSpPr>
            <xdr:spPr bwMode="auto">
              <a:xfrm>
                <a:off x="14554194" y="2428873"/>
                <a:ext cx="1028700" cy="24765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609600</xdr:colOff>
          <xdr:row>21</xdr:row>
          <xdr:rowOff>57150</xdr:rowOff>
        </xdr:from>
        <xdr:to>
          <xdr:col>3</xdr:col>
          <xdr:colOff>781050</xdr:colOff>
          <xdr:row>22</xdr:row>
          <xdr:rowOff>133350</xdr:rowOff>
        </xdr:to>
        <xdr:sp macro="" textlink="">
          <xdr:nvSpPr>
            <xdr:cNvPr id="1137" name="Group Box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Type Amortissement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685800</xdr:colOff>
          <xdr:row>21</xdr:row>
          <xdr:rowOff>85725</xdr:rowOff>
        </xdr:from>
        <xdr:to>
          <xdr:col>2</xdr:col>
          <xdr:colOff>1152525</xdr:colOff>
          <xdr:row>22</xdr:row>
          <xdr:rowOff>104775</xdr:rowOff>
        </xdr:to>
        <xdr:sp macro="" textlink="">
          <xdr:nvSpPr>
            <xdr:cNvPr id="1138" name="Option Button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Linéaire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1438275</xdr:colOff>
          <xdr:row>21</xdr:row>
          <xdr:rowOff>85725</xdr:rowOff>
        </xdr:from>
        <xdr:to>
          <xdr:col>3</xdr:col>
          <xdr:colOff>381000</xdr:colOff>
          <xdr:row>22</xdr:row>
          <xdr:rowOff>104775</xdr:rowOff>
        </xdr:to>
        <xdr:sp macro="" textlink="">
          <xdr:nvSpPr>
            <xdr:cNvPr id="1139" name="Option Button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Dégréssif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9525</xdr:colOff>
          <xdr:row>5</xdr:row>
          <xdr:rowOff>85725</xdr:rowOff>
        </xdr:from>
        <xdr:to>
          <xdr:col>11</xdr:col>
          <xdr:colOff>723900</xdr:colOff>
          <xdr:row>6</xdr:row>
          <xdr:rowOff>142875</xdr:rowOff>
        </xdr:to>
        <xdr:grpSp>
          <xdr:nvGrpSpPr>
            <xdr:cNvPr id="2" name="Groupe 1"/>
            <xdr:cNvGrpSpPr/>
          </xdr:nvGrpSpPr>
          <xdr:grpSpPr>
            <a:xfrm>
              <a:off x="11693525" y="1091142"/>
              <a:ext cx="1603375" cy="258233"/>
              <a:chOff x="20412088" y="1085852"/>
              <a:chExt cx="1476375" cy="257173"/>
            </a:xfrm>
          </xdr:grpSpPr>
          <xdr:sp macro="" textlink="">
            <xdr:nvSpPr>
              <xdr:cNvPr id="1133" name="Group Box 109" hidden="1">
                <a:extLst>
                  <a:ext uri="{63B3BB69-23CF-44E3-9099-C40C66FF867C}">
                    <a14:compatExt spid="_x0000_s1133"/>
                  </a:ext>
                </a:extLst>
              </xdr:cNvPr>
              <xdr:cNvSpPr/>
            </xdr:nvSpPr>
            <xdr:spPr bwMode="auto">
              <a:xfrm>
                <a:off x="20412088" y="1085852"/>
                <a:ext cx="1476375" cy="24765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  <xdr:txBody>
              <a:bodyPr vertOverflow="clip" wrap="none" lIns="27432" tIns="18288" rIns="0" bIns="0" anchor="t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ea typeface="Segoe UI"/>
                    <a:cs typeface="Segoe UI"/>
                  </a:rPr>
                  <a:t>Financement à</a:t>
                </a:r>
              </a:p>
            </xdr:txBody>
          </xdr:sp>
          <xdr:sp macro="" textlink="">
            <xdr:nvSpPr>
              <xdr:cNvPr id="1140" name="Option Button 116" hidden="1">
                <a:extLst>
                  <a:ext uri="{63B3BB69-23CF-44E3-9099-C40C66FF867C}">
                    <a14:compatExt spid="_x0000_s1140"/>
                  </a:ext>
                </a:extLst>
              </xdr:cNvPr>
              <xdr:cNvSpPr/>
            </xdr:nvSpPr>
            <xdr:spPr bwMode="auto">
              <a:xfrm>
                <a:off x="20421600" y="1123950"/>
                <a:ext cx="371475" cy="21907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ea typeface="Segoe UI"/>
                    <a:cs typeface="Segoe UI"/>
                  </a:rPr>
                  <a:t>100%</a:t>
                </a:r>
              </a:p>
            </xdr:txBody>
          </xdr:sp>
          <xdr:sp macro="" textlink="">
            <xdr:nvSpPr>
              <xdr:cNvPr id="1141" name="Option Button 117" hidden="1">
                <a:extLst>
                  <a:ext uri="{63B3BB69-23CF-44E3-9099-C40C66FF867C}">
                    <a14:compatExt spid="_x0000_s1141"/>
                  </a:ext>
                </a:extLst>
              </xdr:cNvPr>
              <xdr:cNvSpPr/>
            </xdr:nvSpPr>
            <xdr:spPr bwMode="auto">
              <a:xfrm>
                <a:off x="20955000" y="1123950"/>
                <a:ext cx="419100" cy="21907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ea typeface="Segoe UI"/>
                    <a:cs typeface="Segoe UI"/>
                  </a:rPr>
                  <a:t>110%</a:t>
                </a:r>
              </a:p>
            </xdr:txBody>
          </xdr:sp>
          <xdr:sp macro="" textlink="">
            <xdr:nvSpPr>
              <xdr:cNvPr id="1142" name="Option Button 118" hidden="1">
                <a:extLst>
                  <a:ext uri="{63B3BB69-23CF-44E3-9099-C40C66FF867C}">
                    <a14:compatExt spid="_x0000_s1142"/>
                  </a:ext>
                </a:extLst>
              </xdr:cNvPr>
              <xdr:cNvSpPr/>
            </xdr:nvSpPr>
            <xdr:spPr bwMode="auto">
              <a:xfrm>
                <a:off x="21412200" y="1123950"/>
                <a:ext cx="333375" cy="21907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ea typeface="Segoe UI"/>
                    <a:cs typeface="Segoe UI"/>
                  </a:rPr>
                  <a:t>150%</a:t>
                </a:r>
              </a:p>
            </xdr:txBody>
          </xdr:sp>
        </xdr:grpSp>
        <xdr:clientData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482600</xdr:colOff>
      <xdr:row>9</xdr:row>
      <xdr:rowOff>12700</xdr:rowOff>
    </xdr:from>
    <xdr:to>
      <xdr:col>12</xdr:col>
      <xdr:colOff>292100</xdr:colOff>
      <xdr:row>10</xdr:row>
      <xdr:rowOff>0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6216650" y="2212975"/>
          <a:ext cx="2962275" cy="22542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fr-FR" sz="1000" b="1" i="1" u="none" strike="noStrike" baseline="0">
              <a:solidFill>
                <a:srgbClr val="000000"/>
              </a:solidFill>
              <a:latin typeface="Helv"/>
              <a:ea typeface="Helv"/>
              <a:cs typeface="Helv"/>
            </a:rPr>
            <a:t>Noms utilisés + coordonnées des cellules</a:t>
          </a:r>
        </a:p>
      </xdr:txBody>
    </xdr:sp>
    <xdr:clientData/>
  </xdr:twoCellAnchor>
  <xdr:twoCellAnchor>
    <xdr:from>
      <xdr:col>8</xdr:col>
      <xdr:colOff>546100</xdr:colOff>
      <xdr:row>24</xdr:row>
      <xdr:rowOff>25400</xdr:rowOff>
    </xdr:from>
    <xdr:to>
      <xdr:col>12</xdr:col>
      <xdr:colOff>50800</xdr:colOff>
      <xdr:row>28</xdr:row>
      <xdr:rowOff>63500</xdr:rowOff>
    </xdr:to>
    <xdr:sp macro="" textlink="">
      <xdr:nvSpPr>
        <xdr:cNvPr id="3" name="Text Box 3"/>
        <xdr:cNvSpPr txBox="1">
          <a:spLocks noChangeArrowheads="1"/>
        </xdr:cNvSpPr>
      </xdr:nvSpPr>
      <xdr:spPr bwMode="auto">
        <a:xfrm>
          <a:off x="6280150" y="5130800"/>
          <a:ext cx="2657475" cy="8001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CC" mc:Ignorable="a14" a14:legacySpreadsheetColorIndex="26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Helv"/>
              <a:ea typeface="Helv"/>
              <a:cs typeface="Helv"/>
            </a:rPr>
            <a:t>La colonne H  contient des éléments pour l'ajustement automatique du nombre de lignes.</a:t>
          </a:r>
        </a:p>
        <a:p>
          <a:pPr algn="ctr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Helv"/>
              <a:ea typeface="Helv"/>
              <a:cs typeface="Helv"/>
            </a:rPr>
            <a:t>Les jours cumulés en fin de mois sont reportés en zone C40:D51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533400</xdr:colOff>
      <xdr:row>9</xdr:row>
      <xdr:rowOff>12700</xdr:rowOff>
    </xdr:from>
    <xdr:to>
      <xdr:col>13</xdr:col>
      <xdr:colOff>469900</xdr:colOff>
      <xdr:row>10</xdr:row>
      <xdr:rowOff>0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6410325" y="2222500"/>
          <a:ext cx="2984500" cy="22542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fr-FR" sz="1000" b="1" i="1" u="none" strike="noStrike" baseline="0">
              <a:solidFill>
                <a:srgbClr val="000000"/>
              </a:solidFill>
              <a:latin typeface="Helv"/>
              <a:ea typeface="Helv"/>
              <a:cs typeface="Helv"/>
            </a:rPr>
            <a:t>Noms utilisés + coordonnées des cellules</a:t>
          </a:r>
        </a:p>
      </xdr:txBody>
    </xdr:sp>
    <xdr:clientData/>
  </xdr:twoCellAnchor>
  <xdr:twoCellAnchor>
    <xdr:from>
      <xdr:col>9</xdr:col>
      <xdr:colOff>571500</xdr:colOff>
      <xdr:row>20</xdr:row>
      <xdr:rowOff>50800</xdr:rowOff>
    </xdr:from>
    <xdr:to>
      <xdr:col>13</xdr:col>
      <xdr:colOff>787400</xdr:colOff>
      <xdr:row>23</xdr:row>
      <xdr:rowOff>101600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6448425" y="4403725"/>
          <a:ext cx="3235325" cy="6223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CC" mc:Ignorable="a14" a14:legacySpreadsheetColorIndex="26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Helv"/>
              <a:ea typeface="Helv"/>
              <a:cs typeface="Helv"/>
            </a:rPr>
            <a:t>Les colonnes H et I contiennent des éléments pour l'ajustement automatique du nombre de lignes ainsi que pour le passage au mode linéaire</a:t>
          </a: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295275</xdr:colOff>
          <xdr:row>5</xdr:row>
          <xdr:rowOff>76200</xdr:rowOff>
        </xdr:from>
        <xdr:to>
          <xdr:col>6</xdr:col>
          <xdr:colOff>190500</xdr:colOff>
          <xdr:row>7</xdr:row>
          <xdr:rowOff>66675</xdr:rowOff>
        </xdr:to>
        <xdr:sp macro="" textlink="">
          <xdr:nvSpPr>
            <xdr:cNvPr id="17409" name="Group Box 1" hidden="1">
              <a:extLst>
                <a:ext uri="{63B3BB69-23CF-44E3-9099-C40C66FF867C}">
                  <a14:compatExt spid="_x0000_s174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361950</xdr:colOff>
          <xdr:row>5</xdr:row>
          <xdr:rowOff>114300</xdr:rowOff>
        </xdr:from>
        <xdr:to>
          <xdr:col>3</xdr:col>
          <xdr:colOff>381000</xdr:colOff>
          <xdr:row>7</xdr:row>
          <xdr:rowOff>28575</xdr:rowOff>
        </xdr:to>
        <xdr:sp macro="" textlink="">
          <xdr:nvSpPr>
            <xdr:cNvPr id="17410" name="Option Button 2" hidden="1">
              <a:extLst>
                <a:ext uri="{63B3BB69-23CF-44E3-9099-C40C66FF867C}">
                  <a14:compatExt spid="_x0000_s174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Remboursement d'échéance fixe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685800</xdr:colOff>
          <xdr:row>5</xdr:row>
          <xdr:rowOff>114300</xdr:rowOff>
        </xdr:from>
        <xdr:to>
          <xdr:col>6</xdr:col>
          <xdr:colOff>19050</xdr:colOff>
          <xdr:row>7</xdr:row>
          <xdr:rowOff>9525</xdr:rowOff>
        </xdr:to>
        <xdr:sp macro="" textlink="">
          <xdr:nvSpPr>
            <xdr:cNvPr id="17411" name="Option Button 3" hidden="1">
              <a:extLst>
                <a:ext uri="{63B3BB69-23CF-44E3-9099-C40C66FF867C}">
                  <a14:compatExt spid="_x0000_s1741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Remboursement du capital constant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95250</xdr:colOff>
          <xdr:row>11</xdr:row>
          <xdr:rowOff>57150</xdr:rowOff>
        </xdr:from>
        <xdr:to>
          <xdr:col>3</xdr:col>
          <xdr:colOff>104775</xdr:colOff>
          <xdr:row>12</xdr:row>
          <xdr:rowOff>114300</xdr:rowOff>
        </xdr:to>
        <xdr:sp macro="" textlink="">
          <xdr:nvSpPr>
            <xdr:cNvPr id="17412" name="Check Box 4" hidden="1">
              <a:extLst>
                <a:ext uri="{63B3BB69-23CF-44E3-9099-C40C66FF867C}">
                  <a14:compatExt spid="_x0000_s1741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Limiter la durée d'amortissement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85725</xdr:colOff>
          <xdr:row>14</xdr:row>
          <xdr:rowOff>19050</xdr:rowOff>
        </xdr:from>
        <xdr:to>
          <xdr:col>3</xdr:col>
          <xdr:colOff>838200</xdr:colOff>
          <xdr:row>15</xdr:row>
          <xdr:rowOff>76200</xdr:rowOff>
        </xdr:to>
        <xdr:sp macro="" textlink="">
          <xdr:nvSpPr>
            <xdr:cNvPr id="17413" name="Check Box 5" hidden="1">
              <a:extLst>
                <a:ext uri="{63B3BB69-23CF-44E3-9099-C40C66FF867C}">
                  <a14:compatExt spid="_x0000_s174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Rembourser le capital restant à cette limite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38100</xdr:colOff>
          <xdr:row>24</xdr:row>
          <xdr:rowOff>9525</xdr:rowOff>
        </xdr:from>
        <xdr:to>
          <xdr:col>4</xdr:col>
          <xdr:colOff>57150</xdr:colOff>
          <xdr:row>25</xdr:row>
          <xdr:rowOff>66675</xdr:rowOff>
        </xdr:to>
        <xdr:sp macro="" textlink="">
          <xdr:nvSpPr>
            <xdr:cNvPr id="17414" name="Option Button 6" hidden="1">
              <a:extLst>
                <a:ext uri="{63B3BB69-23CF-44E3-9099-C40C66FF867C}">
                  <a14:compatExt spid="_x0000_s174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1- Échéance standard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38100</xdr:colOff>
          <xdr:row>25</xdr:row>
          <xdr:rowOff>85725</xdr:rowOff>
        </xdr:from>
        <xdr:to>
          <xdr:col>5</xdr:col>
          <xdr:colOff>352425</xdr:colOff>
          <xdr:row>26</xdr:row>
          <xdr:rowOff>142875</xdr:rowOff>
        </xdr:to>
        <xdr:sp macro="" textlink="">
          <xdr:nvSpPr>
            <xdr:cNvPr id="17415" name="Option Button 7" hidden="1">
              <a:extLst>
                <a:ext uri="{63B3BB69-23CF-44E3-9099-C40C66FF867C}">
                  <a14:compatExt spid="_x0000_s174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2- Échéance avec intérêts proportionnels à la durée réelle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723900</xdr:colOff>
          <xdr:row>23</xdr:row>
          <xdr:rowOff>85725</xdr:rowOff>
        </xdr:from>
        <xdr:to>
          <xdr:col>5</xdr:col>
          <xdr:colOff>600075</xdr:colOff>
          <xdr:row>30</xdr:row>
          <xdr:rowOff>85725</xdr:rowOff>
        </xdr:to>
        <xdr:sp macro="" textlink="">
          <xdr:nvSpPr>
            <xdr:cNvPr id="17416" name="Group Box 8" hidden="1">
              <a:extLst>
                <a:ext uri="{63B3BB69-23CF-44E3-9099-C40C66FF867C}">
                  <a14:compatExt spid="_x0000_s1741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38100</xdr:colOff>
          <xdr:row>27</xdr:row>
          <xdr:rowOff>9525</xdr:rowOff>
        </xdr:from>
        <xdr:to>
          <xdr:col>4</xdr:col>
          <xdr:colOff>180975</xdr:colOff>
          <xdr:row>28</xdr:row>
          <xdr:rowOff>66675</xdr:rowOff>
        </xdr:to>
        <xdr:sp macro="" textlink="">
          <xdr:nvSpPr>
            <xdr:cNvPr id="17417" name="Option Button 9" hidden="1">
              <a:extLst>
                <a:ext uri="{63B3BB69-23CF-44E3-9099-C40C66FF867C}">
                  <a14:compatExt spid="_x0000_s174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3- Échéance avec montants forcés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809625</xdr:colOff>
          <xdr:row>21</xdr:row>
          <xdr:rowOff>123825</xdr:rowOff>
        </xdr:from>
        <xdr:to>
          <xdr:col>4</xdr:col>
          <xdr:colOff>142875</xdr:colOff>
          <xdr:row>23</xdr:row>
          <xdr:rowOff>66675</xdr:rowOff>
        </xdr:to>
        <xdr:sp macro="" textlink="">
          <xdr:nvSpPr>
            <xdr:cNvPr id="17418" name="Spinner 10" hidden="1">
              <a:extLst>
                <a:ext uri="{63B3BB69-23CF-44E3-9099-C40C66FF867C}">
                  <a14:compatExt spid="_x0000_s174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 fLocksWithSheet="0"/>
      </xdr:twoCellAnchor>
    </mc:Choice>
    <mc:Fallback/>
  </mc:AlternateContent>
</xdr:wsDr>
</file>

<file path=xl/drawings/drawing9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295275</xdr:colOff>
          <xdr:row>5</xdr:row>
          <xdr:rowOff>76200</xdr:rowOff>
        </xdr:from>
        <xdr:to>
          <xdr:col>6</xdr:col>
          <xdr:colOff>190500</xdr:colOff>
          <xdr:row>7</xdr:row>
          <xdr:rowOff>66675</xdr:rowOff>
        </xdr:to>
        <xdr:sp macro="" textlink="">
          <xdr:nvSpPr>
            <xdr:cNvPr id="18433" name="Group Box 1" hidden="1">
              <a:extLst>
                <a:ext uri="{63B3BB69-23CF-44E3-9099-C40C66FF867C}">
                  <a14:compatExt spid="_x0000_s184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361950</xdr:colOff>
          <xdr:row>5</xdr:row>
          <xdr:rowOff>114300</xdr:rowOff>
        </xdr:from>
        <xdr:to>
          <xdr:col>3</xdr:col>
          <xdr:colOff>381000</xdr:colOff>
          <xdr:row>7</xdr:row>
          <xdr:rowOff>28575</xdr:rowOff>
        </xdr:to>
        <xdr:sp macro="" textlink="">
          <xdr:nvSpPr>
            <xdr:cNvPr id="18434" name="Option Button 2" hidden="1">
              <a:extLst>
                <a:ext uri="{63B3BB69-23CF-44E3-9099-C40C66FF867C}">
                  <a14:compatExt spid="_x0000_s184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Remboursement d'échéance fixe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685800</xdr:colOff>
          <xdr:row>5</xdr:row>
          <xdr:rowOff>114300</xdr:rowOff>
        </xdr:from>
        <xdr:to>
          <xdr:col>6</xdr:col>
          <xdr:colOff>19050</xdr:colOff>
          <xdr:row>7</xdr:row>
          <xdr:rowOff>9525</xdr:rowOff>
        </xdr:to>
        <xdr:sp macro="" textlink="">
          <xdr:nvSpPr>
            <xdr:cNvPr id="18435" name="Option Button 3" hidden="1">
              <a:extLst>
                <a:ext uri="{63B3BB69-23CF-44E3-9099-C40C66FF867C}">
                  <a14:compatExt spid="_x0000_s184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Remboursement du capital constant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95250</xdr:colOff>
          <xdr:row>11</xdr:row>
          <xdr:rowOff>57150</xdr:rowOff>
        </xdr:from>
        <xdr:to>
          <xdr:col>3</xdr:col>
          <xdr:colOff>104775</xdr:colOff>
          <xdr:row>12</xdr:row>
          <xdr:rowOff>114300</xdr:rowOff>
        </xdr:to>
        <xdr:sp macro="" textlink="">
          <xdr:nvSpPr>
            <xdr:cNvPr id="18436" name="Check Box 4" hidden="1">
              <a:extLst>
                <a:ext uri="{63B3BB69-23CF-44E3-9099-C40C66FF867C}">
                  <a14:compatExt spid="_x0000_s184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Limiter la durée d'amortissement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85725</xdr:colOff>
          <xdr:row>14</xdr:row>
          <xdr:rowOff>19050</xdr:rowOff>
        </xdr:from>
        <xdr:to>
          <xdr:col>3</xdr:col>
          <xdr:colOff>838200</xdr:colOff>
          <xdr:row>15</xdr:row>
          <xdr:rowOff>76200</xdr:rowOff>
        </xdr:to>
        <xdr:sp macro="" textlink="">
          <xdr:nvSpPr>
            <xdr:cNvPr id="18437" name="Check Box 5" hidden="1">
              <a:extLst>
                <a:ext uri="{63B3BB69-23CF-44E3-9099-C40C66FF867C}">
                  <a14:compatExt spid="_x0000_s184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Rembourser le capital restant à cette limite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38100</xdr:colOff>
          <xdr:row>24</xdr:row>
          <xdr:rowOff>9525</xdr:rowOff>
        </xdr:from>
        <xdr:to>
          <xdr:col>4</xdr:col>
          <xdr:colOff>57150</xdr:colOff>
          <xdr:row>25</xdr:row>
          <xdr:rowOff>66675</xdr:rowOff>
        </xdr:to>
        <xdr:sp macro="" textlink="">
          <xdr:nvSpPr>
            <xdr:cNvPr id="18438" name="Option Button 6" hidden="1">
              <a:extLst>
                <a:ext uri="{63B3BB69-23CF-44E3-9099-C40C66FF867C}">
                  <a14:compatExt spid="_x0000_s184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1- Échéance standard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38100</xdr:colOff>
          <xdr:row>25</xdr:row>
          <xdr:rowOff>85725</xdr:rowOff>
        </xdr:from>
        <xdr:to>
          <xdr:col>5</xdr:col>
          <xdr:colOff>352425</xdr:colOff>
          <xdr:row>26</xdr:row>
          <xdr:rowOff>142875</xdr:rowOff>
        </xdr:to>
        <xdr:sp macro="" textlink="">
          <xdr:nvSpPr>
            <xdr:cNvPr id="18439" name="Option Button 7" hidden="1">
              <a:extLst>
                <a:ext uri="{63B3BB69-23CF-44E3-9099-C40C66FF867C}">
                  <a14:compatExt spid="_x0000_s184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2- Échéance avec intérêts proportionnels à la durée réelle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723900</xdr:colOff>
          <xdr:row>23</xdr:row>
          <xdr:rowOff>85725</xdr:rowOff>
        </xdr:from>
        <xdr:to>
          <xdr:col>5</xdr:col>
          <xdr:colOff>600075</xdr:colOff>
          <xdr:row>30</xdr:row>
          <xdr:rowOff>85725</xdr:rowOff>
        </xdr:to>
        <xdr:sp macro="" textlink="">
          <xdr:nvSpPr>
            <xdr:cNvPr id="18440" name="Group Box 8" hidden="1">
              <a:extLst>
                <a:ext uri="{63B3BB69-23CF-44E3-9099-C40C66FF867C}">
                  <a14:compatExt spid="_x0000_s184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38100</xdr:colOff>
          <xdr:row>27</xdr:row>
          <xdr:rowOff>9525</xdr:rowOff>
        </xdr:from>
        <xdr:to>
          <xdr:col>4</xdr:col>
          <xdr:colOff>180975</xdr:colOff>
          <xdr:row>28</xdr:row>
          <xdr:rowOff>66675</xdr:rowOff>
        </xdr:to>
        <xdr:sp macro="" textlink="">
          <xdr:nvSpPr>
            <xdr:cNvPr id="18441" name="Option Button 9" hidden="1">
              <a:extLst>
                <a:ext uri="{63B3BB69-23CF-44E3-9099-C40C66FF867C}">
                  <a14:compatExt spid="_x0000_s184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3- Échéance avec montants forcés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809625</xdr:colOff>
          <xdr:row>21</xdr:row>
          <xdr:rowOff>123825</xdr:rowOff>
        </xdr:from>
        <xdr:to>
          <xdr:col>4</xdr:col>
          <xdr:colOff>142875</xdr:colOff>
          <xdr:row>23</xdr:row>
          <xdr:rowOff>66675</xdr:rowOff>
        </xdr:to>
        <xdr:sp macro="" textlink="">
          <xdr:nvSpPr>
            <xdr:cNvPr id="18442" name="Spinner 10" hidden="1">
              <a:extLst>
                <a:ext uri="{63B3BB69-23CF-44E3-9099-C40C66FF867C}">
                  <a14:compatExt spid="_x0000_s184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 fLocksWithSheet="0"/>
      </xdr:twoCellAnchor>
    </mc:Choice>
    <mc:Fallback/>
  </mc:AlternateContent>
</xdr:wsDr>
</file>

<file path=xl/drawings/drawing10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47625</xdr:colOff>
          <xdr:row>4</xdr:row>
          <xdr:rowOff>152400</xdr:rowOff>
        </xdr:from>
        <xdr:to>
          <xdr:col>17</xdr:col>
          <xdr:colOff>371475</xdr:colOff>
          <xdr:row>5</xdr:row>
          <xdr:rowOff>161925</xdr:rowOff>
        </xdr:to>
        <xdr:sp macro="" textlink="">
          <xdr:nvSpPr>
            <xdr:cNvPr id="19457" name="Drop Down 1" descr="Périodicité" hidden="1">
              <a:extLst>
                <a:ext uri="{63B3BB69-23CF-44E3-9099-C40C66FF867C}">
                  <a14:compatExt spid="_x0000_s194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</xdr:row>
          <xdr:rowOff>28575</xdr:rowOff>
        </xdr:from>
        <xdr:to>
          <xdr:col>12</xdr:col>
          <xdr:colOff>638175</xdr:colOff>
          <xdr:row>6</xdr:row>
          <xdr:rowOff>66675</xdr:rowOff>
        </xdr:to>
        <xdr:sp macro="" textlink="">
          <xdr:nvSpPr>
            <xdr:cNvPr id="19458" name="Option Button 2" hidden="1">
              <a:extLst>
                <a:ext uri="{63B3BB69-23CF-44E3-9099-C40C66FF867C}">
                  <a14:compatExt spid="_x0000_s194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actuariel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609600</xdr:colOff>
          <xdr:row>5</xdr:row>
          <xdr:rowOff>28575</xdr:rowOff>
        </xdr:from>
        <xdr:to>
          <xdr:col>13</xdr:col>
          <xdr:colOff>666750</xdr:colOff>
          <xdr:row>6</xdr:row>
          <xdr:rowOff>66675</xdr:rowOff>
        </xdr:to>
        <xdr:sp macro="" textlink="">
          <xdr:nvSpPr>
            <xdr:cNvPr id="19459" name="Option Button 3" hidden="1">
              <a:extLst>
                <a:ext uri="{63B3BB69-23CF-44E3-9099-C40C66FF867C}">
                  <a14:compatExt spid="_x0000_s194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proportionnel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5</xdr:row>
          <xdr:rowOff>19050</xdr:rowOff>
        </xdr:from>
        <xdr:to>
          <xdr:col>13</xdr:col>
          <xdr:colOff>695325</xdr:colOff>
          <xdr:row>6</xdr:row>
          <xdr:rowOff>66675</xdr:rowOff>
        </xdr:to>
        <xdr:sp macro="" textlink="">
          <xdr:nvSpPr>
            <xdr:cNvPr id="19460" name="Group Box 4" hidden="1">
              <a:extLst>
                <a:ext uri="{63B3BB69-23CF-44E3-9099-C40C66FF867C}">
                  <a14:compatExt spid="_x0000_s194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504825</xdr:colOff>
          <xdr:row>4</xdr:row>
          <xdr:rowOff>47625</xdr:rowOff>
        </xdr:from>
        <xdr:to>
          <xdr:col>22</xdr:col>
          <xdr:colOff>276225</xdr:colOff>
          <xdr:row>5</xdr:row>
          <xdr:rowOff>66675</xdr:rowOff>
        </xdr:to>
        <xdr:sp macro="" textlink="">
          <xdr:nvSpPr>
            <xdr:cNvPr id="19461" name="Option Button 5" hidden="1">
              <a:extLst>
                <a:ext uri="{63B3BB69-23CF-44E3-9099-C40C66FF867C}">
                  <a14:compatExt spid="_x0000_s194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simple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238125</xdr:colOff>
          <xdr:row>4</xdr:row>
          <xdr:rowOff>47625</xdr:rowOff>
        </xdr:from>
        <xdr:to>
          <xdr:col>22</xdr:col>
          <xdr:colOff>685800</xdr:colOff>
          <xdr:row>5</xdr:row>
          <xdr:rowOff>66675</xdr:rowOff>
        </xdr:to>
        <xdr:sp macro="" textlink="">
          <xdr:nvSpPr>
            <xdr:cNvPr id="19462" name="Option Button 6" hidden="1">
              <a:extLst>
                <a:ext uri="{63B3BB69-23CF-44E3-9099-C40C66FF867C}">
                  <a14:compatExt spid="_x0000_s194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total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485775</xdr:colOff>
          <xdr:row>4</xdr:row>
          <xdr:rowOff>28575</xdr:rowOff>
        </xdr:from>
        <xdr:to>
          <xdr:col>22</xdr:col>
          <xdr:colOff>752475</xdr:colOff>
          <xdr:row>5</xdr:row>
          <xdr:rowOff>76200</xdr:rowOff>
        </xdr:to>
        <xdr:sp macro="" textlink="">
          <xdr:nvSpPr>
            <xdr:cNvPr id="19463" name="Group Box 7" hidden="1">
              <a:extLst>
                <a:ext uri="{63B3BB69-23CF-44E3-9099-C40C66FF867C}">
                  <a14:compatExt spid="_x0000_s194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47625</xdr:colOff>
          <xdr:row>12</xdr:row>
          <xdr:rowOff>152400</xdr:rowOff>
        </xdr:from>
        <xdr:to>
          <xdr:col>17</xdr:col>
          <xdr:colOff>371475</xdr:colOff>
          <xdr:row>13</xdr:row>
          <xdr:rowOff>161925</xdr:rowOff>
        </xdr:to>
        <xdr:sp macro="" textlink="">
          <xdr:nvSpPr>
            <xdr:cNvPr id="19464" name="Drop Down 8" descr="Périodicité" hidden="1">
              <a:extLst>
                <a:ext uri="{63B3BB69-23CF-44E3-9099-C40C66FF867C}">
                  <a14:compatExt spid="_x0000_s194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13</xdr:row>
          <xdr:rowOff>28575</xdr:rowOff>
        </xdr:from>
        <xdr:to>
          <xdr:col>12</xdr:col>
          <xdr:colOff>638175</xdr:colOff>
          <xdr:row>14</xdr:row>
          <xdr:rowOff>57150</xdr:rowOff>
        </xdr:to>
        <xdr:sp macro="" textlink="">
          <xdr:nvSpPr>
            <xdr:cNvPr id="19465" name="Option Button 9" hidden="1">
              <a:extLst>
                <a:ext uri="{63B3BB69-23CF-44E3-9099-C40C66FF867C}">
                  <a14:compatExt spid="_x0000_s194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actuariel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609600</xdr:colOff>
          <xdr:row>13</xdr:row>
          <xdr:rowOff>28575</xdr:rowOff>
        </xdr:from>
        <xdr:to>
          <xdr:col>13</xdr:col>
          <xdr:colOff>666750</xdr:colOff>
          <xdr:row>14</xdr:row>
          <xdr:rowOff>57150</xdr:rowOff>
        </xdr:to>
        <xdr:sp macro="" textlink="">
          <xdr:nvSpPr>
            <xdr:cNvPr id="19466" name="Option Button 10" hidden="1">
              <a:extLst>
                <a:ext uri="{63B3BB69-23CF-44E3-9099-C40C66FF867C}">
                  <a14:compatExt spid="_x0000_s194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proportionnel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13</xdr:row>
          <xdr:rowOff>19050</xdr:rowOff>
        </xdr:from>
        <xdr:to>
          <xdr:col>13</xdr:col>
          <xdr:colOff>695325</xdr:colOff>
          <xdr:row>14</xdr:row>
          <xdr:rowOff>66675</xdr:rowOff>
        </xdr:to>
        <xdr:sp macro="" textlink="">
          <xdr:nvSpPr>
            <xdr:cNvPr id="19467" name="Group Box 11" hidden="1">
              <a:extLst>
                <a:ext uri="{63B3BB69-23CF-44E3-9099-C40C66FF867C}">
                  <a14:compatExt spid="_x0000_s1946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504825</xdr:colOff>
          <xdr:row>12</xdr:row>
          <xdr:rowOff>47625</xdr:rowOff>
        </xdr:from>
        <xdr:to>
          <xdr:col>22</xdr:col>
          <xdr:colOff>276225</xdr:colOff>
          <xdr:row>13</xdr:row>
          <xdr:rowOff>66675</xdr:rowOff>
        </xdr:to>
        <xdr:sp macro="" textlink="">
          <xdr:nvSpPr>
            <xdr:cNvPr id="19468" name="Option Button 12" hidden="1">
              <a:extLst>
                <a:ext uri="{63B3BB69-23CF-44E3-9099-C40C66FF867C}">
                  <a14:compatExt spid="_x0000_s1946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simple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238125</xdr:colOff>
          <xdr:row>12</xdr:row>
          <xdr:rowOff>47625</xdr:rowOff>
        </xdr:from>
        <xdr:to>
          <xdr:col>22</xdr:col>
          <xdr:colOff>685800</xdr:colOff>
          <xdr:row>13</xdr:row>
          <xdr:rowOff>66675</xdr:rowOff>
        </xdr:to>
        <xdr:sp macro="" textlink="">
          <xdr:nvSpPr>
            <xdr:cNvPr id="19469" name="Option Button 13" hidden="1">
              <a:extLst>
                <a:ext uri="{63B3BB69-23CF-44E3-9099-C40C66FF867C}">
                  <a14:compatExt spid="_x0000_s194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total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485775</xdr:colOff>
          <xdr:row>12</xdr:row>
          <xdr:rowOff>28575</xdr:rowOff>
        </xdr:from>
        <xdr:to>
          <xdr:col>22</xdr:col>
          <xdr:colOff>752475</xdr:colOff>
          <xdr:row>13</xdr:row>
          <xdr:rowOff>76200</xdr:rowOff>
        </xdr:to>
        <xdr:sp macro="" textlink="">
          <xdr:nvSpPr>
            <xdr:cNvPr id="19470" name="Group Box 14" hidden="1">
              <a:extLst>
                <a:ext uri="{63B3BB69-23CF-44E3-9099-C40C66FF867C}">
                  <a14:compatExt spid="_x0000_s194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800100</xdr:colOff>
          <xdr:row>30</xdr:row>
          <xdr:rowOff>190500</xdr:rowOff>
        </xdr:from>
        <xdr:to>
          <xdr:col>4</xdr:col>
          <xdr:colOff>1019175</xdr:colOff>
          <xdr:row>32</xdr:row>
          <xdr:rowOff>9525</xdr:rowOff>
        </xdr:to>
        <xdr:sp macro="" textlink="">
          <xdr:nvSpPr>
            <xdr:cNvPr id="19471" name="Option Button 15" hidden="1">
              <a:extLst>
                <a:ext uri="{63B3BB69-23CF-44E3-9099-C40C66FF867C}">
                  <a14:compatExt spid="_x0000_s1947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linéaire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885825</xdr:colOff>
          <xdr:row>30</xdr:row>
          <xdr:rowOff>190500</xdr:rowOff>
        </xdr:from>
        <xdr:to>
          <xdr:col>5</xdr:col>
          <xdr:colOff>400050</xdr:colOff>
          <xdr:row>32</xdr:row>
          <xdr:rowOff>9525</xdr:rowOff>
        </xdr:to>
        <xdr:sp macro="" textlink="">
          <xdr:nvSpPr>
            <xdr:cNvPr id="19472" name="Option Button 16" hidden="1">
              <a:extLst>
                <a:ext uri="{63B3BB69-23CF-44E3-9099-C40C66FF867C}">
                  <a14:compatExt spid="_x0000_s1947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dégresif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3" Type="http://schemas.openxmlformats.org/officeDocument/2006/relationships/vmlDrawing" Target="../drawings/vmlDrawing2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5.xml"/><Relationship Id="rId13" Type="http://schemas.openxmlformats.org/officeDocument/2006/relationships/ctrlProp" Target="../ctrlProps/ctrlProp20.xml"/><Relationship Id="rId3" Type="http://schemas.openxmlformats.org/officeDocument/2006/relationships/vmlDrawing" Target="../drawings/vmlDrawing3.vml"/><Relationship Id="rId7" Type="http://schemas.openxmlformats.org/officeDocument/2006/relationships/ctrlProp" Target="../ctrlProps/ctrlProp14.xml"/><Relationship Id="rId12" Type="http://schemas.openxmlformats.org/officeDocument/2006/relationships/ctrlProp" Target="../ctrlProps/ctrlProp19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13.xml"/><Relationship Id="rId11" Type="http://schemas.openxmlformats.org/officeDocument/2006/relationships/ctrlProp" Target="../ctrlProps/ctrlProp18.xml"/><Relationship Id="rId5" Type="http://schemas.openxmlformats.org/officeDocument/2006/relationships/ctrlProp" Target="../ctrlProps/ctrlProp12.xml"/><Relationship Id="rId10" Type="http://schemas.openxmlformats.org/officeDocument/2006/relationships/ctrlProp" Target="../ctrlProps/ctrlProp17.xml"/><Relationship Id="rId4" Type="http://schemas.openxmlformats.org/officeDocument/2006/relationships/ctrlProp" Target="../ctrlProps/ctrlProp11.xml"/><Relationship Id="rId9" Type="http://schemas.openxmlformats.org/officeDocument/2006/relationships/ctrlProp" Target="../ctrlProps/ctrlProp16.xml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25.xml"/><Relationship Id="rId13" Type="http://schemas.openxmlformats.org/officeDocument/2006/relationships/ctrlProp" Target="../ctrlProps/ctrlProp30.xml"/><Relationship Id="rId18" Type="http://schemas.openxmlformats.org/officeDocument/2006/relationships/ctrlProp" Target="../ctrlProps/ctrlProp35.xml"/><Relationship Id="rId3" Type="http://schemas.openxmlformats.org/officeDocument/2006/relationships/vmlDrawing" Target="../drawings/vmlDrawing4.vml"/><Relationship Id="rId21" Type="http://schemas.openxmlformats.org/officeDocument/2006/relationships/ctrlProp" Target="../ctrlProps/ctrlProp38.xml"/><Relationship Id="rId7" Type="http://schemas.openxmlformats.org/officeDocument/2006/relationships/ctrlProp" Target="../ctrlProps/ctrlProp24.xml"/><Relationship Id="rId12" Type="http://schemas.openxmlformats.org/officeDocument/2006/relationships/ctrlProp" Target="../ctrlProps/ctrlProp29.xml"/><Relationship Id="rId17" Type="http://schemas.openxmlformats.org/officeDocument/2006/relationships/ctrlProp" Target="../ctrlProps/ctrlProp34.xml"/><Relationship Id="rId2" Type="http://schemas.openxmlformats.org/officeDocument/2006/relationships/drawing" Target="../drawings/drawing5.xml"/><Relationship Id="rId16" Type="http://schemas.openxmlformats.org/officeDocument/2006/relationships/ctrlProp" Target="../ctrlProps/ctrlProp33.xml"/><Relationship Id="rId20" Type="http://schemas.openxmlformats.org/officeDocument/2006/relationships/ctrlProp" Target="../ctrlProps/ctrlProp37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23.xml"/><Relationship Id="rId11" Type="http://schemas.openxmlformats.org/officeDocument/2006/relationships/ctrlProp" Target="../ctrlProps/ctrlProp28.xml"/><Relationship Id="rId24" Type="http://schemas.openxmlformats.org/officeDocument/2006/relationships/ctrlProp" Target="../ctrlProps/ctrlProp41.xml"/><Relationship Id="rId5" Type="http://schemas.openxmlformats.org/officeDocument/2006/relationships/ctrlProp" Target="../ctrlProps/ctrlProp22.xml"/><Relationship Id="rId15" Type="http://schemas.openxmlformats.org/officeDocument/2006/relationships/ctrlProp" Target="../ctrlProps/ctrlProp32.xml"/><Relationship Id="rId23" Type="http://schemas.openxmlformats.org/officeDocument/2006/relationships/ctrlProp" Target="../ctrlProps/ctrlProp40.xml"/><Relationship Id="rId10" Type="http://schemas.openxmlformats.org/officeDocument/2006/relationships/ctrlProp" Target="../ctrlProps/ctrlProp27.xml"/><Relationship Id="rId19" Type="http://schemas.openxmlformats.org/officeDocument/2006/relationships/ctrlProp" Target="../ctrlProps/ctrlProp36.xml"/><Relationship Id="rId4" Type="http://schemas.openxmlformats.org/officeDocument/2006/relationships/ctrlProp" Target="../ctrlProps/ctrlProp21.xml"/><Relationship Id="rId9" Type="http://schemas.openxmlformats.org/officeDocument/2006/relationships/ctrlProp" Target="../ctrlProps/ctrlProp26.xml"/><Relationship Id="rId14" Type="http://schemas.openxmlformats.org/officeDocument/2006/relationships/ctrlProp" Target="../ctrlProps/ctrlProp31.xml"/><Relationship Id="rId22" Type="http://schemas.openxmlformats.org/officeDocument/2006/relationships/ctrlProp" Target="../ctrlProps/ctrlProp39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5.vml"/></Relationships>
</file>

<file path=xl/worksheets/_rels/sheet13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46.xml"/><Relationship Id="rId13" Type="http://schemas.openxmlformats.org/officeDocument/2006/relationships/ctrlProp" Target="../ctrlProps/ctrlProp51.xml"/><Relationship Id="rId3" Type="http://schemas.openxmlformats.org/officeDocument/2006/relationships/vmlDrawing" Target="../drawings/vmlDrawing6.vml"/><Relationship Id="rId7" Type="http://schemas.openxmlformats.org/officeDocument/2006/relationships/ctrlProp" Target="../ctrlProps/ctrlProp45.xml"/><Relationship Id="rId12" Type="http://schemas.openxmlformats.org/officeDocument/2006/relationships/ctrlProp" Target="../ctrlProps/ctrlProp50.x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5.bin"/><Relationship Id="rId6" Type="http://schemas.openxmlformats.org/officeDocument/2006/relationships/ctrlProp" Target="../ctrlProps/ctrlProp44.xml"/><Relationship Id="rId11" Type="http://schemas.openxmlformats.org/officeDocument/2006/relationships/ctrlProp" Target="../ctrlProps/ctrlProp49.xml"/><Relationship Id="rId5" Type="http://schemas.openxmlformats.org/officeDocument/2006/relationships/ctrlProp" Target="../ctrlProps/ctrlProp43.xml"/><Relationship Id="rId10" Type="http://schemas.openxmlformats.org/officeDocument/2006/relationships/ctrlProp" Target="../ctrlProps/ctrlProp48.xml"/><Relationship Id="rId4" Type="http://schemas.openxmlformats.org/officeDocument/2006/relationships/ctrlProp" Target="../ctrlProps/ctrlProp42.xml"/><Relationship Id="rId9" Type="http://schemas.openxmlformats.org/officeDocument/2006/relationships/ctrlProp" Target="../ctrlProps/ctrlProp47.xml"/></Relationships>
</file>

<file path=xl/worksheets/_rels/sheet14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6.xml"/><Relationship Id="rId13" Type="http://schemas.openxmlformats.org/officeDocument/2006/relationships/ctrlProp" Target="../ctrlProps/ctrlProp61.xml"/><Relationship Id="rId3" Type="http://schemas.openxmlformats.org/officeDocument/2006/relationships/vmlDrawing" Target="../drawings/vmlDrawing7.vml"/><Relationship Id="rId7" Type="http://schemas.openxmlformats.org/officeDocument/2006/relationships/ctrlProp" Target="../ctrlProps/ctrlProp55.xml"/><Relationship Id="rId12" Type="http://schemas.openxmlformats.org/officeDocument/2006/relationships/ctrlProp" Target="../ctrlProps/ctrlProp60.x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6.bin"/><Relationship Id="rId6" Type="http://schemas.openxmlformats.org/officeDocument/2006/relationships/ctrlProp" Target="../ctrlProps/ctrlProp54.xml"/><Relationship Id="rId11" Type="http://schemas.openxmlformats.org/officeDocument/2006/relationships/ctrlProp" Target="../ctrlProps/ctrlProp59.xml"/><Relationship Id="rId5" Type="http://schemas.openxmlformats.org/officeDocument/2006/relationships/ctrlProp" Target="../ctrlProps/ctrlProp53.xml"/><Relationship Id="rId10" Type="http://schemas.openxmlformats.org/officeDocument/2006/relationships/ctrlProp" Target="../ctrlProps/ctrlProp58.xml"/><Relationship Id="rId4" Type="http://schemas.openxmlformats.org/officeDocument/2006/relationships/ctrlProp" Target="../ctrlProps/ctrlProp52.xml"/><Relationship Id="rId9" Type="http://schemas.openxmlformats.org/officeDocument/2006/relationships/ctrlProp" Target="../ctrlProps/ctrlProp57.xml"/></Relationships>
</file>

<file path=xl/worksheets/_rels/sheet15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66.xml"/><Relationship Id="rId13" Type="http://schemas.openxmlformats.org/officeDocument/2006/relationships/ctrlProp" Target="../ctrlProps/ctrlProp71.xml"/><Relationship Id="rId18" Type="http://schemas.openxmlformats.org/officeDocument/2006/relationships/ctrlProp" Target="../ctrlProps/ctrlProp76.xml"/><Relationship Id="rId3" Type="http://schemas.openxmlformats.org/officeDocument/2006/relationships/vmlDrawing" Target="../drawings/vmlDrawing8.vml"/><Relationship Id="rId7" Type="http://schemas.openxmlformats.org/officeDocument/2006/relationships/ctrlProp" Target="../ctrlProps/ctrlProp65.xml"/><Relationship Id="rId12" Type="http://schemas.openxmlformats.org/officeDocument/2006/relationships/ctrlProp" Target="../ctrlProps/ctrlProp70.xml"/><Relationship Id="rId17" Type="http://schemas.openxmlformats.org/officeDocument/2006/relationships/ctrlProp" Target="../ctrlProps/ctrlProp75.xml"/><Relationship Id="rId2" Type="http://schemas.openxmlformats.org/officeDocument/2006/relationships/drawing" Target="../drawings/drawing10.xml"/><Relationship Id="rId16" Type="http://schemas.openxmlformats.org/officeDocument/2006/relationships/ctrlProp" Target="../ctrlProps/ctrlProp74.xml"/><Relationship Id="rId1" Type="http://schemas.openxmlformats.org/officeDocument/2006/relationships/printerSettings" Target="../printerSettings/printerSettings7.bin"/><Relationship Id="rId6" Type="http://schemas.openxmlformats.org/officeDocument/2006/relationships/ctrlProp" Target="../ctrlProps/ctrlProp64.xml"/><Relationship Id="rId11" Type="http://schemas.openxmlformats.org/officeDocument/2006/relationships/ctrlProp" Target="../ctrlProps/ctrlProp69.xml"/><Relationship Id="rId5" Type="http://schemas.openxmlformats.org/officeDocument/2006/relationships/ctrlProp" Target="../ctrlProps/ctrlProp63.xml"/><Relationship Id="rId15" Type="http://schemas.openxmlformats.org/officeDocument/2006/relationships/ctrlProp" Target="../ctrlProps/ctrlProp73.xml"/><Relationship Id="rId10" Type="http://schemas.openxmlformats.org/officeDocument/2006/relationships/ctrlProp" Target="../ctrlProps/ctrlProp68.xml"/><Relationship Id="rId19" Type="http://schemas.openxmlformats.org/officeDocument/2006/relationships/ctrlProp" Target="../ctrlProps/ctrlProp77.xml"/><Relationship Id="rId4" Type="http://schemas.openxmlformats.org/officeDocument/2006/relationships/ctrlProp" Target="../ctrlProps/ctrlProp62.xml"/><Relationship Id="rId9" Type="http://schemas.openxmlformats.org/officeDocument/2006/relationships/ctrlProp" Target="../ctrlProps/ctrlProp67.xml"/><Relationship Id="rId14" Type="http://schemas.openxmlformats.org/officeDocument/2006/relationships/ctrlProp" Target="../ctrlProps/ctrlProp7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pageSetUpPr autoPageBreaks="0"/>
  </sheetPr>
  <dimension ref="A1:K51"/>
  <sheetViews>
    <sheetView showGridLines="0" topLeftCell="A16" workbookViewId="0">
      <selection activeCell="K12" sqref="K12"/>
    </sheetView>
  </sheetViews>
  <sheetFormatPr baseColWidth="10" defaultRowHeight="15" x14ac:dyDescent="0.3"/>
  <cols>
    <col min="1" max="1" width="11.140625" style="231" customWidth="1"/>
    <col min="2" max="2" width="13.28515625" style="231" customWidth="1"/>
    <col min="3" max="3" width="15.7109375" style="231" customWidth="1"/>
    <col min="4" max="4" width="11.5703125" style="231" bestFit="1" customWidth="1"/>
    <col min="5" max="5" width="11.85546875" style="231" bestFit="1" customWidth="1"/>
    <col min="6" max="6" width="12" style="231" customWidth="1"/>
    <col min="7" max="7" width="10.42578125" style="231" customWidth="1"/>
    <col min="8" max="8" width="6.42578125" style="231" customWidth="1"/>
    <col min="9" max="9" width="10.7109375" style="231" customWidth="1"/>
    <col min="10" max="10" width="13.7109375" style="231" customWidth="1"/>
    <col min="11" max="16384" width="11.42578125" style="231"/>
  </cols>
  <sheetData>
    <row r="1" spans="1:11" ht="24.75" thickTop="1" thickBot="1" x14ac:dyDescent="0.4">
      <c r="B1" s="232" t="s">
        <v>110</v>
      </c>
      <c r="C1" s="233"/>
      <c r="D1" s="233"/>
      <c r="E1" s="233"/>
      <c r="F1" s="234"/>
    </row>
    <row r="2" spans="1:11" ht="25.5" customHeight="1" thickTop="1" x14ac:dyDescent="0.3">
      <c r="A2" s="235" t="s">
        <v>111</v>
      </c>
    </row>
    <row r="3" spans="1:11" ht="18.75" x14ac:dyDescent="0.3">
      <c r="A3" s="236" t="s">
        <v>112</v>
      </c>
      <c r="B3" s="237"/>
      <c r="C3" s="238"/>
      <c r="D3" s="239"/>
      <c r="E3" s="240" t="s">
        <v>113</v>
      </c>
      <c r="F3" s="241"/>
      <c r="G3" s="242">
        <v>12</v>
      </c>
    </row>
    <row r="4" spans="1:11" ht="19.5" x14ac:dyDescent="0.35">
      <c r="A4" s="243" t="s">
        <v>114</v>
      </c>
      <c r="B4" s="244"/>
      <c r="C4" s="245">
        <f>'TAM Projet 1'!J3</f>
        <v>237250</v>
      </c>
      <c r="D4" s="246"/>
      <c r="E4" s="247" t="s">
        <v>115</v>
      </c>
      <c r="F4" s="248"/>
      <c r="G4" s="249">
        <f>(100/_d)/100</f>
        <v>8.3333333333333343E-2</v>
      </c>
    </row>
    <row r="5" spans="1:11" ht="18" x14ac:dyDescent="0.35">
      <c r="A5" s="250" t="s">
        <v>116</v>
      </c>
      <c r="B5" s="251"/>
      <c r="C5" s="252" t="s">
        <v>117</v>
      </c>
      <c r="D5" s="253">
        <v>1</v>
      </c>
    </row>
    <row r="6" spans="1:11" ht="18" x14ac:dyDescent="0.35">
      <c r="A6" s="254"/>
      <c r="B6" s="255"/>
      <c r="C6" s="252" t="s">
        <v>118</v>
      </c>
      <c r="D6" s="253">
        <v>1</v>
      </c>
    </row>
    <row r="7" spans="1:11" ht="18" x14ac:dyDescent="0.35">
      <c r="A7" s="256"/>
      <c r="B7" s="257"/>
      <c r="C7" s="258" t="s">
        <v>119</v>
      </c>
      <c r="D7" s="259">
        <v>2000</v>
      </c>
    </row>
    <row r="8" spans="1:11" x14ac:dyDescent="0.3">
      <c r="G8" s="260"/>
      <c r="H8" s="260">
        <f>LOOKUP(_M,_mois,_cumul)</f>
        <v>0</v>
      </c>
    </row>
    <row r="9" spans="1:11" ht="15.75" thickBot="1" x14ac:dyDescent="0.35">
      <c r="G9" s="261"/>
      <c r="H9" s="261"/>
    </row>
    <row r="10" spans="1:11" ht="18.75" thickBot="1" x14ac:dyDescent="0.4">
      <c r="B10" s="262" t="s">
        <v>120</v>
      </c>
      <c r="C10" s="262" t="s">
        <v>121</v>
      </c>
      <c r="D10" s="262" t="s">
        <v>122</v>
      </c>
      <c r="E10" s="262" t="s">
        <v>123</v>
      </c>
      <c r="F10" s="262" t="s">
        <v>124</v>
      </c>
      <c r="G10" s="261"/>
      <c r="H10" s="261"/>
    </row>
    <row r="11" spans="1:11" x14ac:dyDescent="0.3">
      <c r="B11" s="263">
        <f>_A</f>
        <v>2000</v>
      </c>
      <c r="C11" s="264">
        <f>_VO</f>
        <v>237250</v>
      </c>
      <c r="D11" s="264">
        <v>6250</v>
      </c>
      <c r="E11" s="264">
        <f>D11</f>
        <v>6250</v>
      </c>
      <c r="F11" s="264">
        <f t="shared" ref="F11:F29" si="0">IF(_nbr&lt;1,"",C11-E11)</f>
        <v>231000</v>
      </c>
      <c r="G11" s="261"/>
      <c r="H11" s="261">
        <f>IF(AND(_J=1,_M=1),_d,_d+1)</f>
        <v>12</v>
      </c>
    </row>
    <row r="12" spans="1:11" x14ac:dyDescent="0.3">
      <c r="B12" s="263">
        <f t="shared" ref="B12:B29" si="1">IF(_nbr&lt;1,"",B11+1)</f>
        <v>2001</v>
      </c>
      <c r="C12" s="265">
        <f t="shared" ref="C12:C29" si="2">IF(_nbr&lt;1,"",_VO)</f>
        <v>237250</v>
      </c>
      <c r="D12" s="265">
        <f t="shared" ref="D12:D29" si="3">IF(_nbr&lt;1,"",IF(_d&lt;$H$11,IF(_nbr=1,_ann-_an,_VO*_T),_VO*_T))</f>
        <v>19770.833333333336</v>
      </c>
      <c r="E12" s="265">
        <f t="shared" ref="E12:E29" si="4">IF(_nbr&lt;1,"",E11+D12)</f>
        <v>26020.833333333336</v>
      </c>
      <c r="F12" s="265">
        <f t="shared" si="0"/>
        <v>211229.16666666666</v>
      </c>
      <c r="G12" s="261"/>
      <c r="H12" s="261">
        <f t="shared" ref="H12:H29" si="5">H11-1</f>
        <v>11</v>
      </c>
      <c r="J12" s="266" t="s">
        <v>125</v>
      </c>
      <c r="K12" s="266" t="s">
        <v>126</v>
      </c>
    </row>
    <row r="13" spans="1:11" x14ac:dyDescent="0.3">
      <c r="B13" s="263">
        <f t="shared" si="1"/>
        <v>2002</v>
      </c>
      <c r="C13" s="265">
        <f t="shared" si="2"/>
        <v>237250</v>
      </c>
      <c r="D13" s="265">
        <f t="shared" si="3"/>
        <v>19770.833333333336</v>
      </c>
      <c r="E13" s="265">
        <f t="shared" si="4"/>
        <v>45791.666666666672</v>
      </c>
      <c r="F13" s="265">
        <f t="shared" si="0"/>
        <v>191458.33333333331</v>
      </c>
      <c r="G13" s="261"/>
      <c r="H13" s="261">
        <f t="shared" si="5"/>
        <v>10</v>
      </c>
      <c r="J13" s="266" t="s">
        <v>39</v>
      </c>
      <c r="K13" s="266" t="s">
        <v>127</v>
      </c>
    </row>
    <row r="14" spans="1:11" x14ac:dyDescent="0.3">
      <c r="B14" s="263">
        <f t="shared" si="1"/>
        <v>2003</v>
      </c>
      <c r="C14" s="265">
        <f t="shared" si="2"/>
        <v>237250</v>
      </c>
      <c r="D14" s="265">
        <f t="shared" si="3"/>
        <v>19770.833333333336</v>
      </c>
      <c r="E14" s="265">
        <f t="shared" si="4"/>
        <v>65562.5</v>
      </c>
      <c r="F14" s="265">
        <f t="shared" si="0"/>
        <v>171687.5</v>
      </c>
      <c r="G14" s="261"/>
      <c r="H14" s="261">
        <f t="shared" si="5"/>
        <v>9</v>
      </c>
      <c r="J14" s="266" t="s">
        <v>128</v>
      </c>
      <c r="K14" s="266" t="s">
        <v>129</v>
      </c>
    </row>
    <row r="15" spans="1:11" x14ac:dyDescent="0.3">
      <c r="B15" s="263">
        <f t="shared" si="1"/>
        <v>2004</v>
      </c>
      <c r="C15" s="265">
        <f t="shared" si="2"/>
        <v>237250</v>
      </c>
      <c r="D15" s="265">
        <f t="shared" si="3"/>
        <v>19770.833333333336</v>
      </c>
      <c r="E15" s="265">
        <f t="shared" si="4"/>
        <v>85333.333333333343</v>
      </c>
      <c r="F15" s="265">
        <f t="shared" si="0"/>
        <v>151916.66666666666</v>
      </c>
      <c r="G15" s="261"/>
      <c r="H15" s="261">
        <f t="shared" si="5"/>
        <v>8</v>
      </c>
      <c r="J15" s="266" t="s">
        <v>130</v>
      </c>
      <c r="K15" s="266" t="s">
        <v>131</v>
      </c>
    </row>
    <row r="16" spans="1:11" x14ac:dyDescent="0.3">
      <c r="B16" s="263">
        <f t="shared" si="1"/>
        <v>2005</v>
      </c>
      <c r="C16" s="265">
        <f t="shared" si="2"/>
        <v>237250</v>
      </c>
      <c r="D16" s="265">
        <f t="shared" si="3"/>
        <v>19770.833333333336</v>
      </c>
      <c r="E16" s="265">
        <f t="shared" si="4"/>
        <v>105104.16666666669</v>
      </c>
      <c r="F16" s="265">
        <f t="shared" si="0"/>
        <v>132145.83333333331</v>
      </c>
      <c r="G16" s="261"/>
      <c r="H16" s="261">
        <f t="shared" si="5"/>
        <v>7</v>
      </c>
      <c r="J16" s="266" t="s">
        <v>132</v>
      </c>
      <c r="K16" s="266" t="s">
        <v>133</v>
      </c>
    </row>
    <row r="17" spans="2:11" x14ac:dyDescent="0.3">
      <c r="B17" s="263">
        <f t="shared" si="1"/>
        <v>2006</v>
      </c>
      <c r="C17" s="265">
        <f t="shared" si="2"/>
        <v>237250</v>
      </c>
      <c r="D17" s="265">
        <f t="shared" si="3"/>
        <v>19770.833333333336</v>
      </c>
      <c r="E17" s="265">
        <f t="shared" si="4"/>
        <v>124875.00000000003</v>
      </c>
      <c r="F17" s="265">
        <f t="shared" si="0"/>
        <v>112374.99999999997</v>
      </c>
      <c r="G17" s="261"/>
      <c r="H17" s="261">
        <f t="shared" si="5"/>
        <v>6</v>
      </c>
      <c r="J17" s="266" t="s">
        <v>134</v>
      </c>
      <c r="K17" s="266" t="s">
        <v>135</v>
      </c>
    </row>
    <row r="18" spans="2:11" x14ac:dyDescent="0.3">
      <c r="B18" s="263">
        <f t="shared" si="1"/>
        <v>2007</v>
      </c>
      <c r="C18" s="265">
        <f t="shared" si="2"/>
        <v>237250</v>
      </c>
      <c r="D18" s="265">
        <f t="shared" si="3"/>
        <v>19770.833333333336</v>
      </c>
      <c r="E18" s="265">
        <f t="shared" si="4"/>
        <v>144645.83333333337</v>
      </c>
      <c r="F18" s="265">
        <f t="shared" si="0"/>
        <v>92604.166666666628</v>
      </c>
      <c r="G18" s="261"/>
      <c r="H18" s="261">
        <f t="shared" si="5"/>
        <v>5</v>
      </c>
      <c r="J18" s="266" t="s">
        <v>136</v>
      </c>
      <c r="K18" s="266" t="s">
        <v>137</v>
      </c>
    </row>
    <row r="19" spans="2:11" x14ac:dyDescent="0.3">
      <c r="B19" s="263">
        <f t="shared" si="1"/>
        <v>2008</v>
      </c>
      <c r="C19" s="265">
        <f t="shared" si="2"/>
        <v>237250</v>
      </c>
      <c r="D19" s="265">
        <f t="shared" si="3"/>
        <v>19770.833333333336</v>
      </c>
      <c r="E19" s="265">
        <f t="shared" si="4"/>
        <v>164416.66666666672</v>
      </c>
      <c r="F19" s="265">
        <f t="shared" si="0"/>
        <v>72833.333333333285</v>
      </c>
      <c r="G19" s="261"/>
      <c r="H19" s="261">
        <f t="shared" si="5"/>
        <v>4</v>
      </c>
      <c r="J19" s="266" t="s">
        <v>138</v>
      </c>
      <c r="K19" s="266" t="s">
        <v>139</v>
      </c>
    </row>
    <row r="20" spans="2:11" x14ac:dyDescent="0.3">
      <c r="B20" s="263">
        <f t="shared" si="1"/>
        <v>2009</v>
      </c>
      <c r="C20" s="265">
        <f t="shared" si="2"/>
        <v>237250</v>
      </c>
      <c r="D20" s="265">
        <f t="shared" si="3"/>
        <v>19770.833333333336</v>
      </c>
      <c r="E20" s="265">
        <f t="shared" si="4"/>
        <v>184187.50000000006</v>
      </c>
      <c r="F20" s="265">
        <f t="shared" si="0"/>
        <v>53062.499999999942</v>
      </c>
      <c r="G20" s="261"/>
      <c r="H20" s="261">
        <f t="shared" si="5"/>
        <v>3</v>
      </c>
      <c r="J20" s="266" t="s">
        <v>140</v>
      </c>
      <c r="K20" s="266" t="s">
        <v>141</v>
      </c>
    </row>
    <row r="21" spans="2:11" x14ac:dyDescent="0.3">
      <c r="B21" s="263">
        <f t="shared" si="1"/>
        <v>2010</v>
      </c>
      <c r="C21" s="265">
        <f t="shared" si="2"/>
        <v>237250</v>
      </c>
      <c r="D21" s="265">
        <f t="shared" si="3"/>
        <v>19770.833333333336</v>
      </c>
      <c r="E21" s="265">
        <f t="shared" si="4"/>
        <v>203958.3333333334</v>
      </c>
      <c r="F21" s="265">
        <f t="shared" si="0"/>
        <v>33291.666666666599</v>
      </c>
      <c r="G21" s="261"/>
      <c r="H21" s="261">
        <f t="shared" si="5"/>
        <v>2</v>
      </c>
      <c r="J21" s="266" t="s">
        <v>142</v>
      </c>
      <c r="K21" s="266" t="s">
        <v>143</v>
      </c>
    </row>
    <row r="22" spans="2:11" x14ac:dyDescent="0.3">
      <c r="B22" s="263">
        <f t="shared" si="1"/>
        <v>2011</v>
      </c>
      <c r="C22" s="265">
        <f t="shared" si="2"/>
        <v>237250</v>
      </c>
      <c r="D22" s="265">
        <f t="shared" si="3"/>
        <v>19770.833333333336</v>
      </c>
      <c r="E22" s="265">
        <f t="shared" si="4"/>
        <v>223729.16666666674</v>
      </c>
      <c r="F22" s="265">
        <f t="shared" si="0"/>
        <v>13520.833333333256</v>
      </c>
      <c r="G22" s="261"/>
      <c r="H22" s="261">
        <f t="shared" si="5"/>
        <v>1</v>
      </c>
      <c r="J22" s="266" t="s">
        <v>144</v>
      </c>
      <c r="K22" s="266" t="s">
        <v>145</v>
      </c>
    </row>
    <row r="23" spans="2:11" x14ac:dyDescent="0.3">
      <c r="B23" s="263" t="str">
        <f t="shared" si="1"/>
        <v/>
      </c>
      <c r="C23" s="265" t="str">
        <f t="shared" si="2"/>
        <v/>
      </c>
      <c r="D23" s="265" t="str">
        <f t="shared" si="3"/>
        <v/>
      </c>
      <c r="E23" s="265" t="str">
        <f t="shared" si="4"/>
        <v/>
      </c>
      <c r="F23" s="265" t="str">
        <f t="shared" si="0"/>
        <v/>
      </c>
      <c r="G23" s="261"/>
      <c r="H23" s="261">
        <f t="shared" si="5"/>
        <v>0</v>
      </c>
      <c r="J23" s="266" t="s">
        <v>146</v>
      </c>
      <c r="K23" s="266" t="s">
        <v>147</v>
      </c>
    </row>
    <row r="24" spans="2:11" x14ac:dyDescent="0.3">
      <c r="B24" s="263" t="str">
        <f t="shared" si="1"/>
        <v/>
      </c>
      <c r="C24" s="265" t="str">
        <f t="shared" si="2"/>
        <v/>
      </c>
      <c r="D24" s="265" t="str">
        <f t="shared" si="3"/>
        <v/>
      </c>
      <c r="E24" s="265" t="str">
        <f t="shared" si="4"/>
        <v/>
      </c>
      <c r="F24" s="265" t="str">
        <f t="shared" si="0"/>
        <v/>
      </c>
      <c r="G24" s="261"/>
      <c r="H24" s="261">
        <f t="shared" si="5"/>
        <v>-1</v>
      </c>
    </row>
    <row r="25" spans="2:11" x14ac:dyDescent="0.3">
      <c r="B25" s="263" t="str">
        <f t="shared" si="1"/>
        <v/>
      </c>
      <c r="C25" s="265" t="str">
        <f t="shared" si="2"/>
        <v/>
      </c>
      <c r="D25" s="265" t="str">
        <f t="shared" si="3"/>
        <v/>
      </c>
      <c r="E25" s="265" t="str">
        <f t="shared" si="4"/>
        <v/>
      </c>
      <c r="F25" s="265" t="str">
        <f t="shared" si="0"/>
        <v/>
      </c>
      <c r="G25" s="261"/>
      <c r="H25" s="261">
        <f t="shared" si="5"/>
        <v>-2</v>
      </c>
    </row>
    <row r="26" spans="2:11" x14ac:dyDescent="0.3">
      <c r="B26" s="263" t="str">
        <f t="shared" si="1"/>
        <v/>
      </c>
      <c r="C26" s="265" t="str">
        <f t="shared" si="2"/>
        <v/>
      </c>
      <c r="D26" s="265" t="str">
        <f t="shared" si="3"/>
        <v/>
      </c>
      <c r="E26" s="265" t="str">
        <f t="shared" si="4"/>
        <v/>
      </c>
      <c r="F26" s="265" t="str">
        <f t="shared" si="0"/>
        <v/>
      </c>
      <c r="G26" s="261"/>
      <c r="H26" s="261">
        <f t="shared" si="5"/>
        <v>-3</v>
      </c>
    </row>
    <row r="27" spans="2:11" x14ac:dyDescent="0.3">
      <c r="B27" s="263" t="str">
        <f t="shared" si="1"/>
        <v/>
      </c>
      <c r="C27" s="265" t="str">
        <f t="shared" si="2"/>
        <v/>
      </c>
      <c r="D27" s="265" t="str">
        <f t="shared" si="3"/>
        <v/>
      </c>
      <c r="E27" s="265" t="str">
        <f t="shared" si="4"/>
        <v/>
      </c>
      <c r="F27" s="265" t="str">
        <f t="shared" si="0"/>
        <v/>
      </c>
      <c r="G27" s="261"/>
      <c r="H27" s="261">
        <f t="shared" si="5"/>
        <v>-4</v>
      </c>
    </row>
    <row r="28" spans="2:11" x14ac:dyDescent="0.3">
      <c r="B28" s="263" t="str">
        <f t="shared" si="1"/>
        <v/>
      </c>
      <c r="C28" s="265" t="str">
        <f t="shared" si="2"/>
        <v/>
      </c>
      <c r="D28" s="265" t="str">
        <f t="shared" si="3"/>
        <v/>
      </c>
      <c r="E28" s="265" t="str">
        <f t="shared" si="4"/>
        <v/>
      </c>
      <c r="F28" s="265" t="str">
        <f t="shared" si="0"/>
        <v/>
      </c>
      <c r="G28" s="261"/>
      <c r="H28" s="261">
        <f t="shared" si="5"/>
        <v>-5</v>
      </c>
    </row>
    <row r="29" spans="2:11" ht="15.75" thickBot="1" x14ac:dyDescent="0.35">
      <c r="B29" s="267" t="str">
        <f t="shared" si="1"/>
        <v/>
      </c>
      <c r="C29" s="268" t="str">
        <f t="shared" si="2"/>
        <v/>
      </c>
      <c r="D29" s="268" t="str">
        <f t="shared" si="3"/>
        <v/>
      </c>
      <c r="E29" s="268" t="str">
        <f t="shared" si="4"/>
        <v/>
      </c>
      <c r="F29" s="268" t="str">
        <f t="shared" si="0"/>
        <v/>
      </c>
      <c r="G29" s="261"/>
      <c r="H29" s="261">
        <f t="shared" si="5"/>
        <v>-6</v>
      </c>
    </row>
    <row r="30" spans="2:11" x14ac:dyDescent="0.3">
      <c r="B30" s="269"/>
      <c r="C30" s="269"/>
      <c r="D30" s="269"/>
      <c r="E30" s="269"/>
      <c r="F30" s="269"/>
    </row>
    <row r="40" spans="3:4" x14ac:dyDescent="0.3">
      <c r="C40" s="231">
        <v>1</v>
      </c>
      <c r="D40" s="231">
        <v>0</v>
      </c>
    </row>
    <row r="41" spans="3:4" x14ac:dyDescent="0.3">
      <c r="C41" s="231">
        <v>2</v>
      </c>
      <c r="D41" s="231">
        <v>31</v>
      </c>
    </row>
    <row r="42" spans="3:4" x14ac:dyDescent="0.3">
      <c r="C42" s="231">
        <v>3</v>
      </c>
      <c r="D42" s="231">
        <v>59</v>
      </c>
    </row>
    <row r="43" spans="3:4" x14ac:dyDescent="0.3">
      <c r="C43" s="231">
        <v>4</v>
      </c>
      <c r="D43" s="231">
        <v>90</v>
      </c>
    </row>
    <row r="44" spans="3:4" x14ac:dyDescent="0.3">
      <c r="C44" s="231">
        <v>5</v>
      </c>
      <c r="D44" s="231">
        <v>120</v>
      </c>
    </row>
    <row r="45" spans="3:4" x14ac:dyDescent="0.3">
      <c r="C45" s="231">
        <v>6</v>
      </c>
      <c r="D45" s="231">
        <v>151</v>
      </c>
    </row>
    <row r="46" spans="3:4" x14ac:dyDescent="0.3">
      <c r="C46" s="231">
        <v>7</v>
      </c>
      <c r="D46" s="231">
        <v>181</v>
      </c>
    </row>
    <row r="47" spans="3:4" x14ac:dyDescent="0.3">
      <c r="C47" s="231">
        <v>8</v>
      </c>
      <c r="D47" s="231">
        <v>212</v>
      </c>
    </row>
    <row r="48" spans="3:4" x14ac:dyDescent="0.3">
      <c r="C48" s="231">
        <v>9</v>
      </c>
      <c r="D48" s="231">
        <v>243</v>
      </c>
    </row>
    <row r="49" spans="3:4" x14ac:dyDescent="0.3">
      <c r="C49" s="231">
        <v>10</v>
      </c>
      <c r="D49" s="231">
        <v>273</v>
      </c>
    </row>
    <row r="50" spans="3:4" x14ac:dyDescent="0.3">
      <c r="C50" s="231">
        <v>11</v>
      </c>
      <c r="D50" s="231">
        <v>304</v>
      </c>
    </row>
    <row r="51" spans="3:4" x14ac:dyDescent="0.3">
      <c r="C51" s="231">
        <v>12</v>
      </c>
      <c r="D51" s="231">
        <v>334</v>
      </c>
    </row>
  </sheetData>
  <sheetProtection pivotTables="0"/>
  <printOptions gridLinesSet="0"/>
  <pageMargins left="0.7" right="0.7" top="0.75" bottom="0.75" header="0.4921259845" footer="0.4921259845"/>
  <pageSetup paperSize="9" orientation="portrait" horizontalDpi="360" verticalDpi="360"/>
  <headerFooter>
    <oddHeader>&amp;F</oddHeader>
    <oddFooter>Page &amp;P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pageSetUpPr autoPageBreaks="0"/>
  </sheetPr>
  <dimension ref="A1:L32"/>
  <sheetViews>
    <sheetView showGridLines="0" workbookViewId="0">
      <selection activeCell="L14" sqref="L14"/>
    </sheetView>
  </sheetViews>
  <sheetFormatPr baseColWidth="10" defaultRowHeight="15" x14ac:dyDescent="0.3"/>
  <cols>
    <col min="1" max="1" width="11.140625" style="231" customWidth="1"/>
    <col min="2" max="2" width="13.140625" style="231" customWidth="1"/>
    <col min="3" max="3" width="17.140625" style="231" customWidth="1"/>
    <col min="4" max="5" width="11.42578125" style="231"/>
    <col min="6" max="6" width="14" style="231" customWidth="1"/>
    <col min="7" max="7" width="9.85546875" style="231" customWidth="1"/>
    <col min="8" max="8" width="3.42578125" style="231" hidden="1" customWidth="1"/>
    <col min="9" max="9" width="10.7109375" style="231" hidden="1" customWidth="1"/>
    <col min="10" max="16384" width="11.42578125" style="231"/>
  </cols>
  <sheetData>
    <row r="1" spans="1:12" ht="24.75" thickTop="1" thickBot="1" x14ac:dyDescent="0.4">
      <c r="B1" s="232" t="s">
        <v>148</v>
      </c>
      <c r="C1" s="233"/>
      <c r="D1" s="233"/>
      <c r="E1" s="233"/>
      <c r="F1" s="234"/>
      <c r="G1" s="270"/>
    </row>
    <row r="2" spans="1:12" ht="26.25" customHeight="1" thickTop="1" x14ac:dyDescent="0.3">
      <c r="A2" s="235" t="s">
        <v>111</v>
      </c>
      <c r="B2" s="270"/>
      <c r="C2" s="270"/>
      <c r="D2" s="270"/>
      <c r="E2" s="270"/>
      <c r="F2" s="270"/>
      <c r="G2" s="270"/>
    </row>
    <row r="3" spans="1:12" ht="18.75" x14ac:dyDescent="0.3">
      <c r="A3" s="236" t="s">
        <v>112</v>
      </c>
      <c r="B3" s="237"/>
      <c r="C3" s="238"/>
      <c r="D3" s="239"/>
      <c r="E3" s="240" t="s">
        <v>113</v>
      </c>
      <c r="F3" s="241"/>
      <c r="G3" s="242">
        <v>20</v>
      </c>
    </row>
    <row r="4" spans="1:12" ht="19.5" x14ac:dyDescent="0.35">
      <c r="A4" s="243" t="s">
        <v>114</v>
      </c>
      <c r="B4" s="244"/>
      <c r="C4" s="245">
        <f>'TAM Projet 1'!J3</f>
        <v>237250</v>
      </c>
      <c r="D4" s="246"/>
      <c r="E4" s="247" t="s">
        <v>115</v>
      </c>
      <c r="F4" s="248"/>
      <c r="G4" s="249">
        <f>IF(OR(_DUREE=3,_DUREE=4),((100/_DUREE)/100)*1.5,IF(OR(_DUREE=5,_DUREE=6),((100/_DUREE)/100)*2,((100/_DUREE)/100)*2.5))</f>
        <v>0.125</v>
      </c>
    </row>
    <row r="5" spans="1:12" ht="18" x14ac:dyDescent="0.35">
      <c r="A5" s="250" t="s">
        <v>149</v>
      </c>
      <c r="B5" s="251"/>
      <c r="C5" s="252" t="s">
        <v>117</v>
      </c>
      <c r="D5" s="253">
        <v>1</v>
      </c>
      <c r="E5" s="270"/>
      <c r="F5" s="270"/>
      <c r="G5" s="270"/>
    </row>
    <row r="6" spans="1:12" ht="18" x14ac:dyDescent="0.35">
      <c r="A6" s="254"/>
      <c r="B6" s="255"/>
      <c r="C6" s="252" t="s">
        <v>118</v>
      </c>
      <c r="D6" s="253">
        <v>1</v>
      </c>
      <c r="E6" s="270"/>
      <c r="F6" s="270"/>
      <c r="G6" s="270"/>
    </row>
    <row r="7" spans="1:12" ht="18" x14ac:dyDescent="0.35">
      <c r="A7" s="256"/>
      <c r="B7" s="257"/>
      <c r="C7" s="258" t="s">
        <v>119</v>
      </c>
      <c r="D7" s="259">
        <v>2000</v>
      </c>
      <c r="E7" s="270"/>
      <c r="F7" s="270"/>
      <c r="G7" s="270"/>
    </row>
    <row r="8" spans="1:12" x14ac:dyDescent="0.3">
      <c r="B8" s="270"/>
      <c r="C8" s="270"/>
      <c r="D8" s="270"/>
      <c r="E8" s="270"/>
      <c r="F8" s="270"/>
      <c r="G8" s="260"/>
      <c r="H8" s="260"/>
    </row>
    <row r="9" spans="1:12" ht="15.75" thickBot="1" x14ac:dyDescent="0.35">
      <c r="B9" s="270"/>
      <c r="C9" s="270"/>
      <c r="D9" s="270"/>
      <c r="E9" s="270"/>
      <c r="F9" s="270"/>
      <c r="G9" s="260"/>
      <c r="H9" s="261"/>
    </row>
    <row r="10" spans="1:12" ht="18.75" thickBot="1" x14ac:dyDescent="0.4">
      <c r="B10" s="262" t="s">
        <v>120</v>
      </c>
      <c r="C10" s="262" t="s">
        <v>150</v>
      </c>
      <c r="D10" s="262" t="s">
        <v>122</v>
      </c>
      <c r="E10" s="262" t="s">
        <v>123</v>
      </c>
      <c r="F10" s="262" t="s">
        <v>151</v>
      </c>
      <c r="G10" s="260"/>
      <c r="H10" s="261"/>
      <c r="I10" s="271"/>
    </row>
    <row r="11" spans="1:12" x14ac:dyDescent="0.3">
      <c r="B11" s="272">
        <f>_ANNEEdebut</f>
        <v>2000</v>
      </c>
      <c r="C11" s="273">
        <f>_VNCdebut</f>
        <v>237250</v>
      </c>
      <c r="D11" s="275">
        <f>C11*_TAUXdeg</f>
        <v>29656.25</v>
      </c>
      <c r="E11" s="273">
        <f>D11</f>
        <v>29656.25</v>
      </c>
      <c r="F11" s="273">
        <f>C11-E11</f>
        <v>207593.75</v>
      </c>
      <c r="G11" s="260"/>
      <c r="H11" s="261">
        <f>_DUREE</f>
        <v>20</v>
      </c>
      <c r="I11" s="271">
        <f>(100/H11)/100</f>
        <v>0.05</v>
      </c>
    </row>
    <row r="12" spans="1:12" x14ac:dyDescent="0.3">
      <c r="B12" s="274">
        <f>IF(_lignes&lt;1,"",B11+1)</f>
        <v>2001</v>
      </c>
      <c r="C12" s="275">
        <f>IF(_lignes&lt;1,"",F11)</f>
        <v>207593.75</v>
      </c>
      <c r="D12" s="275">
        <f>C12*_TAUXdeg</f>
        <v>25949.21875</v>
      </c>
      <c r="E12" s="275">
        <f>IF(_lignes&lt;1,"",E11+D12)</f>
        <v>55605.46875</v>
      </c>
      <c r="F12" s="275">
        <f>IF(_lignes&lt;1,"",C12-D12)</f>
        <v>181644.53125</v>
      </c>
      <c r="G12" s="260"/>
      <c r="H12" s="261">
        <f>H11-1</f>
        <v>19</v>
      </c>
      <c r="I12" s="271">
        <f t="shared" ref="I12:I27" si="0">(100/H12)/100</f>
        <v>5.2631578947368425E-2</v>
      </c>
      <c r="K12" s="266" t="s">
        <v>152</v>
      </c>
      <c r="L12" s="266" t="s">
        <v>153</v>
      </c>
    </row>
    <row r="13" spans="1:12" x14ac:dyDescent="0.3">
      <c r="B13" s="274">
        <f t="shared" ref="B13:B28" si="1">IF(_lignes&lt;1,"",B12+1)</f>
        <v>2002</v>
      </c>
      <c r="C13" s="275">
        <f t="shared" ref="C13:C28" si="2">IF(_lignes&lt;1,"",F12)</f>
        <v>181644.53125</v>
      </c>
      <c r="D13" s="275">
        <f>IF(_lignes&lt;1,"",IF(_TAUXlin&gt;_TAUXdeg,C13*_TAUXlin,C13*_TAUXdeg))</f>
        <v>22705.56640625</v>
      </c>
      <c r="E13" s="275">
        <f t="shared" ref="E13:E28" si="3">IF(_lignes&lt;1,"",E12+D13)</f>
        <v>78311.03515625</v>
      </c>
      <c r="F13" s="275">
        <f t="shared" ref="F13:F28" si="4">IF(_lignes&lt;1,"",C13-D13)</f>
        <v>158938.96484375</v>
      </c>
      <c r="G13" s="260"/>
      <c r="H13" s="261">
        <f t="shared" ref="H13:H28" si="5">H12-1</f>
        <v>18</v>
      </c>
      <c r="I13" s="271">
        <f t="shared" si="0"/>
        <v>5.5555555555555552E-2</v>
      </c>
      <c r="K13" s="266" t="s">
        <v>154</v>
      </c>
      <c r="L13" s="266" t="s">
        <v>155</v>
      </c>
    </row>
    <row r="14" spans="1:12" x14ac:dyDescent="0.3">
      <c r="B14" s="274">
        <f t="shared" si="1"/>
        <v>2003</v>
      </c>
      <c r="C14" s="275">
        <f t="shared" si="2"/>
        <v>158938.96484375</v>
      </c>
      <c r="D14" s="275">
        <f t="shared" ref="D14:D29" si="6">IF(_lignes&lt;1,"",IF(_TAUXlin&gt;_TAUXdeg,C14*_TAUXlin,C14*_TAUXdeg))</f>
        <v>19867.37060546875</v>
      </c>
      <c r="E14" s="275">
        <f t="shared" si="3"/>
        <v>98178.40576171875</v>
      </c>
      <c r="F14" s="275">
        <f t="shared" si="4"/>
        <v>139071.59423828125</v>
      </c>
      <c r="G14" s="260"/>
      <c r="H14" s="261">
        <f t="shared" si="5"/>
        <v>17</v>
      </c>
      <c r="I14" s="271">
        <f t="shared" si="0"/>
        <v>5.8823529411764712E-2</v>
      </c>
      <c r="K14" s="266" t="s">
        <v>156</v>
      </c>
      <c r="L14" s="266" t="s">
        <v>157</v>
      </c>
    </row>
    <row r="15" spans="1:12" x14ac:dyDescent="0.3">
      <c r="B15" s="274">
        <f t="shared" si="1"/>
        <v>2004</v>
      </c>
      <c r="C15" s="275">
        <f t="shared" si="2"/>
        <v>139071.59423828125</v>
      </c>
      <c r="D15" s="275">
        <f t="shared" si="6"/>
        <v>17383.949279785156</v>
      </c>
      <c r="E15" s="275">
        <f t="shared" si="3"/>
        <v>115562.35504150391</v>
      </c>
      <c r="F15" s="275">
        <f t="shared" si="4"/>
        <v>121687.64495849609</v>
      </c>
      <c r="G15" s="260"/>
      <c r="H15" s="261">
        <f t="shared" si="5"/>
        <v>16</v>
      </c>
      <c r="I15" s="271">
        <f t="shared" si="0"/>
        <v>6.25E-2</v>
      </c>
      <c r="K15" s="266" t="s">
        <v>158</v>
      </c>
      <c r="L15" s="266" t="s">
        <v>159</v>
      </c>
    </row>
    <row r="16" spans="1:12" x14ac:dyDescent="0.3">
      <c r="B16" s="274">
        <f t="shared" si="1"/>
        <v>2005</v>
      </c>
      <c r="C16" s="275">
        <f t="shared" si="2"/>
        <v>121687.64495849609</v>
      </c>
      <c r="D16" s="275">
        <f t="shared" si="6"/>
        <v>15210.955619812012</v>
      </c>
      <c r="E16" s="275">
        <f t="shared" si="3"/>
        <v>130773.31066131592</v>
      </c>
      <c r="F16" s="275">
        <f t="shared" si="4"/>
        <v>106476.68933868408</v>
      </c>
      <c r="G16" s="260"/>
      <c r="H16" s="261">
        <f t="shared" si="5"/>
        <v>15</v>
      </c>
      <c r="I16" s="271">
        <f t="shared" si="0"/>
        <v>6.6666666666666666E-2</v>
      </c>
      <c r="K16" s="266" t="s">
        <v>160</v>
      </c>
      <c r="L16" s="266" t="s">
        <v>161</v>
      </c>
    </row>
    <row r="17" spans="2:12" x14ac:dyDescent="0.3">
      <c r="B17" s="274">
        <f t="shared" si="1"/>
        <v>2006</v>
      </c>
      <c r="C17" s="275">
        <f t="shared" si="2"/>
        <v>106476.68933868408</v>
      </c>
      <c r="D17" s="275">
        <f t="shared" si="6"/>
        <v>13309.58616733551</v>
      </c>
      <c r="E17" s="275">
        <f t="shared" si="3"/>
        <v>144082.89682865143</v>
      </c>
      <c r="F17" s="275">
        <f t="shared" si="4"/>
        <v>93167.103171348572</v>
      </c>
      <c r="G17" s="260"/>
      <c r="H17" s="261">
        <f t="shared" si="5"/>
        <v>14</v>
      </c>
      <c r="I17" s="271">
        <f t="shared" si="0"/>
        <v>7.1428571428571438E-2</v>
      </c>
      <c r="K17" s="266" t="s">
        <v>162</v>
      </c>
      <c r="L17" s="266" t="s">
        <v>163</v>
      </c>
    </row>
    <row r="18" spans="2:12" x14ac:dyDescent="0.3">
      <c r="B18" s="274">
        <f t="shared" si="1"/>
        <v>2007</v>
      </c>
      <c r="C18" s="275">
        <f t="shared" si="2"/>
        <v>93167.103171348572</v>
      </c>
      <c r="D18" s="275">
        <f t="shared" si="6"/>
        <v>11645.887896418571</v>
      </c>
      <c r="E18" s="275">
        <f t="shared" si="3"/>
        <v>155728.78472507</v>
      </c>
      <c r="F18" s="275">
        <f t="shared" si="4"/>
        <v>81521.21527493</v>
      </c>
      <c r="G18" s="260"/>
      <c r="H18" s="261">
        <f t="shared" si="5"/>
        <v>13</v>
      </c>
      <c r="I18" s="271">
        <f t="shared" si="0"/>
        <v>7.6923076923076927E-2</v>
      </c>
      <c r="K18" s="266" t="s">
        <v>164</v>
      </c>
      <c r="L18" s="266" t="s">
        <v>165</v>
      </c>
    </row>
    <row r="19" spans="2:12" x14ac:dyDescent="0.3">
      <c r="B19" s="274">
        <f t="shared" si="1"/>
        <v>2008</v>
      </c>
      <c r="C19" s="275">
        <f t="shared" si="2"/>
        <v>81521.21527493</v>
      </c>
      <c r="D19" s="275">
        <f t="shared" si="6"/>
        <v>10190.15190936625</v>
      </c>
      <c r="E19" s="275">
        <f t="shared" si="3"/>
        <v>165918.93663443625</v>
      </c>
      <c r="F19" s="275">
        <f t="shared" si="4"/>
        <v>71331.06336556375</v>
      </c>
      <c r="G19" s="260"/>
      <c r="H19" s="261">
        <f t="shared" si="5"/>
        <v>12</v>
      </c>
      <c r="I19" s="271">
        <f t="shared" si="0"/>
        <v>8.3333333333333343E-2</v>
      </c>
    </row>
    <row r="20" spans="2:12" x14ac:dyDescent="0.3">
      <c r="B20" s="274">
        <f t="shared" si="1"/>
        <v>2009</v>
      </c>
      <c r="C20" s="275">
        <f t="shared" si="2"/>
        <v>71331.06336556375</v>
      </c>
      <c r="D20" s="275">
        <f t="shared" si="6"/>
        <v>8916.3829206954688</v>
      </c>
      <c r="E20" s="275">
        <f t="shared" si="3"/>
        <v>174835.31955513172</v>
      </c>
      <c r="F20" s="275">
        <f t="shared" si="4"/>
        <v>62414.680444868281</v>
      </c>
      <c r="G20" s="260"/>
      <c r="H20" s="261">
        <f t="shared" si="5"/>
        <v>11</v>
      </c>
      <c r="I20" s="271">
        <f t="shared" si="0"/>
        <v>9.0909090909090912E-2</v>
      </c>
    </row>
    <row r="21" spans="2:12" x14ac:dyDescent="0.3">
      <c r="B21" s="274">
        <f t="shared" si="1"/>
        <v>2010</v>
      </c>
      <c r="C21" s="275">
        <f t="shared" si="2"/>
        <v>62414.680444868281</v>
      </c>
      <c r="D21" s="275">
        <f t="shared" si="6"/>
        <v>7801.8350556085352</v>
      </c>
      <c r="E21" s="275">
        <f t="shared" si="3"/>
        <v>182637.15461074025</v>
      </c>
      <c r="F21" s="275">
        <f t="shared" si="4"/>
        <v>54612.845389259746</v>
      </c>
      <c r="G21" s="260"/>
      <c r="H21" s="261">
        <f t="shared" si="5"/>
        <v>10</v>
      </c>
      <c r="I21" s="271">
        <f t="shared" si="0"/>
        <v>0.1</v>
      </c>
    </row>
    <row r="22" spans="2:12" x14ac:dyDescent="0.3">
      <c r="B22" s="274">
        <f t="shared" si="1"/>
        <v>2011</v>
      </c>
      <c r="C22" s="275">
        <f t="shared" si="2"/>
        <v>54612.845389259746</v>
      </c>
      <c r="D22" s="275">
        <f t="shared" si="6"/>
        <v>6826.6056736574683</v>
      </c>
      <c r="E22" s="275">
        <f t="shared" si="3"/>
        <v>189463.76028439772</v>
      </c>
      <c r="F22" s="275">
        <f t="shared" si="4"/>
        <v>47786.239715602278</v>
      </c>
      <c r="G22" s="260"/>
      <c r="H22" s="261">
        <f t="shared" si="5"/>
        <v>9</v>
      </c>
      <c r="I22" s="271">
        <f t="shared" si="0"/>
        <v>0.1111111111111111</v>
      </c>
      <c r="K22" s="266"/>
    </row>
    <row r="23" spans="2:12" x14ac:dyDescent="0.3">
      <c r="B23" s="274">
        <f t="shared" si="1"/>
        <v>2012</v>
      </c>
      <c r="C23" s="275">
        <f t="shared" si="2"/>
        <v>47786.239715602278</v>
      </c>
      <c r="D23" s="275">
        <f t="shared" si="6"/>
        <v>5973.2799644502848</v>
      </c>
      <c r="E23" s="275">
        <f t="shared" si="3"/>
        <v>195437.040248848</v>
      </c>
      <c r="F23" s="275">
        <f t="shared" si="4"/>
        <v>41812.959751151997</v>
      </c>
      <c r="G23" s="260"/>
      <c r="H23" s="261">
        <f t="shared" si="5"/>
        <v>8</v>
      </c>
      <c r="I23" s="271">
        <f t="shared" si="0"/>
        <v>0.125</v>
      </c>
    </row>
    <row r="24" spans="2:12" x14ac:dyDescent="0.3">
      <c r="B24" s="274">
        <f t="shared" si="1"/>
        <v>2013</v>
      </c>
      <c r="C24" s="275">
        <f t="shared" si="2"/>
        <v>41812.959751151997</v>
      </c>
      <c r="D24" s="275">
        <f t="shared" si="6"/>
        <v>5973.2799644502857</v>
      </c>
      <c r="E24" s="275">
        <f t="shared" si="3"/>
        <v>201410.32021329828</v>
      </c>
      <c r="F24" s="275">
        <f t="shared" si="4"/>
        <v>35839.679786701709</v>
      </c>
      <c r="G24" s="260"/>
      <c r="H24" s="261">
        <f t="shared" si="5"/>
        <v>7</v>
      </c>
      <c r="I24" s="271">
        <f t="shared" si="0"/>
        <v>0.14285714285714288</v>
      </c>
    </row>
    <row r="25" spans="2:12" x14ac:dyDescent="0.3">
      <c r="B25" s="274">
        <f t="shared" si="1"/>
        <v>2014</v>
      </c>
      <c r="C25" s="275">
        <f t="shared" si="2"/>
        <v>35839.679786701709</v>
      </c>
      <c r="D25" s="275">
        <f t="shared" si="6"/>
        <v>5973.2799644502857</v>
      </c>
      <c r="E25" s="275">
        <f t="shared" si="3"/>
        <v>207383.60017774857</v>
      </c>
      <c r="F25" s="275">
        <f t="shared" si="4"/>
        <v>29866.399822251424</v>
      </c>
      <c r="G25" s="260"/>
      <c r="H25" s="261">
        <f t="shared" si="5"/>
        <v>6</v>
      </c>
      <c r="I25" s="271">
        <f t="shared" si="0"/>
        <v>0.16666666666666669</v>
      </c>
    </row>
    <row r="26" spans="2:12" x14ac:dyDescent="0.3">
      <c r="B26" s="274">
        <f t="shared" si="1"/>
        <v>2015</v>
      </c>
      <c r="C26" s="275">
        <f t="shared" si="2"/>
        <v>29866.399822251424</v>
      </c>
      <c r="D26" s="275">
        <f t="shared" si="6"/>
        <v>5973.2799644502848</v>
      </c>
      <c r="E26" s="275">
        <f t="shared" si="3"/>
        <v>213356.88014219885</v>
      </c>
      <c r="F26" s="275">
        <f t="shared" si="4"/>
        <v>23893.119857801139</v>
      </c>
      <c r="G26" s="260"/>
      <c r="H26" s="261">
        <f t="shared" si="5"/>
        <v>5</v>
      </c>
      <c r="I26" s="271">
        <f t="shared" si="0"/>
        <v>0.2</v>
      </c>
    </row>
    <row r="27" spans="2:12" x14ac:dyDescent="0.3">
      <c r="B27" s="274">
        <f t="shared" si="1"/>
        <v>2016</v>
      </c>
      <c r="C27" s="275">
        <f t="shared" si="2"/>
        <v>23893.119857801139</v>
      </c>
      <c r="D27" s="275">
        <f t="shared" si="6"/>
        <v>5973.2799644502848</v>
      </c>
      <c r="E27" s="275">
        <f t="shared" si="3"/>
        <v>219330.16010664913</v>
      </c>
      <c r="F27" s="275">
        <f t="shared" si="4"/>
        <v>17919.839893350854</v>
      </c>
      <c r="G27" s="260"/>
      <c r="H27" s="261">
        <f t="shared" si="5"/>
        <v>4</v>
      </c>
      <c r="I27" s="271">
        <f t="shared" si="0"/>
        <v>0.25</v>
      </c>
    </row>
    <row r="28" spans="2:12" x14ac:dyDescent="0.3">
      <c r="B28" s="274">
        <f t="shared" si="1"/>
        <v>2017</v>
      </c>
      <c r="C28" s="275">
        <f t="shared" si="2"/>
        <v>17919.839893350854</v>
      </c>
      <c r="D28" s="275">
        <f t="shared" si="6"/>
        <v>5973.2799644502857</v>
      </c>
      <c r="E28" s="275">
        <f t="shared" si="3"/>
        <v>225303.44007109941</v>
      </c>
      <c r="F28" s="275">
        <f t="shared" si="4"/>
        <v>11946.55992890057</v>
      </c>
      <c r="G28" s="260"/>
      <c r="H28" s="261">
        <f t="shared" si="5"/>
        <v>3</v>
      </c>
      <c r="I28" s="271">
        <f>(100/H28)/100</f>
        <v>0.33333333333333337</v>
      </c>
    </row>
    <row r="29" spans="2:12" ht="15.75" thickBot="1" x14ac:dyDescent="0.35">
      <c r="B29" s="276">
        <f>IF(_lignes&lt;1,"",B28+1)</f>
        <v>2018</v>
      </c>
      <c r="C29" s="277">
        <f>IF(_lignes&lt;1,"",F28)</f>
        <v>11946.55992890057</v>
      </c>
      <c r="D29" s="277">
        <f t="shared" si="6"/>
        <v>5973.2799644502848</v>
      </c>
      <c r="E29" s="277">
        <f>IF(_lignes&lt;1,"",E28+D29)</f>
        <v>231276.72003554969</v>
      </c>
      <c r="F29" s="277">
        <f>IF(_lignes&lt;1,"",C29-D29)</f>
        <v>5973.2799644502848</v>
      </c>
      <c r="G29" s="260"/>
      <c r="H29" s="261">
        <f>H28-1</f>
        <v>2</v>
      </c>
      <c r="I29" s="271">
        <f>(100/H29)/100</f>
        <v>0.5</v>
      </c>
    </row>
    <row r="30" spans="2:12" x14ac:dyDescent="0.3">
      <c r="B30" s="278"/>
      <c r="C30" s="278"/>
      <c r="D30" s="278"/>
      <c r="E30" s="278"/>
      <c r="F30" s="278"/>
      <c r="G30" s="270"/>
      <c r="I30" s="271" t="e">
        <f>(100/H30)/100</f>
        <v>#DIV/0!</v>
      </c>
    </row>
    <row r="31" spans="2:12" x14ac:dyDescent="0.3">
      <c r="I31" s="271"/>
    </row>
    <row r="32" spans="2:12" x14ac:dyDescent="0.3">
      <c r="I32" s="271"/>
    </row>
  </sheetData>
  <printOptions gridLinesSet="0"/>
  <pageMargins left="0.7" right="0.7" top="0.75" bottom="0.75" header="0.4921259845" footer="0.4921259845"/>
  <pageSetup paperSize="9" orientation="portrait" horizontalDpi="360" verticalDpi="360" copies="0"/>
  <headerFooter>
    <oddHeader>&amp;F</oddHeader>
    <oddFooter>Page &amp;P</oddFooter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>
    <tabColor indexed="22"/>
  </sheetPr>
  <dimension ref="A1:P449"/>
  <sheetViews>
    <sheetView zoomScale="80" zoomScaleNormal="80" workbookViewId="0">
      <selection activeCell="F32" sqref="F32"/>
    </sheetView>
  </sheetViews>
  <sheetFormatPr baseColWidth="10" defaultRowHeight="12.75" x14ac:dyDescent="0.2"/>
  <cols>
    <col min="16" max="16" width="13" customWidth="1"/>
  </cols>
  <sheetData>
    <row r="1" spans="1:16" x14ac:dyDescent="0.2">
      <c r="A1" s="544" t="s">
        <v>87</v>
      </c>
      <c r="B1" s="545"/>
      <c r="C1" s="545"/>
      <c r="D1" s="545"/>
      <c r="E1" s="545"/>
      <c r="F1" s="545"/>
      <c r="H1" s="545" t="s">
        <v>86</v>
      </c>
      <c r="I1" s="545"/>
      <c r="J1" s="545"/>
      <c r="K1" s="545"/>
      <c r="L1" s="545"/>
      <c r="M1" s="545"/>
      <c r="O1" s="185" t="s">
        <v>88</v>
      </c>
    </row>
    <row r="2" spans="1:16" x14ac:dyDescent="0.2">
      <c r="A2" s="14"/>
      <c r="B2" s="87">
        <f>IF(ISERROR('Avancé prêt taux fixe projet 1'!D3),2,'Avancé prêt taux fixe projet 1'!D3)</f>
        <v>2</v>
      </c>
      <c r="C2" s="40">
        <f>IF(_Periodicite="M",12)+IF(_Periodicite="T",4)+IF(_Periodicite="S",2)+IF(_Periodicite="A",1)+IF(_Periodicite="H",52)+IF(_Periodicite="Q",26)+IF(_Periodicite="B",24)</f>
        <v>12</v>
      </c>
      <c r="D2" s="43" t="s">
        <v>2</v>
      </c>
      <c r="E2" s="99" t="s">
        <v>70</v>
      </c>
      <c r="F2" s="90" t="s">
        <v>69</v>
      </c>
      <c r="H2" s="14"/>
      <c r="I2" s="87">
        <f>IF(ISERROR('Avancé prêt in fine projet 1'!D3),2,'Avancé prêt in fine projet 1'!D3)</f>
        <v>2</v>
      </c>
      <c r="J2" s="40">
        <f>IF(_Periodicite1="M",12)+IF(_Periodicite1="T",4)+IF(_Periodicite1="S",2)+IF(_Periodicite1="A",1)+IF(_Periodicite1="H",52)+IF(_Periodicite1="Q",26)+IF(_Periodicite1="B",24)</f>
        <v>12</v>
      </c>
      <c r="K2" s="43" t="s">
        <v>2</v>
      </c>
      <c r="L2" s="99" t="s">
        <v>70</v>
      </c>
      <c r="M2" s="90" t="s">
        <v>69</v>
      </c>
    </row>
    <row r="3" spans="1:16" x14ac:dyDescent="0.2">
      <c r="A3" s="14"/>
      <c r="B3" s="87" t="b">
        <f>IF(ISERROR('Avancé prêt taux fixe projet 1'!I9),TRUE,IF('Avancé prêt taux fixe projet 1'!I9=1,TRUE,FALSE))</f>
        <v>1</v>
      </c>
      <c r="C3" s="40">
        <f>C4*_NbEchAn/12</f>
        <v>420</v>
      </c>
      <c r="D3" s="43" t="s">
        <v>3</v>
      </c>
      <c r="E3" s="98">
        <v>2</v>
      </c>
      <c r="F3" s="10">
        <v>1</v>
      </c>
      <c r="H3" s="14"/>
      <c r="I3" s="87" t="b">
        <f>IF(ISERROR('Avancé prêt in fine projet 1'!I9),TRUE,IF('Avancé prêt in fine projet 1'!I9=1,TRUE,FALSE))</f>
        <v>1</v>
      </c>
      <c r="J3" s="40">
        <f>J4*_NbechAn1/12</f>
        <v>1</v>
      </c>
      <c r="K3" s="43" t="s">
        <v>3</v>
      </c>
      <c r="L3" s="98">
        <v>2</v>
      </c>
      <c r="M3" s="10">
        <v>1</v>
      </c>
      <c r="O3" s="186">
        <v>1</v>
      </c>
      <c r="P3" s="185" t="s">
        <v>89</v>
      </c>
    </row>
    <row r="4" spans="1:16" x14ac:dyDescent="0.2">
      <c r="A4" s="49"/>
      <c r="B4" s="87">
        <f>IF(ISERROR('Avancé prêt taux fixe projet 1'!D17),99999,'Avancé prêt taux fixe projet 1'!D17)</f>
        <v>99999</v>
      </c>
      <c r="C4" s="40">
        <f>'TAM Projet 1'!J5*12+'TAM Projet 1'!J6</f>
        <v>420</v>
      </c>
      <c r="D4" s="43" t="s">
        <v>33</v>
      </c>
      <c r="E4" s="98" t="b">
        <f>E3=1</f>
        <v>0</v>
      </c>
      <c r="F4" s="10" t="s">
        <v>28</v>
      </c>
      <c r="H4" s="49"/>
      <c r="I4" s="87">
        <f>IF(ISERROR('Avancé prêt in fine projet 1'!D17),99999,'Avancé prêt in fine projet 1'!D17)</f>
        <v>99999</v>
      </c>
      <c r="J4" s="40">
        <f>'TAM Projet 1'!J13*12+'TAM Projet 1'!J14</f>
        <v>1</v>
      </c>
      <c r="K4" s="43" t="s">
        <v>33</v>
      </c>
      <c r="L4" s="98" t="b">
        <f>L3=1</f>
        <v>0</v>
      </c>
      <c r="M4" s="10" t="s">
        <v>28</v>
      </c>
      <c r="O4" s="186">
        <v>2</v>
      </c>
      <c r="P4" s="185" t="s">
        <v>90</v>
      </c>
    </row>
    <row r="5" spans="1:16" x14ac:dyDescent="0.2">
      <c r="A5" s="14"/>
      <c r="B5" s="87">
        <f>IF(ISERROR('Avancé prêt taux fixe projet 1'!E17),99999,'Avancé prêt taux fixe projet 1'!E17)</f>
        <v>99999</v>
      </c>
      <c r="C5" s="46">
        <f>IF(_TauxActuariel,(('TAM Projet 1'!J4+1)^(1/_NbEchAn))-1,'TAM Projet 1'!J4/_NbEchAn)</f>
        <v>1.5499999999999999E-3</v>
      </c>
      <c r="D5" s="44" t="s">
        <v>1</v>
      </c>
      <c r="E5" s="100" t="s">
        <v>34</v>
      </c>
      <c r="F5" s="10" t="s">
        <v>56</v>
      </c>
      <c r="H5" s="14"/>
      <c r="I5" s="87">
        <f>IF(ISERROR('Avancé prêt in fine projet 1'!E17),99999,'Avancé prêt in fine projet 1'!E17)</f>
        <v>99999</v>
      </c>
      <c r="J5" s="46">
        <f>IF(_TauxActuariel1,(('TAM Projet 1'!J12+1)^(1/_NbechAn1))-1,'TAM Projet 1'!J12/_NbechAn1)</f>
        <v>8.3333333333333339E-4</v>
      </c>
      <c r="K5" s="44" t="s">
        <v>1</v>
      </c>
      <c r="L5" s="100" t="s">
        <v>84</v>
      </c>
      <c r="M5" s="10" t="s">
        <v>56</v>
      </c>
      <c r="O5" s="186">
        <v>3</v>
      </c>
      <c r="P5" s="185" t="s">
        <v>91</v>
      </c>
    </row>
    <row r="6" spans="1:16" x14ac:dyDescent="0.2">
      <c r="A6" s="14"/>
      <c r="B6" s="88">
        <f>IF(1&lt;=_NoEchMaxi,
IF(ISERROR('Avancé prêt taux fixe projet 1'!D37),ROUND('TAM Projet 1'!AD7*A16,_NbDeci),'Avancé prêt taux fixe projet 1'!D37),
0)</f>
        <v>367.74</v>
      </c>
      <c r="C6" s="47">
        <f>0+IF(_Periodicite="M",1)+IF(_Periodicite="T",3)+IF(_Periodicite="S",6)+IF(_Periodicite="A",12)+IF(_Periodicite="B",0.5)</f>
        <v>1</v>
      </c>
      <c r="D6" s="45" t="s">
        <v>29</v>
      </c>
      <c r="E6" s="96">
        <v>4</v>
      </c>
      <c r="F6" s="10" t="s">
        <v>57</v>
      </c>
      <c r="H6" s="14"/>
      <c r="I6" s="88">
        <f>IF(1&lt;=_NoEchMaxi1,
IF(ISERROR('Avancé prêt in fine projet 1'!D37),ROUND('TAM Projet 1'!AT7*H16,_NbDeci1),'Avancé prêt in fine projet 1'!D37),
0)</f>
        <v>156.04</v>
      </c>
      <c r="J6" s="47">
        <f>0+IF(_Periodicite1="M",1)+IF(_Periodicite1="T",3)+IF(_Periodicite1="S",6)+IF(_Periodicite1="A",12)+IF(_Periodicite1="B",0.5)</f>
        <v>1</v>
      </c>
      <c r="K6" s="45" t="s">
        <v>29</v>
      </c>
      <c r="L6" s="96">
        <v>1</v>
      </c>
      <c r="M6" s="10" t="s">
        <v>57</v>
      </c>
      <c r="O6" s="186">
        <v>4</v>
      </c>
      <c r="P6" s="185" t="s">
        <v>92</v>
      </c>
    </row>
    <row r="7" spans="1:16" x14ac:dyDescent="0.2">
      <c r="A7" s="14"/>
      <c r="B7" s="88">
        <f>IF(1&gt;_NoEchMaxi,
0,
IF(ISERROR('Avancé prêt taux fixe projet 1'!E37),
   IF(1&lt;=_Différé,IF(_DiffTotal,-_INT1E,0),IF(1&gt;=_NoEchRemb,'TAM Projet 1'!AD7,IF(B16-('TAM Projet 1'!AE7*_EchFIXE)&gt;'TAM Projet 1'!AD7-2,'TAM Projet 1'!AD7,B16-('TAM Projet 1'!AE7*_EchFIXE))))+'TAM Projet 1'!U7,
   'Avancé prêt taux fixe projet 1'!E37))</f>
        <v>401.24</v>
      </c>
      <c r="C7" s="48">
        <f>0+IF(_Periodicite="H",7)+IF(_Periodicite="Q",14)</f>
        <v>0</v>
      </c>
      <c r="D7" s="45" t="s">
        <v>30</v>
      </c>
      <c r="E7" s="96" t="b">
        <f>IF(_Différé&gt;0,E6=1,FALSE)</f>
        <v>0</v>
      </c>
      <c r="F7" s="10" t="s">
        <v>58</v>
      </c>
      <c r="H7" s="14"/>
      <c r="I7" s="88">
        <f>IF(1&gt;_NoEchMaxi1,
0,
IF(ISERROR('Avancé prêt in fine projet 1'!E37),
   IF(1&lt;=_Différé1,IF(_DiffTotal1,-_INT1E1,0),IF(1&gt;=_NoEchRemb1,'TAM Projet 1'!AT7,IF(I16-('TAM Projet 1'!AU7*_EchFIXE1)&gt;'TAM Projet 1'!AT7-2,'TAM Projet 1'!AT7,I16-('TAM Projet 1'!AU7*_EchFIXE1))))+'TAM Projet 1'!AK7,
   'Avancé prêt in fine projet 1'!E37))</f>
        <v>0</v>
      </c>
      <c r="J7" s="48">
        <f>0+IF(_Periodicite1="H",7)+IF(_Periodicite1="Q",14)</f>
        <v>0</v>
      </c>
      <c r="K7" s="45" t="s">
        <v>30</v>
      </c>
      <c r="L7" s="96" t="b">
        <f>IF(_Différé1&gt;0,L6=1,FALSE)</f>
        <v>1</v>
      </c>
      <c r="M7" s="10" t="s">
        <v>58</v>
      </c>
      <c r="O7" s="186">
        <v>5</v>
      </c>
      <c r="P7" s="185" t="s">
        <v>93</v>
      </c>
    </row>
    <row r="8" spans="1:16" x14ac:dyDescent="0.2">
      <c r="A8" s="14"/>
      <c r="B8" s="89">
        <f>IF(ISERROR('Avancé prêt taux fixe projet 1'!C37),
IF(_Ijour=0,MIN(DATE(YEAR(_DebAmort),MONTH(_DebAmort)-_MoisD-_Imois,_Jour2),DATE(YEAR(_DebAmort),MONTH(_DebAmort)-_MoisD+1-_Imois,0)),DATE(YEAR(_DebAmort),MONTH(_DebAmort),_Jour1-_Ijour)),
'Avancé prêt taux fixe projet 1'!C37)</f>
        <v>39783</v>
      </c>
      <c r="C8" s="48">
        <f>DAY(_DebAmort)</f>
        <v>1</v>
      </c>
      <c r="D8" s="45" t="s">
        <v>31</v>
      </c>
      <c r="E8" s="96" t="b">
        <f>IF(_Différé&gt;0,E6=2,FALSE)</f>
        <v>0</v>
      </c>
      <c r="F8" s="10" t="s">
        <v>59</v>
      </c>
      <c r="H8" s="14"/>
      <c r="I8" s="89">
        <f>IF(ISERROR('Avancé prêt in fine projet 1'!C37),
IF(_Ijour1=0,MIN(DATE(YEAR(_DebAmort1),MONTH(_DebAmort1)-_MoisD1-_Imois1,__Jou2),DATE(YEAR(_DebAmort1),MONTH(_DebAmort1)-_MoisD1+1-_Imois1,0)),DATE(YEAR(_DebAmort1),MONTH(_DebAmort1),__Jou1-_Ijour1)),
'Avancé prêt in fine projet 1'!C37)</f>
        <v>39783</v>
      </c>
      <c r="J8" s="48">
        <f>DAY(_DebAmort1)</f>
        <v>1</v>
      </c>
      <c r="K8" s="45" t="s">
        <v>31</v>
      </c>
      <c r="L8" s="96" t="b">
        <f>IF(_Différé1&gt;0,L6=2,FALSE)</f>
        <v>0</v>
      </c>
      <c r="M8" s="10" t="s">
        <v>59</v>
      </c>
      <c r="O8" s="186">
        <v>6</v>
      </c>
      <c r="P8" s="185" t="s">
        <v>94</v>
      </c>
    </row>
    <row r="9" spans="1:16" x14ac:dyDescent="0.2">
      <c r="A9" s="14"/>
      <c r="B9" s="15"/>
      <c r="C9" s="48">
        <f>IF(_Periodicite="B",IF(C8&gt;15,MIN(C8-15,15),C8+15),C8)</f>
        <v>1</v>
      </c>
      <c r="D9" s="45" t="s">
        <v>35</v>
      </c>
      <c r="E9" s="97">
        <f>'TAM Projet 1'!N7*_NbEchAn/12</f>
        <v>0</v>
      </c>
      <c r="F9" s="10" t="s">
        <v>55</v>
      </c>
      <c r="H9" s="14"/>
      <c r="I9" s="15"/>
      <c r="J9" s="48">
        <f>IF(_Periodicite1="B",IF(J8&gt;15,MIN(J8-15,15),J8+15),J8)</f>
        <v>1</v>
      </c>
      <c r="K9" s="45" t="s">
        <v>35</v>
      </c>
      <c r="L9" s="97">
        <f>'TAM Projet 1'!N15*_NbechAn1/12</f>
        <v>179</v>
      </c>
      <c r="M9" s="10" t="s">
        <v>55</v>
      </c>
      <c r="O9" s="186">
        <v>7</v>
      </c>
      <c r="P9" s="185" t="s">
        <v>95</v>
      </c>
    </row>
    <row r="10" spans="1:16" ht="13.5" thickBot="1" x14ac:dyDescent="0.25">
      <c r="A10" s="14"/>
      <c r="B10" s="15"/>
      <c r="C10" s="48">
        <f>IF(_Jour2&lt;_Jour1,1,0)</f>
        <v>0</v>
      </c>
      <c r="D10" s="45" t="s">
        <v>36</v>
      </c>
      <c r="E10" s="101" t="s">
        <v>72</v>
      </c>
      <c r="F10" s="10" t="s">
        <v>60</v>
      </c>
      <c r="H10" s="14"/>
      <c r="I10" s="15"/>
      <c r="J10" s="48">
        <f>IF(__Jou2&lt;__Jou1,1,0)</f>
        <v>0</v>
      </c>
      <c r="K10" s="45" t="s">
        <v>36</v>
      </c>
      <c r="L10" s="101" t="s">
        <v>72</v>
      </c>
      <c r="M10" s="10" t="s">
        <v>60</v>
      </c>
      <c r="O10" s="186">
        <v>8</v>
      </c>
      <c r="P10" s="185" t="s">
        <v>96</v>
      </c>
    </row>
    <row r="11" spans="1:16" ht="13.5" thickBot="1" x14ac:dyDescent="0.25">
      <c r="A11" s="542" t="s">
        <v>24</v>
      </c>
      <c r="B11" s="543"/>
      <c r="C11" s="10"/>
      <c r="D11" s="10"/>
      <c r="E11" s="102">
        <f>'TAM Projet 1'!J3</f>
        <v>237250</v>
      </c>
      <c r="F11" s="95" t="str">
        <f>UPPER(LEFT(INDEX(F4:F10,F3,1)))</f>
        <v>M</v>
      </c>
      <c r="H11" s="542" t="s">
        <v>24</v>
      </c>
      <c r="I11" s="543"/>
      <c r="J11" s="10"/>
      <c r="K11" s="10"/>
      <c r="L11" s="102">
        <f>'TAM Projet 1'!J11</f>
        <v>187250</v>
      </c>
      <c r="M11" s="95" t="str">
        <f>UPPER(LEFT(INDEX(M4:M10,M3,1)))</f>
        <v>M</v>
      </c>
      <c r="O11" s="186">
        <v>9</v>
      </c>
      <c r="P11" s="185" t="s">
        <v>97</v>
      </c>
    </row>
    <row r="12" spans="1:16" x14ac:dyDescent="0.2">
      <c r="A12" s="539" t="s">
        <v>1</v>
      </c>
      <c r="B12" s="536" t="s">
        <v>0</v>
      </c>
      <c r="C12" s="10"/>
      <c r="D12" s="10"/>
      <c r="E12" s="102">
        <f>INDEX('TAM Projet 1'!AD7:AD439,_Différé+1,1)</f>
        <v>237250</v>
      </c>
      <c r="F12" s="10"/>
      <c r="H12" s="539" t="s">
        <v>1</v>
      </c>
      <c r="I12" s="536" t="s">
        <v>0</v>
      </c>
      <c r="J12" s="10"/>
      <c r="K12" s="10"/>
      <c r="L12" s="102">
        <f>INDEX('TAM Projet 1'!AT7:AT439,_Différé1+1,1)</f>
        <v>187250</v>
      </c>
      <c r="M12" s="10"/>
      <c r="O12" s="186">
        <v>10</v>
      </c>
      <c r="P12" s="185" t="s">
        <v>98</v>
      </c>
    </row>
    <row r="13" spans="1:16" x14ac:dyDescent="0.2">
      <c r="A13" s="540"/>
      <c r="B13" s="537"/>
      <c r="C13" s="10"/>
      <c r="D13" s="10"/>
      <c r="E13" s="103">
        <f>IF(_DiffTotal,E12,E11)</f>
        <v>237250</v>
      </c>
      <c r="F13" s="10"/>
      <c r="H13" s="540"/>
      <c r="I13" s="537"/>
      <c r="J13" s="10"/>
      <c r="K13" s="10"/>
      <c r="L13" s="103">
        <f>IF(_DiffTotal1,L12,L11)</f>
        <v>187250</v>
      </c>
      <c r="M13" s="10"/>
      <c r="O13" s="186">
        <v>11</v>
      </c>
      <c r="P13" s="185" t="s">
        <v>99</v>
      </c>
    </row>
    <row r="14" spans="1:16" ht="13.5" thickBot="1" x14ac:dyDescent="0.25">
      <c r="A14" s="541"/>
      <c r="B14" s="538"/>
      <c r="C14" s="10"/>
      <c r="D14" s="10"/>
      <c r="E14" s="10"/>
      <c r="F14" s="10"/>
      <c r="H14" s="541"/>
      <c r="I14" s="538"/>
      <c r="J14" s="10"/>
      <c r="K14" s="10"/>
      <c r="L14" s="10"/>
      <c r="M14" s="10"/>
      <c r="O14" s="186">
        <v>12</v>
      </c>
      <c r="P14" s="185" t="s">
        <v>100</v>
      </c>
    </row>
    <row r="15" spans="1:16" x14ac:dyDescent="0.2">
      <c r="A15" s="34"/>
      <c r="B15" s="33"/>
      <c r="C15" s="17"/>
      <c r="D15" s="17"/>
      <c r="E15" s="17"/>
      <c r="F15" s="17"/>
      <c r="H15" s="34"/>
      <c r="I15" s="33"/>
      <c r="J15" s="17"/>
      <c r="K15" s="17"/>
      <c r="L15" s="17"/>
      <c r="M15" s="17"/>
      <c r="O15" s="186">
        <v>13</v>
      </c>
      <c r="P15" s="185" t="s">
        <v>101</v>
      </c>
    </row>
    <row r="16" spans="1:16" x14ac:dyDescent="0.2">
      <c r="A16" s="29">
        <f>IF('TAM Projet 1'!T7&gt;0,IF(_TauxActuariel,(('TAM Projet 1'!T7+1)^(1/_NbEchAn))-1,'TAM Projet 1'!T7/_NbEchAn),_TxPer)</f>
        <v>1.5499999999999999E-3</v>
      </c>
      <c r="B16" s="28">
        <f>IF('TAM Projet 1'!W7&gt;0,'TAM Projet 1'!W7,IF('TAM Projet 1'!V7&gt;0,IF(AND(_EchFIXE,A16&gt;0),ROUND(('TAM Projet 1'!AD7-'TAM Projet 1'!U7)*A16/(1-((1+A16)^-'TAM Projet 1'!V7)),_NbDeci),ROUND('TAM Projet 1'!AD7/'TAM Projet 1'!V7,_NbDeci)),_MtEch))</f>
        <v>768.98</v>
      </c>
      <c r="C16" s="17"/>
      <c r="D16" s="17"/>
      <c r="E16" s="17"/>
      <c r="F16" s="17"/>
      <c r="H16" s="29">
        <f>IF('TAM Projet 1'!AJ7&gt;0,IF(_TauxActuariel1,(('TAM Projet 1'!AJ7+1)^(1/_NbechAn1))-1,'TAM Projet 1'!AJ7/_NbechAn1),_Txper1)</f>
        <v>8.3333333333333339E-4</v>
      </c>
      <c r="I16" s="28">
        <f>IF('TAM Projet 1'!AM7&gt;0,'TAM Projet 1'!AM7,IF('TAM Projet 1'!AL7&gt;0,IF(AND(_EchFIXE1,H16&gt;0),ROUND(('TAM Projet 1'!AT7-'TAM Projet 1'!AK7)*H16/(1-((1+H16)^-'TAM Projet 1'!AL7)),_NbDeci1),ROUND('TAM Projet 1'!AT7/'TAM Projet 1'!AL7,_NbDeci1)),_MtEch1))</f>
        <v>187406.04</v>
      </c>
      <c r="J16" s="17"/>
      <c r="K16" s="17"/>
      <c r="L16" s="17"/>
      <c r="M16" s="17"/>
      <c r="O16" s="186">
        <v>14</v>
      </c>
      <c r="P16" s="185" t="s">
        <v>102</v>
      </c>
    </row>
    <row r="17" spans="1:16" x14ac:dyDescent="0.2">
      <c r="A17" s="29">
        <f>IF('TAM Projet 1'!T8&gt;0,IF(_TauxActuariel,(('TAM Projet 1'!T8+1)^(1/_NbEchAn))-1,'TAM Projet 1'!T8/_NbEchAn),A16)</f>
        <v>1.5499999999999999E-3</v>
      </c>
      <c r="B17" s="28">
        <f>IF('TAM Projet 1'!W8&gt;0,'TAM Projet 1'!W8,IF('TAM Projet 1'!V8&gt;0,IF(AND(_EchFIXE,A17&gt;0),ROUND(('TAM Projet 1'!AD8-'TAM Projet 1'!U8)*A17/(1-((1+A17)^-'TAM Projet 1'!V8)),_NbDeci),ROUND('TAM Projet 1'!AD8/'TAM Projet 1'!V8,_NbDeci)),B16))</f>
        <v>768.98</v>
      </c>
      <c r="C17" s="17"/>
      <c r="D17" s="17"/>
      <c r="E17" s="17"/>
      <c r="F17" s="17"/>
      <c r="H17" s="29">
        <f>IF('TAM Projet 1'!AJ8&gt;0,IF(_TauxActuariel1,(('TAM Projet 1'!AJ8+1)^(1/_NbechAn1))-1,'TAM Projet 1'!AJ8/_NbechAn1),H16)</f>
        <v>8.3333333333333339E-4</v>
      </c>
      <c r="I17" s="28">
        <f>IF('TAM Projet 1'!AM8&gt;0,'TAM Projet 1'!AM8,IF('TAM Projet 1'!AL8&gt;0,IF(AND(_EchFIXE1,H17&gt;0),ROUND(('TAM Projet 1'!AT8-'TAM Projet 1'!AK8)*H17/(1-((1+H17)^-'TAM Projet 1'!AL8)),_NbDeci1),ROUND('TAM Projet 1'!AT8/'TAM Projet 1'!AL8,_NbDeci1)),I16))</f>
        <v>187406.04</v>
      </c>
      <c r="J17" s="17"/>
      <c r="K17" s="17"/>
      <c r="L17" s="17"/>
      <c r="M17" s="17"/>
      <c r="O17" s="186">
        <v>15</v>
      </c>
      <c r="P17" s="185" t="s">
        <v>103</v>
      </c>
    </row>
    <row r="18" spans="1:16" x14ac:dyDescent="0.2">
      <c r="A18" s="29">
        <f>IF('TAM Projet 1'!T9&gt;0,IF(_TauxActuariel,(('TAM Projet 1'!T9+1)^(1/_NbEchAn))-1,'TAM Projet 1'!T9/_NbEchAn),A17)</f>
        <v>1.5499999999999999E-3</v>
      </c>
      <c r="B18" s="28">
        <f>IF('TAM Projet 1'!W9&gt;0,'TAM Projet 1'!W9,IF('TAM Projet 1'!V9&gt;0,IF(AND(_EchFIXE,A18&gt;0),ROUND(('TAM Projet 1'!AD9-'TAM Projet 1'!U9)*A18/(1-((1+A18)^-'TAM Projet 1'!V9)),_NbDeci),ROUND('TAM Projet 1'!AD9/'TAM Projet 1'!V9,_NbDeci)),B17))</f>
        <v>768.98</v>
      </c>
      <c r="C18" s="10"/>
      <c r="D18" s="10"/>
      <c r="E18" s="10"/>
      <c r="F18" s="10"/>
      <c r="H18" s="29">
        <f>IF('TAM Projet 1'!AJ9&gt;0,IF(_TauxActuariel1,(('TAM Projet 1'!AJ9+1)^(1/_NbechAn1))-1,'TAM Projet 1'!AJ9/_NbechAn1),H17)</f>
        <v>8.3333333333333339E-4</v>
      </c>
      <c r="I18" s="28">
        <f>IF('TAM Projet 1'!AM9&gt;0,'TAM Projet 1'!AM9,IF('TAM Projet 1'!AL9&gt;0,IF(AND(_EchFIXE1,H18&gt;0),ROUND(('TAM Projet 1'!AT9-'TAM Projet 1'!AK9)*H18/(1-((1+H18)^-'TAM Projet 1'!AL9)),_NbDeci1),ROUND('TAM Projet 1'!AT9/'TAM Projet 1'!AL9,_NbDeci1)),I17))</f>
        <v>187406.04</v>
      </c>
      <c r="J18" s="10"/>
      <c r="K18" s="10"/>
      <c r="L18" s="10"/>
      <c r="M18" s="10"/>
      <c r="O18" s="186">
        <v>16</v>
      </c>
      <c r="P18" s="185" t="s">
        <v>104</v>
      </c>
    </row>
    <row r="19" spans="1:16" x14ac:dyDescent="0.2">
      <c r="A19" s="29">
        <f>IF('TAM Projet 1'!T10&gt;0,IF(_TauxActuariel,(('TAM Projet 1'!T10+1)^(1/_NbEchAn))-1,'TAM Projet 1'!T10/_NbEchAn),A18)</f>
        <v>1.5499999999999999E-3</v>
      </c>
      <c r="B19" s="28">
        <f>IF('TAM Projet 1'!W10&gt;0,'TAM Projet 1'!W10,IF('TAM Projet 1'!V10&gt;0,IF(AND(_EchFIXE,A19&gt;0),ROUND(('TAM Projet 1'!AD10-'TAM Projet 1'!U10)*A19/(1-((1+A19)^-'TAM Projet 1'!V10)),_NbDeci),ROUND('TAM Projet 1'!AD10/'TAM Projet 1'!V10,_NbDeci)),B18))</f>
        <v>768.98</v>
      </c>
      <c r="C19" s="10"/>
      <c r="D19" s="10"/>
      <c r="E19" s="10"/>
      <c r="F19" s="10"/>
      <c r="H19" s="29">
        <f>IF('TAM Projet 1'!AJ10&gt;0,IF(_TauxActuariel1,(('TAM Projet 1'!AJ10+1)^(1/_NbechAn1))-1,'TAM Projet 1'!AJ10/_NbechAn1),H18)</f>
        <v>8.3333333333333339E-4</v>
      </c>
      <c r="I19" s="28">
        <f>IF('TAM Projet 1'!AM10&gt;0,'TAM Projet 1'!AM10,IF('TAM Projet 1'!AL10&gt;0,IF(AND(_EchFIXE1,H19&gt;0),ROUND(('TAM Projet 1'!AT10-'TAM Projet 1'!AK10)*H19/(1-((1+H19)^-'TAM Projet 1'!AL10)),_NbDeci1),ROUND('TAM Projet 1'!AT10/'TAM Projet 1'!AL10,_NbDeci1)),I18))</f>
        <v>187406.04</v>
      </c>
      <c r="J19" s="10"/>
      <c r="K19" s="10"/>
      <c r="L19" s="10"/>
      <c r="M19" s="10"/>
      <c r="O19" s="186">
        <v>17</v>
      </c>
      <c r="P19" s="185" t="s">
        <v>105</v>
      </c>
    </row>
    <row r="20" spans="1:16" x14ac:dyDescent="0.2">
      <c r="A20" s="29">
        <f>IF('TAM Projet 1'!T11&gt;0,IF(_TauxActuariel,(('TAM Projet 1'!T11+1)^(1/_NbEchAn))-1,'TAM Projet 1'!T11/_NbEchAn),A19)</f>
        <v>1.5499999999999999E-3</v>
      </c>
      <c r="B20" s="28">
        <f>IF('TAM Projet 1'!W11&gt;0,'TAM Projet 1'!W11,IF('TAM Projet 1'!V11&gt;0,IF(AND(_EchFIXE,A20&gt;0),ROUND(('TAM Projet 1'!AD11-'TAM Projet 1'!U11)*A20/(1-((1+A20)^-'TAM Projet 1'!V11)),_NbDeci),ROUND('TAM Projet 1'!AD11/'TAM Projet 1'!V11,_NbDeci)),B19))</f>
        <v>768.98</v>
      </c>
      <c r="C20" s="10"/>
      <c r="D20" s="10"/>
      <c r="E20" s="10"/>
      <c r="F20" s="10"/>
      <c r="H20" s="29">
        <f>IF('TAM Projet 1'!AJ11&gt;0,IF(_TauxActuariel1,(('TAM Projet 1'!AJ11+1)^(1/_NbechAn1))-1,'TAM Projet 1'!AJ11/_NbechAn1),H19)</f>
        <v>8.3333333333333339E-4</v>
      </c>
      <c r="I20" s="28">
        <f>IF('TAM Projet 1'!AM11&gt;0,'TAM Projet 1'!AM11,IF('TAM Projet 1'!AL11&gt;0,IF(AND(_EchFIXE1,H20&gt;0),ROUND(('TAM Projet 1'!AT11-'TAM Projet 1'!AK11)*H20/(1-((1+H20)^-'TAM Projet 1'!AL11)),_NbDeci1),ROUND('TAM Projet 1'!AT11/'TAM Projet 1'!AL11,_NbDeci1)),I19))</f>
        <v>187406.04</v>
      </c>
      <c r="J20" s="10"/>
      <c r="K20" s="10"/>
      <c r="L20" s="10"/>
      <c r="M20" s="10"/>
      <c r="O20" s="186">
        <v>18</v>
      </c>
      <c r="P20" s="185" t="s">
        <v>106</v>
      </c>
    </row>
    <row r="21" spans="1:16" x14ac:dyDescent="0.2">
      <c r="A21" s="29">
        <f>IF('TAM Projet 1'!T12&gt;0,IF(_TauxActuariel,(('TAM Projet 1'!T12+1)^(1/_NbEchAn))-1,'TAM Projet 1'!T12/_NbEchAn),A20)</f>
        <v>1.5499999999999999E-3</v>
      </c>
      <c r="B21" s="28">
        <f>IF('TAM Projet 1'!W12&gt;0,'TAM Projet 1'!W12,IF('TAM Projet 1'!V12&gt;0,IF(AND(_EchFIXE,A21&gt;0),ROUND(('TAM Projet 1'!AD12-'TAM Projet 1'!U12)*A21/(1-((1+A21)^-'TAM Projet 1'!V12)),_NbDeci),ROUND('TAM Projet 1'!AD12/'TAM Projet 1'!V12,_NbDeci)),B20))</f>
        <v>768.98</v>
      </c>
      <c r="C21" s="10"/>
      <c r="D21" s="10"/>
      <c r="E21" s="10"/>
      <c r="F21" s="10"/>
      <c r="H21" s="29">
        <f>IF('TAM Projet 1'!AJ12&gt;0,IF(_TauxActuariel1,(('TAM Projet 1'!AJ12+1)^(1/_NbechAn1))-1,'TAM Projet 1'!AJ12/_NbechAn1),H20)</f>
        <v>8.3333333333333339E-4</v>
      </c>
      <c r="I21" s="28">
        <f>IF('TAM Projet 1'!AM12&gt;0,'TAM Projet 1'!AM12,IF('TAM Projet 1'!AL12&gt;0,IF(AND(_EchFIXE1,H21&gt;0),ROUND(('TAM Projet 1'!AT12-'TAM Projet 1'!AK12)*H21/(1-((1+H21)^-'TAM Projet 1'!AL12)),_NbDeci1),ROUND('TAM Projet 1'!AT12/'TAM Projet 1'!AL12,_NbDeci1)),I20))</f>
        <v>187406.04</v>
      </c>
      <c r="J21" s="10"/>
      <c r="K21" s="10"/>
      <c r="L21" s="10"/>
      <c r="M21" s="10"/>
      <c r="O21" s="186">
        <v>19</v>
      </c>
      <c r="P21" s="185" t="s">
        <v>107</v>
      </c>
    </row>
    <row r="22" spans="1:16" x14ac:dyDescent="0.2">
      <c r="A22" s="29">
        <f>IF('TAM Projet 1'!T13&gt;0,IF(_TauxActuariel,(('TAM Projet 1'!T13+1)^(1/_NbEchAn))-1,'TAM Projet 1'!T13/_NbEchAn),A21)</f>
        <v>1.5499999999999999E-3</v>
      </c>
      <c r="B22" s="28">
        <f>IF('TAM Projet 1'!W13&gt;0,'TAM Projet 1'!W13,IF('TAM Projet 1'!V13&gt;0,IF(AND(_EchFIXE,A22&gt;0),ROUND(('TAM Projet 1'!AD13-'TAM Projet 1'!U13)*A22/(1-((1+A22)^-'TAM Projet 1'!V13)),_NbDeci),ROUND('TAM Projet 1'!AD13/'TAM Projet 1'!V13,_NbDeci)),B21))</f>
        <v>768.98</v>
      </c>
      <c r="C22" s="10"/>
      <c r="D22" s="10"/>
      <c r="E22" s="10"/>
      <c r="F22" s="10"/>
      <c r="H22" s="29">
        <f>IF('TAM Projet 1'!AJ13&gt;0,IF(_TauxActuariel1,(('TAM Projet 1'!AJ13+1)^(1/_NbechAn1))-1,'TAM Projet 1'!AJ13/_NbechAn1),H21)</f>
        <v>8.3333333333333339E-4</v>
      </c>
      <c r="I22" s="28">
        <f>IF('TAM Projet 1'!AM13&gt;0,'TAM Projet 1'!AM13,IF('TAM Projet 1'!AL13&gt;0,IF(AND(_EchFIXE1,H22&gt;0),ROUND(('TAM Projet 1'!AT13-'TAM Projet 1'!AK13)*H22/(1-((1+H22)^-'TAM Projet 1'!AL13)),_NbDeci1),ROUND('TAM Projet 1'!AT13/'TAM Projet 1'!AL13,_NbDeci1)),I21))</f>
        <v>187406.04</v>
      </c>
      <c r="J22" s="10"/>
      <c r="K22" s="10"/>
      <c r="L22" s="10"/>
      <c r="M22" s="10"/>
      <c r="O22" s="186">
        <v>20</v>
      </c>
      <c r="P22" s="185" t="s">
        <v>108</v>
      </c>
    </row>
    <row r="23" spans="1:16" x14ac:dyDescent="0.2">
      <c r="A23" s="29">
        <f>IF('TAM Projet 1'!T14&gt;0,IF(_TauxActuariel,(('TAM Projet 1'!T14+1)^(1/_NbEchAn))-1,'TAM Projet 1'!T14/_NbEchAn),A22)</f>
        <v>1.5499999999999999E-3</v>
      </c>
      <c r="B23" s="28">
        <f>IF('TAM Projet 1'!W14&gt;0,'TAM Projet 1'!W14,IF('TAM Projet 1'!V14&gt;0,IF(AND(_EchFIXE,A23&gt;0),ROUND(('TAM Projet 1'!AD14-'TAM Projet 1'!U14)*A23/(1-((1+A23)^-'TAM Projet 1'!V14)),_NbDeci),ROUND('TAM Projet 1'!AD14/'TAM Projet 1'!V14,_NbDeci)),B22))</f>
        <v>768.98</v>
      </c>
      <c r="C23" s="10"/>
      <c r="D23" s="10"/>
      <c r="E23" s="10"/>
      <c r="F23" s="10"/>
      <c r="H23" s="29">
        <f>IF('TAM Projet 1'!AJ14&gt;0,IF(_TauxActuariel1,(('TAM Projet 1'!AJ14+1)^(1/_NbechAn1))-1,'TAM Projet 1'!AJ14/_NbechAn1),H22)</f>
        <v>8.3333333333333339E-4</v>
      </c>
      <c r="I23" s="28">
        <f>IF('TAM Projet 1'!AM14&gt;0,'TAM Projet 1'!AM14,IF('TAM Projet 1'!AL14&gt;0,IF(AND(_EchFIXE1,H23&gt;0),ROUND(('TAM Projet 1'!AT14-'TAM Projet 1'!AK14)*H23/(1-((1+H23)^-'TAM Projet 1'!AL14)),_NbDeci1),ROUND('TAM Projet 1'!AT14/'TAM Projet 1'!AL14,_NbDeci1)),I22))</f>
        <v>187406.04</v>
      </c>
      <c r="J23" s="10"/>
      <c r="K23" s="10"/>
      <c r="L23" s="10"/>
      <c r="M23" s="10"/>
      <c r="O23" s="186">
        <v>21</v>
      </c>
      <c r="P23" s="185" t="s">
        <v>109</v>
      </c>
    </row>
    <row r="24" spans="1:16" x14ac:dyDescent="0.2">
      <c r="A24" s="29">
        <f>IF('TAM Projet 1'!T15&gt;0,IF(_TauxActuariel,(('TAM Projet 1'!T15+1)^(1/_NbEchAn))-1,'TAM Projet 1'!T15/_NbEchAn),A23)</f>
        <v>1.5499999999999999E-3</v>
      </c>
      <c r="B24" s="28">
        <f>IF('TAM Projet 1'!W15&gt;0,'TAM Projet 1'!W15,IF('TAM Projet 1'!V15&gt;0,IF(AND(_EchFIXE,A24&gt;0),ROUND(('TAM Projet 1'!AD15-'TAM Projet 1'!U15)*A24/(1-((1+A24)^-'TAM Projet 1'!V15)),_NbDeci),ROUND('TAM Projet 1'!AD15/'TAM Projet 1'!V15,_NbDeci)),B23))</f>
        <v>768.98</v>
      </c>
      <c r="C24" s="10"/>
      <c r="D24" s="10"/>
      <c r="E24" s="10"/>
      <c r="F24" s="10"/>
      <c r="H24" s="29">
        <f>IF('TAM Projet 1'!AJ15&gt;0,IF(_TauxActuariel1,(('TAM Projet 1'!AJ15+1)^(1/_NbechAn1))-1,'TAM Projet 1'!AJ15/_NbechAn1),H23)</f>
        <v>8.3333333333333339E-4</v>
      </c>
      <c r="I24" s="28">
        <f>IF('TAM Projet 1'!AM15&gt;0,'TAM Projet 1'!AM15,IF('TAM Projet 1'!AL15&gt;0,IF(AND(_EchFIXE1,H24&gt;0),ROUND(('TAM Projet 1'!AT15-'TAM Projet 1'!AK15)*H24/(1-((1+H24)^-'TAM Projet 1'!AL15)),_NbDeci1),ROUND('TAM Projet 1'!AT15/'TAM Projet 1'!AL15,_NbDeci1)),I23))</f>
        <v>187406.04</v>
      </c>
      <c r="J24" s="10"/>
      <c r="K24" s="10"/>
      <c r="L24" s="10"/>
      <c r="M24" s="10"/>
      <c r="O24" s="186">
        <v>22</v>
      </c>
      <c r="P24" s="185"/>
    </row>
    <row r="25" spans="1:16" x14ac:dyDescent="0.2">
      <c r="A25" s="29">
        <f>IF('TAM Projet 1'!T16&gt;0,IF(_TauxActuariel,(('TAM Projet 1'!T16+1)^(1/_NbEchAn))-1,'TAM Projet 1'!T16/_NbEchAn),A24)</f>
        <v>1.5499999999999999E-3</v>
      </c>
      <c r="B25" s="28">
        <f>IF('TAM Projet 1'!W16&gt;0,'TAM Projet 1'!W16,IF('TAM Projet 1'!V16&gt;0,IF(AND(_EchFIXE,A25&gt;0),ROUND(('TAM Projet 1'!AD16-'TAM Projet 1'!U16)*A25/(1-((1+A25)^-'TAM Projet 1'!V16)),_NbDeci),ROUND('TAM Projet 1'!AD16/'TAM Projet 1'!V16,_NbDeci)),B24))</f>
        <v>768.98</v>
      </c>
      <c r="C25" s="10"/>
      <c r="D25" s="10"/>
      <c r="E25" s="10"/>
      <c r="F25" s="10"/>
      <c r="H25" s="29">
        <f>IF('TAM Projet 1'!AJ16&gt;0,IF(_TauxActuariel1,(('TAM Projet 1'!AJ16+1)^(1/_NbechAn1))-1,'TAM Projet 1'!AJ16/_NbechAn1),H24)</f>
        <v>8.3333333333333339E-4</v>
      </c>
      <c r="I25" s="28">
        <f>IF('TAM Projet 1'!AM16&gt;0,'TAM Projet 1'!AM16,IF('TAM Projet 1'!AL16&gt;0,IF(AND(_EchFIXE1,H25&gt;0),ROUND(('TAM Projet 1'!AT16-'TAM Projet 1'!AK16)*H25/(1-((1+H25)^-'TAM Projet 1'!AL16)),_NbDeci1),ROUND('TAM Projet 1'!AT16/'TAM Projet 1'!AL16,_NbDeci1)),I24))</f>
        <v>187406.04</v>
      </c>
      <c r="J25" s="10"/>
      <c r="K25" s="10"/>
      <c r="L25" s="10"/>
      <c r="M25" s="10"/>
      <c r="O25" s="186">
        <v>23</v>
      </c>
    </row>
    <row r="26" spans="1:16" x14ac:dyDescent="0.2">
      <c r="A26" s="29">
        <f>IF('TAM Projet 1'!T17&gt;0,IF(_TauxActuariel,(('TAM Projet 1'!T17+1)^(1/_NbEchAn))-1,'TAM Projet 1'!T17/_NbEchAn),A25)</f>
        <v>1.5499999999999999E-3</v>
      </c>
      <c r="B26" s="28">
        <f>IF('TAM Projet 1'!W17&gt;0,'TAM Projet 1'!W17,IF('TAM Projet 1'!V17&gt;0,IF(AND(_EchFIXE,A26&gt;0),ROUND(('TAM Projet 1'!AD17-'TAM Projet 1'!U17)*A26/(1-((1+A26)^-'TAM Projet 1'!V17)),_NbDeci),ROUND('TAM Projet 1'!AD17/'TAM Projet 1'!V17,_NbDeci)),B25))</f>
        <v>768.98</v>
      </c>
      <c r="C26" s="10"/>
      <c r="D26" s="10"/>
      <c r="E26" s="10"/>
      <c r="F26" s="10"/>
      <c r="H26" s="29">
        <f>IF('TAM Projet 1'!AJ17&gt;0,IF(_TauxActuariel1,(('TAM Projet 1'!AJ17+1)^(1/_NbechAn1))-1,'TAM Projet 1'!AJ17/_NbechAn1),H25)</f>
        <v>8.3333333333333339E-4</v>
      </c>
      <c r="I26" s="28">
        <f>IF('TAM Projet 1'!AM17&gt;0,'TAM Projet 1'!AM17,IF('TAM Projet 1'!AL17&gt;0,IF(AND(_EchFIXE1,H26&gt;0),ROUND(('TAM Projet 1'!AT17-'TAM Projet 1'!AK17)*H26/(1-((1+H26)^-'TAM Projet 1'!AL17)),_NbDeci1),ROUND('TAM Projet 1'!AT17/'TAM Projet 1'!AL17,_NbDeci1)),I25))</f>
        <v>187406.04</v>
      </c>
      <c r="J26" s="10"/>
      <c r="K26" s="10"/>
      <c r="L26" s="10"/>
      <c r="M26" s="10"/>
      <c r="O26" s="186">
        <v>24</v>
      </c>
    </row>
    <row r="27" spans="1:16" x14ac:dyDescent="0.2">
      <c r="A27" s="29">
        <f>IF('TAM Projet 1'!T18&gt;0,IF(_TauxActuariel,(('TAM Projet 1'!T18+1)^(1/_NbEchAn))-1,'TAM Projet 1'!T18/_NbEchAn),A26)</f>
        <v>1.5499999999999999E-3</v>
      </c>
      <c r="B27" s="28">
        <f>IF('TAM Projet 1'!W18&gt;0,'TAM Projet 1'!W18,IF('TAM Projet 1'!V18&gt;0,IF(AND(_EchFIXE,A27&gt;0),ROUND(('TAM Projet 1'!AD18-'TAM Projet 1'!U18)*A27/(1-((1+A27)^-'TAM Projet 1'!V18)),_NbDeci),ROUND('TAM Projet 1'!AD18/'TAM Projet 1'!V18,_NbDeci)),B26))</f>
        <v>768.98</v>
      </c>
      <c r="C27" s="10"/>
      <c r="D27" s="10"/>
      <c r="E27" s="10"/>
      <c r="F27" s="10"/>
      <c r="H27" s="29">
        <f>IF('TAM Projet 1'!AJ18&gt;0,IF(_TauxActuariel1,(('TAM Projet 1'!AJ18+1)^(1/_NbechAn1))-1,'TAM Projet 1'!AJ18/_NbechAn1),H26)</f>
        <v>8.3333333333333339E-4</v>
      </c>
      <c r="I27" s="28">
        <f>IF('TAM Projet 1'!AM18&gt;0,'TAM Projet 1'!AM18,IF('TAM Projet 1'!AL18&gt;0,IF(AND(_EchFIXE1,H27&gt;0),ROUND(('TAM Projet 1'!AT18-'TAM Projet 1'!AK18)*H27/(1-((1+H27)^-'TAM Projet 1'!AL18)),_NbDeci1),ROUND('TAM Projet 1'!AT18/'TAM Projet 1'!AL18,_NbDeci1)),I26))</f>
        <v>187406.04</v>
      </c>
      <c r="J27" s="10"/>
      <c r="K27" s="10"/>
      <c r="L27" s="10"/>
      <c r="M27" s="10"/>
      <c r="O27" s="186">
        <v>25</v>
      </c>
    </row>
    <row r="28" spans="1:16" x14ac:dyDescent="0.2">
      <c r="A28" s="29">
        <f>IF('TAM Projet 1'!T19&gt;0,IF(_TauxActuariel,(('TAM Projet 1'!T19+1)^(1/_NbEchAn))-1,'TAM Projet 1'!T19/_NbEchAn),A27)</f>
        <v>1.5499999999999999E-3</v>
      </c>
      <c r="B28" s="28">
        <f>IF('TAM Projet 1'!W19&gt;0,'TAM Projet 1'!W19,IF('TAM Projet 1'!V19&gt;0,IF(AND(_EchFIXE,A28&gt;0),ROUND(('TAM Projet 1'!AD19-'TAM Projet 1'!U19)*A28/(1-((1+A28)^-'TAM Projet 1'!V19)),_NbDeci),ROUND('TAM Projet 1'!AD19/'TAM Projet 1'!V19,_NbDeci)),B27))</f>
        <v>768.98</v>
      </c>
      <c r="C28" s="10"/>
      <c r="D28" s="10"/>
      <c r="E28" s="10"/>
      <c r="F28" s="10"/>
      <c r="H28" s="29">
        <f>IF('TAM Projet 1'!AJ19&gt;0,IF(_TauxActuariel1,(('TAM Projet 1'!AJ19+1)^(1/_NbechAn1))-1,'TAM Projet 1'!AJ19/_NbechAn1),H27)</f>
        <v>8.3333333333333339E-4</v>
      </c>
      <c r="I28" s="28">
        <f>IF('TAM Projet 1'!AM19&gt;0,'TAM Projet 1'!AM19,IF('TAM Projet 1'!AL19&gt;0,IF(AND(_EchFIXE1,H28&gt;0),ROUND(('TAM Projet 1'!AT19-'TAM Projet 1'!AK19)*H28/(1-((1+H28)^-'TAM Projet 1'!AL19)),_NbDeci1),ROUND('TAM Projet 1'!AT19/'TAM Projet 1'!AL19,_NbDeci1)),I27))</f>
        <v>187406.04</v>
      </c>
      <c r="J28" s="10"/>
      <c r="K28" s="10"/>
      <c r="L28" s="10"/>
      <c r="M28" s="10"/>
      <c r="O28" s="186">
        <v>26</v>
      </c>
    </row>
    <row r="29" spans="1:16" x14ac:dyDescent="0.2">
      <c r="A29" s="29">
        <f>IF('TAM Projet 1'!T20&gt;0,IF(_TauxActuariel,(('TAM Projet 1'!T20+1)^(1/_NbEchAn))-1,'TAM Projet 1'!T20/_NbEchAn),A28)</f>
        <v>1.5499999999999999E-3</v>
      </c>
      <c r="B29" s="28">
        <f>IF('TAM Projet 1'!W20&gt;0,'TAM Projet 1'!W20,IF('TAM Projet 1'!V20&gt;0,IF(AND(_EchFIXE,A29&gt;0),ROUND(('TAM Projet 1'!AD20-'TAM Projet 1'!U20)*A29/(1-((1+A29)^-'TAM Projet 1'!V20)),_NbDeci),ROUND('TAM Projet 1'!AD20/'TAM Projet 1'!V20,_NbDeci)),B28))</f>
        <v>768.98</v>
      </c>
      <c r="C29" s="10"/>
      <c r="D29" s="10"/>
      <c r="E29" s="10"/>
      <c r="F29" s="10"/>
      <c r="H29" s="29">
        <f>IF('TAM Projet 1'!AJ20&gt;0,IF(_TauxActuariel1,(('TAM Projet 1'!AJ20+1)^(1/_NbechAn1))-1,'TAM Projet 1'!AJ20/_NbechAn1),H28)</f>
        <v>8.3333333333333339E-4</v>
      </c>
      <c r="I29" s="28">
        <f>IF('TAM Projet 1'!AM20&gt;0,'TAM Projet 1'!AM20,IF('TAM Projet 1'!AL20&gt;0,IF(AND(_EchFIXE1,H29&gt;0),ROUND(('TAM Projet 1'!AT20-'TAM Projet 1'!AK20)*H29/(1-((1+H29)^-'TAM Projet 1'!AL20)),_NbDeci1),ROUND('TAM Projet 1'!AT20/'TAM Projet 1'!AL20,_NbDeci1)),I28))</f>
        <v>187406.04</v>
      </c>
      <c r="J29" s="10"/>
      <c r="K29" s="10"/>
      <c r="L29" s="10"/>
      <c r="M29" s="10"/>
      <c r="O29" s="186">
        <v>27</v>
      </c>
    </row>
    <row r="30" spans="1:16" x14ac:dyDescent="0.2">
      <c r="A30" s="29">
        <f>IF('TAM Projet 1'!T21&gt;0,IF(_TauxActuariel,(('TAM Projet 1'!T21+1)^(1/_NbEchAn))-1,'TAM Projet 1'!T21/_NbEchAn),A29)</f>
        <v>1.5499999999999999E-3</v>
      </c>
      <c r="B30" s="28">
        <f>IF('TAM Projet 1'!W21&gt;0,'TAM Projet 1'!W21,IF('TAM Projet 1'!V21&gt;0,IF(AND(_EchFIXE,A30&gt;0),ROUND(('TAM Projet 1'!AD21-'TAM Projet 1'!U21)*A30/(1-((1+A30)^-'TAM Projet 1'!V21)),_NbDeci),ROUND('TAM Projet 1'!AD21/'TAM Projet 1'!V21,_NbDeci)),B29))</f>
        <v>768.98</v>
      </c>
      <c r="C30" s="10"/>
      <c r="D30" s="10"/>
      <c r="E30" s="10"/>
      <c r="F30" s="10"/>
      <c r="H30" s="29">
        <f>IF('TAM Projet 1'!AJ21&gt;0,IF(_TauxActuariel1,(('TAM Projet 1'!AJ21+1)^(1/_NbechAn1))-1,'TAM Projet 1'!AJ21/_NbechAn1),H29)</f>
        <v>8.3333333333333339E-4</v>
      </c>
      <c r="I30" s="28">
        <f>IF('TAM Projet 1'!AM21&gt;0,'TAM Projet 1'!AM21,IF('TAM Projet 1'!AL21&gt;0,IF(AND(_EchFIXE1,H30&gt;0),ROUND(('TAM Projet 1'!AT21-'TAM Projet 1'!AK21)*H30/(1-((1+H30)^-'TAM Projet 1'!AL21)),_NbDeci1),ROUND('TAM Projet 1'!AT21/'TAM Projet 1'!AL21,_NbDeci1)),I29))</f>
        <v>187406.04</v>
      </c>
      <c r="J30" s="10"/>
      <c r="K30" s="10"/>
      <c r="L30" s="10"/>
      <c r="M30" s="10"/>
      <c r="O30" s="186">
        <v>28</v>
      </c>
    </row>
    <row r="31" spans="1:16" x14ac:dyDescent="0.2">
      <c r="A31" s="29">
        <f>IF('TAM Projet 1'!T22&gt;0,IF(_TauxActuariel,(('TAM Projet 1'!T22+1)^(1/_NbEchAn))-1,'TAM Projet 1'!T22/_NbEchAn),A30)</f>
        <v>1.5499999999999999E-3</v>
      </c>
      <c r="B31" s="28">
        <f>IF('TAM Projet 1'!W22&gt;0,'TAM Projet 1'!W22,IF('TAM Projet 1'!V22&gt;0,IF(AND(_EchFIXE,A31&gt;0),ROUND(('TAM Projet 1'!AD22-'TAM Projet 1'!U22)*A31/(1-((1+A31)^-'TAM Projet 1'!V22)),_NbDeci),ROUND('TAM Projet 1'!AD22/'TAM Projet 1'!V22,_NbDeci)),B30))</f>
        <v>768.98</v>
      </c>
      <c r="C31" s="10"/>
      <c r="D31" s="10"/>
      <c r="E31" s="10"/>
      <c r="F31" s="10"/>
      <c r="H31" s="29">
        <f>IF('TAM Projet 1'!AJ22&gt;0,IF(_TauxActuariel1,(('TAM Projet 1'!AJ22+1)^(1/_NbechAn1))-1,'TAM Projet 1'!AJ22/_NbechAn1),H30)</f>
        <v>8.3333333333333339E-4</v>
      </c>
      <c r="I31" s="28">
        <f>IF('TAM Projet 1'!AM22&gt;0,'TAM Projet 1'!AM22,IF('TAM Projet 1'!AL22&gt;0,IF(AND(_EchFIXE1,H31&gt;0),ROUND(('TAM Projet 1'!AT22-'TAM Projet 1'!AK22)*H31/(1-((1+H31)^-'TAM Projet 1'!AL22)),_NbDeci1),ROUND('TAM Projet 1'!AT22/'TAM Projet 1'!AL22,_NbDeci1)),I30))</f>
        <v>187406.04</v>
      </c>
      <c r="J31" s="10"/>
      <c r="K31" s="10"/>
      <c r="L31" s="10"/>
      <c r="M31" s="10"/>
      <c r="O31" s="186">
        <v>29</v>
      </c>
    </row>
    <row r="32" spans="1:16" x14ac:dyDescent="0.2">
      <c r="A32" s="29">
        <f>IF('TAM Projet 1'!T23&gt;0,IF(_TauxActuariel,(('TAM Projet 1'!T23+1)^(1/_NbEchAn))-1,'TAM Projet 1'!T23/_NbEchAn),A31)</f>
        <v>1.5499999999999999E-3</v>
      </c>
      <c r="B32" s="28">
        <f>IF('TAM Projet 1'!W23&gt;0,'TAM Projet 1'!W23,IF('TAM Projet 1'!V23&gt;0,IF(AND(_EchFIXE,A32&gt;0),ROUND(('TAM Projet 1'!AD23-'TAM Projet 1'!U23)*A32/(1-((1+A32)^-'TAM Projet 1'!V23)),_NbDeci),ROUND('TAM Projet 1'!AD23/'TAM Projet 1'!V23,_NbDeci)),B31))</f>
        <v>768.98</v>
      </c>
      <c r="C32" s="10"/>
      <c r="D32" s="10"/>
      <c r="E32" s="10"/>
      <c r="F32" s="10"/>
      <c r="H32" s="29">
        <f>IF('TAM Projet 1'!AJ23&gt;0,IF(_TauxActuariel1,(('TAM Projet 1'!AJ23+1)^(1/_NbechAn1))-1,'TAM Projet 1'!AJ23/_NbechAn1),H31)</f>
        <v>8.3333333333333339E-4</v>
      </c>
      <c r="I32" s="28">
        <f>IF('TAM Projet 1'!AM23&gt;0,'TAM Projet 1'!AM23,IF('TAM Projet 1'!AL23&gt;0,IF(AND(_EchFIXE1,H32&gt;0),ROUND(('TAM Projet 1'!AT23-'TAM Projet 1'!AK23)*H32/(1-((1+H32)^-'TAM Projet 1'!AL23)),_NbDeci1),ROUND('TAM Projet 1'!AT23/'TAM Projet 1'!AL23,_NbDeci1)),I31))</f>
        <v>187406.04</v>
      </c>
      <c r="J32" s="10"/>
      <c r="K32" s="10"/>
      <c r="L32" s="10"/>
      <c r="M32" s="10"/>
      <c r="O32" s="186">
        <v>30</v>
      </c>
    </row>
    <row r="33" spans="1:15" x14ac:dyDescent="0.2">
      <c r="A33" s="29">
        <f>IF('TAM Projet 1'!T24&gt;0,IF(_TauxActuariel,(('TAM Projet 1'!T24+1)^(1/_NbEchAn))-1,'TAM Projet 1'!T24/_NbEchAn),A32)</f>
        <v>1.5499999999999999E-3</v>
      </c>
      <c r="B33" s="28">
        <f>IF('TAM Projet 1'!W24&gt;0,'TAM Projet 1'!W24,IF('TAM Projet 1'!V24&gt;0,IF(AND(_EchFIXE,A33&gt;0),ROUND(('TAM Projet 1'!AD24-'TAM Projet 1'!U24)*A33/(1-((1+A33)^-'TAM Projet 1'!V24)),_NbDeci),ROUND('TAM Projet 1'!AD24/'TAM Projet 1'!V24,_NbDeci)),B32))</f>
        <v>768.98</v>
      </c>
      <c r="C33" s="10"/>
      <c r="D33" s="10"/>
      <c r="E33" s="10"/>
      <c r="F33" s="10"/>
      <c r="H33" s="29">
        <f>IF('TAM Projet 1'!AJ24&gt;0,IF(_TauxActuariel1,(('TAM Projet 1'!AJ24+1)^(1/_NbechAn1))-1,'TAM Projet 1'!AJ24/_NbechAn1),H32)</f>
        <v>8.3333333333333339E-4</v>
      </c>
      <c r="I33" s="28">
        <f>IF('TAM Projet 1'!AM24&gt;0,'TAM Projet 1'!AM24,IF('TAM Projet 1'!AL24&gt;0,IF(AND(_EchFIXE1,H33&gt;0),ROUND(('TAM Projet 1'!AT24-'TAM Projet 1'!AK24)*H33/(1-((1+H33)^-'TAM Projet 1'!AL24)),_NbDeci1),ROUND('TAM Projet 1'!AT24/'TAM Projet 1'!AL24,_NbDeci1)),I32))</f>
        <v>187406.04</v>
      </c>
      <c r="J33" s="10"/>
      <c r="K33" s="10"/>
      <c r="L33" s="10"/>
      <c r="M33" s="10"/>
      <c r="O33" s="186">
        <v>31</v>
      </c>
    </row>
    <row r="34" spans="1:15" x14ac:dyDescent="0.2">
      <c r="A34" s="29">
        <f>IF('TAM Projet 1'!T25&gt;0,IF(_TauxActuariel,(('TAM Projet 1'!T25+1)^(1/_NbEchAn))-1,'TAM Projet 1'!T25/_NbEchAn),A33)</f>
        <v>1.5499999999999999E-3</v>
      </c>
      <c r="B34" s="28">
        <f>IF('TAM Projet 1'!W25&gt;0,'TAM Projet 1'!W25,IF('TAM Projet 1'!V25&gt;0,IF(AND(_EchFIXE,A34&gt;0),ROUND(('TAM Projet 1'!AD25-'TAM Projet 1'!U25)*A34/(1-((1+A34)^-'TAM Projet 1'!V25)),_NbDeci),ROUND('TAM Projet 1'!AD25/'TAM Projet 1'!V25,_NbDeci)),B33))</f>
        <v>768.98</v>
      </c>
      <c r="C34" s="10"/>
      <c r="D34" s="10"/>
      <c r="E34" s="10"/>
      <c r="F34" s="10"/>
      <c r="H34" s="29">
        <f>IF('TAM Projet 1'!AJ25&gt;0,IF(_TauxActuariel1,(('TAM Projet 1'!AJ25+1)^(1/_NbechAn1))-1,'TAM Projet 1'!AJ25/_NbechAn1),H33)</f>
        <v>8.3333333333333339E-4</v>
      </c>
      <c r="I34" s="28">
        <f>IF('TAM Projet 1'!AM25&gt;0,'TAM Projet 1'!AM25,IF('TAM Projet 1'!AL25&gt;0,IF(AND(_EchFIXE1,H34&gt;0),ROUND(('TAM Projet 1'!AT25-'TAM Projet 1'!AK25)*H34/(1-((1+H34)^-'TAM Projet 1'!AL25)),_NbDeci1),ROUND('TAM Projet 1'!AT25/'TAM Projet 1'!AL25,_NbDeci1)),I33))</f>
        <v>187406.04</v>
      </c>
      <c r="J34" s="10"/>
      <c r="K34" s="10"/>
      <c r="L34" s="10"/>
      <c r="M34" s="10"/>
      <c r="O34" s="186">
        <v>32</v>
      </c>
    </row>
    <row r="35" spans="1:15" x14ac:dyDescent="0.2">
      <c r="A35" s="29">
        <f>IF('TAM Projet 1'!T26&gt;0,IF(_TauxActuariel,(('TAM Projet 1'!T26+1)^(1/_NbEchAn))-1,'TAM Projet 1'!T26/_NbEchAn),A34)</f>
        <v>1.5499999999999999E-3</v>
      </c>
      <c r="B35" s="28">
        <f>IF('TAM Projet 1'!W26&gt;0,'TAM Projet 1'!W26,IF('TAM Projet 1'!V26&gt;0,IF(AND(_EchFIXE,A35&gt;0),ROUND(('TAM Projet 1'!AD26-'TAM Projet 1'!U26)*A35/(1-((1+A35)^-'TAM Projet 1'!V26)),_NbDeci),ROUND('TAM Projet 1'!AD26/'TAM Projet 1'!V26,_NbDeci)),B34))</f>
        <v>768.98</v>
      </c>
      <c r="C35" s="10"/>
      <c r="D35" s="10"/>
      <c r="E35" s="10"/>
      <c r="F35" s="10"/>
      <c r="H35" s="29">
        <f>IF('TAM Projet 1'!AJ26&gt;0,IF(_TauxActuariel1,(('TAM Projet 1'!AJ26+1)^(1/_NbechAn1))-1,'TAM Projet 1'!AJ26/_NbechAn1),H34)</f>
        <v>8.3333333333333339E-4</v>
      </c>
      <c r="I35" s="28">
        <f>IF('TAM Projet 1'!AM26&gt;0,'TAM Projet 1'!AM26,IF('TAM Projet 1'!AL26&gt;0,IF(AND(_EchFIXE1,H35&gt;0),ROUND(('TAM Projet 1'!AT26-'TAM Projet 1'!AK26)*H35/(1-((1+H35)^-'TAM Projet 1'!AL26)),_NbDeci1),ROUND('TAM Projet 1'!AT26/'TAM Projet 1'!AL26,_NbDeci1)),I34))</f>
        <v>187406.04</v>
      </c>
      <c r="J35" s="10"/>
      <c r="K35" s="10"/>
      <c r="L35" s="10"/>
      <c r="M35" s="10"/>
      <c r="O35" s="186">
        <v>33</v>
      </c>
    </row>
    <row r="36" spans="1:15" x14ac:dyDescent="0.2">
      <c r="A36" s="29">
        <f>IF('TAM Projet 1'!T27&gt;0,IF(_TauxActuariel,(('TAM Projet 1'!T27+1)^(1/_NbEchAn))-1,'TAM Projet 1'!T27/_NbEchAn),A35)</f>
        <v>1.5499999999999999E-3</v>
      </c>
      <c r="B36" s="28">
        <f>IF('TAM Projet 1'!W27&gt;0,'TAM Projet 1'!W27,IF('TAM Projet 1'!V27&gt;0,IF(AND(_EchFIXE,A36&gt;0),ROUND(('TAM Projet 1'!AD27-'TAM Projet 1'!U27)*A36/(1-((1+A36)^-'TAM Projet 1'!V27)),_NbDeci),ROUND('TAM Projet 1'!AD27/'TAM Projet 1'!V27,_NbDeci)),B35))</f>
        <v>768.98</v>
      </c>
      <c r="C36" s="10"/>
      <c r="D36" s="10"/>
      <c r="E36" s="10"/>
      <c r="F36" s="10"/>
      <c r="H36" s="29">
        <f>IF('TAM Projet 1'!AJ27&gt;0,IF(_TauxActuariel1,(('TAM Projet 1'!AJ27+1)^(1/_NbechAn1))-1,'TAM Projet 1'!AJ27/_NbechAn1),H35)</f>
        <v>8.3333333333333339E-4</v>
      </c>
      <c r="I36" s="28">
        <f>IF('TAM Projet 1'!AM27&gt;0,'TAM Projet 1'!AM27,IF('TAM Projet 1'!AL27&gt;0,IF(AND(_EchFIXE1,H36&gt;0),ROUND(('TAM Projet 1'!AT27-'TAM Projet 1'!AK27)*H36/(1-((1+H36)^-'TAM Projet 1'!AL27)),_NbDeci1),ROUND('TAM Projet 1'!AT27/'TAM Projet 1'!AL27,_NbDeci1)),I35))</f>
        <v>187406.04</v>
      </c>
      <c r="J36" s="10"/>
      <c r="K36" s="10"/>
      <c r="L36" s="10"/>
      <c r="M36" s="10"/>
      <c r="O36" s="186">
        <v>34</v>
      </c>
    </row>
    <row r="37" spans="1:15" x14ac:dyDescent="0.2">
      <c r="A37" s="29">
        <f>IF('TAM Projet 1'!T28&gt;0,IF(_TauxActuariel,(('TAM Projet 1'!T28+1)^(1/_NbEchAn))-1,'TAM Projet 1'!T28/_NbEchAn),A36)</f>
        <v>1.5499999999999999E-3</v>
      </c>
      <c r="B37" s="28">
        <f>IF('TAM Projet 1'!W28&gt;0,'TAM Projet 1'!W28,IF('TAM Projet 1'!V28&gt;0,IF(AND(_EchFIXE,A37&gt;0),ROUND(('TAM Projet 1'!AD28-'TAM Projet 1'!U28)*A37/(1-((1+A37)^-'TAM Projet 1'!V28)),_NbDeci),ROUND('TAM Projet 1'!AD28/'TAM Projet 1'!V28,_NbDeci)),B36))</f>
        <v>768.98</v>
      </c>
      <c r="C37" s="10"/>
      <c r="D37" s="10"/>
      <c r="E37" s="10"/>
      <c r="F37" s="10"/>
      <c r="H37" s="29">
        <f>IF('TAM Projet 1'!AJ28&gt;0,IF(_TauxActuariel1,(('TAM Projet 1'!AJ28+1)^(1/_NbechAn1))-1,'TAM Projet 1'!AJ28/_NbechAn1),H36)</f>
        <v>8.3333333333333339E-4</v>
      </c>
      <c r="I37" s="28">
        <f>IF('TAM Projet 1'!AM28&gt;0,'TAM Projet 1'!AM28,IF('TAM Projet 1'!AL28&gt;0,IF(AND(_EchFIXE1,H37&gt;0),ROUND(('TAM Projet 1'!AT28-'TAM Projet 1'!AK28)*H37/(1-((1+H37)^-'TAM Projet 1'!AL28)),_NbDeci1),ROUND('TAM Projet 1'!AT28/'TAM Projet 1'!AL28,_NbDeci1)),I36))</f>
        <v>187406.04</v>
      </c>
      <c r="J37" s="10"/>
      <c r="K37" s="10"/>
      <c r="L37" s="10"/>
      <c r="M37" s="10"/>
      <c r="O37" s="186">
        <v>35</v>
      </c>
    </row>
    <row r="38" spans="1:15" x14ac:dyDescent="0.2">
      <c r="A38" s="29">
        <f>IF('TAM Projet 1'!T29&gt;0,IF(_TauxActuariel,(('TAM Projet 1'!T29+1)^(1/_NbEchAn))-1,'TAM Projet 1'!T29/_NbEchAn),A37)</f>
        <v>1.5499999999999999E-3</v>
      </c>
      <c r="B38" s="28">
        <f>IF('TAM Projet 1'!W29&gt;0,'TAM Projet 1'!W29,IF('TAM Projet 1'!V29&gt;0,IF(AND(_EchFIXE,A38&gt;0),ROUND(('TAM Projet 1'!AD29-'TAM Projet 1'!U29)*A38/(1-((1+A38)^-'TAM Projet 1'!V29)),_NbDeci),ROUND('TAM Projet 1'!AD29/'TAM Projet 1'!V29,_NbDeci)),B37))</f>
        <v>768.98</v>
      </c>
      <c r="C38" s="10"/>
      <c r="D38" s="10"/>
      <c r="E38" s="10"/>
      <c r="F38" s="10"/>
      <c r="H38" s="29">
        <f>IF('TAM Projet 1'!AJ29&gt;0,IF(_TauxActuariel1,(('TAM Projet 1'!AJ29+1)^(1/_NbechAn1))-1,'TAM Projet 1'!AJ29/_NbechAn1),H37)</f>
        <v>8.3333333333333339E-4</v>
      </c>
      <c r="I38" s="28">
        <f>IF('TAM Projet 1'!AM29&gt;0,'TAM Projet 1'!AM29,IF('TAM Projet 1'!AL29&gt;0,IF(AND(_EchFIXE1,H38&gt;0),ROUND(('TAM Projet 1'!AT29-'TAM Projet 1'!AK29)*H38/(1-((1+H38)^-'TAM Projet 1'!AL29)),_NbDeci1),ROUND('TAM Projet 1'!AT29/'TAM Projet 1'!AL29,_NbDeci1)),I37))</f>
        <v>187406.04</v>
      </c>
      <c r="J38" s="10"/>
      <c r="K38" s="10"/>
      <c r="L38" s="10"/>
      <c r="M38" s="10"/>
      <c r="O38" s="186">
        <v>36</v>
      </c>
    </row>
    <row r="39" spans="1:15" x14ac:dyDescent="0.2">
      <c r="A39" s="29">
        <f>IF('TAM Projet 1'!T30&gt;0,IF(_TauxActuariel,(('TAM Projet 1'!T30+1)^(1/_NbEchAn))-1,'TAM Projet 1'!T30/_NbEchAn),A38)</f>
        <v>1.5499999999999999E-3</v>
      </c>
      <c r="B39" s="28">
        <f>IF('TAM Projet 1'!W30&gt;0,'TAM Projet 1'!W30,IF('TAM Projet 1'!V30&gt;0,IF(AND(_EchFIXE,A39&gt;0),ROUND(('TAM Projet 1'!AD30-'TAM Projet 1'!U30)*A39/(1-((1+A39)^-'TAM Projet 1'!V30)),_NbDeci),ROUND('TAM Projet 1'!AD30/'TAM Projet 1'!V30,_NbDeci)),B38))</f>
        <v>768.98</v>
      </c>
      <c r="C39" s="10"/>
      <c r="D39" s="10"/>
      <c r="E39" s="10"/>
      <c r="F39" s="10"/>
      <c r="H39" s="29">
        <f>IF('TAM Projet 1'!AJ30&gt;0,IF(_TauxActuariel1,(('TAM Projet 1'!AJ30+1)^(1/_NbechAn1))-1,'TAM Projet 1'!AJ30/_NbechAn1),H38)</f>
        <v>8.3333333333333339E-4</v>
      </c>
      <c r="I39" s="28">
        <f>IF('TAM Projet 1'!AM30&gt;0,'TAM Projet 1'!AM30,IF('TAM Projet 1'!AL30&gt;0,IF(AND(_EchFIXE1,H39&gt;0),ROUND(('TAM Projet 1'!AT30-'TAM Projet 1'!AK30)*H39/(1-((1+H39)^-'TAM Projet 1'!AL30)),_NbDeci1),ROUND('TAM Projet 1'!AT30/'TAM Projet 1'!AL30,_NbDeci1)),I38))</f>
        <v>187406.04</v>
      </c>
      <c r="J39" s="10"/>
      <c r="K39" s="10"/>
      <c r="L39" s="10"/>
      <c r="M39" s="10"/>
      <c r="O39" s="186">
        <v>37</v>
      </c>
    </row>
    <row r="40" spans="1:15" x14ac:dyDescent="0.2">
      <c r="A40" s="29">
        <f>IF('TAM Projet 1'!T31&gt;0,IF(_TauxActuariel,(('TAM Projet 1'!T31+1)^(1/_NbEchAn))-1,'TAM Projet 1'!T31/_NbEchAn),A39)</f>
        <v>1.5499999999999999E-3</v>
      </c>
      <c r="B40" s="28">
        <f>IF('TAM Projet 1'!W31&gt;0,'TAM Projet 1'!W31,IF('TAM Projet 1'!V31&gt;0,IF(AND(_EchFIXE,A40&gt;0),ROUND(('TAM Projet 1'!AD31-'TAM Projet 1'!U31)*A40/(1-((1+A40)^-'TAM Projet 1'!V31)),_NbDeci),ROUND('TAM Projet 1'!AD31/'TAM Projet 1'!V31,_NbDeci)),B39))</f>
        <v>768.98</v>
      </c>
      <c r="C40" s="10"/>
      <c r="D40" s="10"/>
      <c r="E40" s="10"/>
      <c r="F40" s="10"/>
      <c r="H40" s="29">
        <f>IF('TAM Projet 1'!AJ31&gt;0,IF(_TauxActuariel1,(('TAM Projet 1'!AJ31+1)^(1/_NbechAn1))-1,'TAM Projet 1'!AJ31/_NbechAn1),H39)</f>
        <v>8.3333333333333339E-4</v>
      </c>
      <c r="I40" s="28">
        <f>IF('TAM Projet 1'!AM31&gt;0,'TAM Projet 1'!AM31,IF('TAM Projet 1'!AL31&gt;0,IF(AND(_EchFIXE1,H40&gt;0),ROUND(('TAM Projet 1'!AT31-'TAM Projet 1'!AK31)*H40/(1-((1+H40)^-'TAM Projet 1'!AL31)),_NbDeci1),ROUND('TAM Projet 1'!AT31/'TAM Projet 1'!AL31,_NbDeci1)),I39))</f>
        <v>187406.04</v>
      </c>
      <c r="J40" s="10"/>
      <c r="K40" s="10"/>
      <c r="L40" s="10"/>
      <c r="M40" s="10"/>
      <c r="O40" s="186">
        <v>38</v>
      </c>
    </row>
    <row r="41" spans="1:15" x14ac:dyDescent="0.2">
      <c r="A41" s="29">
        <f>IF('TAM Projet 1'!T32&gt;0,IF(_TauxActuariel,(('TAM Projet 1'!T32+1)^(1/_NbEchAn))-1,'TAM Projet 1'!T32/_NbEchAn),A40)</f>
        <v>1.5499999999999999E-3</v>
      </c>
      <c r="B41" s="28">
        <f>IF('TAM Projet 1'!W32&gt;0,'TAM Projet 1'!W32,IF('TAM Projet 1'!V32&gt;0,IF(AND(_EchFIXE,A41&gt;0),ROUND(('TAM Projet 1'!AD32-'TAM Projet 1'!U32)*A41/(1-((1+A41)^-'TAM Projet 1'!V32)),_NbDeci),ROUND('TAM Projet 1'!AD32/'TAM Projet 1'!V32,_NbDeci)),B40))</f>
        <v>768.98</v>
      </c>
      <c r="C41" s="10"/>
      <c r="D41" s="10"/>
      <c r="E41" s="10"/>
      <c r="F41" s="10"/>
      <c r="H41" s="29">
        <f>IF('TAM Projet 1'!AJ32&gt;0,IF(_TauxActuariel1,(('TAM Projet 1'!AJ32+1)^(1/_NbechAn1))-1,'TAM Projet 1'!AJ32/_NbechAn1),H40)</f>
        <v>8.3333333333333339E-4</v>
      </c>
      <c r="I41" s="28">
        <f>IF('TAM Projet 1'!AM32&gt;0,'TAM Projet 1'!AM32,IF('TAM Projet 1'!AL32&gt;0,IF(AND(_EchFIXE1,H41&gt;0),ROUND(('TAM Projet 1'!AT32-'TAM Projet 1'!AK32)*H41/(1-((1+H41)^-'TAM Projet 1'!AL32)),_NbDeci1),ROUND('TAM Projet 1'!AT32/'TAM Projet 1'!AL32,_NbDeci1)),I40))</f>
        <v>187406.04</v>
      </c>
      <c r="J41" s="10"/>
      <c r="K41" s="10"/>
      <c r="L41" s="10"/>
      <c r="M41" s="10"/>
      <c r="O41" s="186">
        <v>39</v>
      </c>
    </row>
    <row r="42" spans="1:15" x14ac:dyDescent="0.2">
      <c r="A42" s="29">
        <f>IF('TAM Projet 1'!T33&gt;0,IF(_TauxActuariel,(('TAM Projet 1'!T33+1)^(1/_NbEchAn))-1,'TAM Projet 1'!T33/_NbEchAn),A41)</f>
        <v>1.5499999999999999E-3</v>
      </c>
      <c r="B42" s="28">
        <f>IF('TAM Projet 1'!W33&gt;0,'TAM Projet 1'!W33,IF('TAM Projet 1'!V33&gt;0,IF(AND(_EchFIXE,A42&gt;0),ROUND(('TAM Projet 1'!AD33-'TAM Projet 1'!U33)*A42/(1-((1+A42)^-'TAM Projet 1'!V33)),_NbDeci),ROUND('TAM Projet 1'!AD33/'TAM Projet 1'!V33,_NbDeci)),B41))</f>
        <v>768.98</v>
      </c>
      <c r="C42" s="10"/>
      <c r="D42" s="10"/>
      <c r="E42" s="10"/>
      <c r="F42" s="10"/>
      <c r="H42" s="29">
        <f>IF('TAM Projet 1'!AJ33&gt;0,IF(_TauxActuariel1,(('TAM Projet 1'!AJ33+1)^(1/_NbechAn1))-1,'TAM Projet 1'!AJ33/_NbechAn1),H41)</f>
        <v>8.3333333333333339E-4</v>
      </c>
      <c r="I42" s="28">
        <f>IF('TAM Projet 1'!AM33&gt;0,'TAM Projet 1'!AM33,IF('TAM Projet 1'!AL33&gt;0,IF(AND(_EchFIXE1,H42&gt;0),ROUND(('TAM Projet 1'!AT33-'TAM Projet 1'!AK33)*H42/(1-((1+H42)^-'TAM Projet 1'!AL33)),_NbDeci1),ROUND('TAM Projet 1'!AT33/'TAM Projet 1'!AL33,_NbDeci1)),I41))</f>
        <v>187406.04</v>
      </c>
      <c r="J42" s="10"/>
      <c r="K42" s="10"/>
      <c r="L42" s="10"/>
      <c r="M42" s="10"/>
      <c r="O42" s="186">
        <v>40</v>
      </c>
    </row>
    <row r="43" spans="1:15" x14ac:dyDescent="0.2">
      <c r="A43" s="29">
        <f>IF('TAM Projet 1'!T34&gt;0,IF(_TauxActuariel,(('TAM Projet 1'!T34+1)^(1/_NbEchAn))-1,'TAM Projet 1'!T34/_NbEchAn),A42)</f>
        <v>1.5499999999999999E-3</v>
      </c>
      <c r="B43" s="28">
        <f>IF('TAM Projet 1'!W34&gt;0,'TAM Projet 1'!W34,IF('TAM Projet 1'!V34&gt;0,IF(AND(_EchFIXE,A43&gt;0),ROUND(('TAM Projet 1'!AD34-'TAM Projet 1'!U34)*A43/(1-((1+A43)^-'TAM Projet 1'!V34)),_NbDeci),ROUND('TAM Projet 1'!AD34/'TAM Projet 1'!V34,_NbDeci)),B42))</f>
        <v>768.98</v>
      </c>
      <c r="C43" s="10"/>
      <c r="D43" s="10"/>
      <c r="E43" s="10"/>
      <c r="F43" s="10"/>
      <c r="H43" s="29">
        <f>IF('TAM Projet 1'!AJ34&gt;0,IF(_TauxActuariel1,(('TAM Projet 1'!AJ34+1)^(1/_NbechAn1))-1,'TAM Projet 1'!AJ34/_NbechAn1),H42)</f>
        <v>8.3333333333333339E-4</v>
      </c>
      <c r="I43" s="28">
        <f>IF('TAM Projet 1'!AM34&gt;0,'TAM Projet 1'!AM34,IF('TAM Projet 1'!AL34&gt;0,IF(AND(_EchFIXE1,H43&gt;0),ROUND(('TAM Projet 1'!AT34-'TAM Projet 1'!AK34)*H43/(1-((1+H43)^-'TAM Projet 1'!AL34)),_NbDeci1),ROUND('TAM Projet 1'!AT34/'TAM Projet 1'!AL34,_NbDeci1)),I42))</f>
        <v>187406.04</v>
      </c>
      <c r="J43" s="10"/>
      <c r="K43" s="10"/>
      <c r="L43" s="10"/>
      <c r="M43" s="10"/>
      <c r="O43" s="186">
        <v>41</v>
      </c>
    </row>
    <row r="44" spans="1:15" x14ac:dyDescent="0.2">
      <c r="A44" s="29">
        <f>IF('TAM Projet 1'!T35&gt;0,IF(_TauxActuariel,(('TAM Projet 1'!T35+1)^(1/_NbEchAn))-1,'TAM Projet 1'!T35/_NbEchAn),A43)</f>
        <v>1.5499999999999999E-3</v>
      </c>
      <c r="B44" s="28">
        <f>IF('TAM Projet 1'!W35&gt;0,'TAM Projet 1'!W35,IF('TAM Projet 1'!V35&gt;0,IF(AND(_EchFIXE,A44&gt;0),ROUND(('TAM Projet 1'!AD35-'TAM Projet 1'!U35)*A44/(1-((1+A44)^-'TAM Projet 1'!V35)),_NbDeci),ROUND('TAM Projet 1'!AD35/'TAM Projet 1'!V35,_NbDeci)),B43))</f>
        <v>768.98</v>
      </c>
      <c r="C44" s="10"/>
      <c r="D44" s="10"/>
      <c r="E44" s="10"/>
      <c r="F44" s="10"/>
      <c r="H44" s="29">
        <f>IF('TAM Projet 1'!AJ35&gt;0,IF(_TauxActuariel1,(('TAM Projet 1'!AJ35+1)^(1/_NbechAn1))-1,'TAM Projet 1'!AJ35/_NbechAn1),H43)</f>
        <v>8.3333333333333339E-4</v>
      </c>
      <c r="I44" s="28">
        <f>IF('TAM Projet 1'!AM35&gt;0,'TAM Projet 1'!AM35,IF('TAM Projet 1'!AL35&gt;0,IF(AND(_EchFIXE1,H44&gt;0),ROUND(('TAM Projet 1'!AT35-'TAM Projet 1'!AK35)*H44/(1-((1+H44)^-'TAM Projet 1'!AL35)),_NbDeci1),ROUND('TAM Projet 1'!AT35/'TAM Projet 1'!AL35,_NbDeci1)),I43))</f>
        <v>187406.04</v>
      </c>
      <c r="J44" s="10"/>
      <c r="K44" s="10"/>
      <c r="L44" s="10"/>
      <c r="M44" s="10"/>
      <c r="O44" s="186">
        <v>42</v>
      </c>
    </row>
    <row r="45" spans="1:15" x14ac:dyDescent="0.2">
      <c r="A45" s="29">
        <f>IF('TAM Projet 1'!T36&gt;0,IF(_TauxActuariel,(('TAM Projet 1'!T36+1)^(1/_NbEchAn))-1,'TAM Projet 1'!T36/_NbEchAn),A44)</f>
        <v>1.5499999999999999E-3</v>
      </c>
      <c r="B45" s="28">
        <f>IF('TAM Projet 1'!W36&gt;0,'TAM Projet 1'!W36,IF('TAM Projet 1'!V36&gt;0,IF(AND(_EchFIXE,A45&gt;0),ROUND(('TAM Projet 1'!AD36-'TAM Projet 1'!U36)*A45/(1-((1+A45)^-'TAM Projet 1'!V36)),_NbDeci),ROUND('TAM Projet 1'!AD36/'TAM Projet 1'!V36,_NbDeci)),B44))</f>
        <v>768.98</v>
      </c>
      <c r="C45" s="10"/>
      <c r="D45" s="10"/>
      <c r="E45" s="10"/>
      <c r="F45" s="10"/>
      <c r="H45" s="29">
        <f>IF('TAM Projet 1'!AJ36&gt;0,IF(_TauxActuariel1,(('TAM Projet 1'!AJ36+1)^(1/_NbechAn1))-1,'TAM Projet 1'!AJ36/_NbechAn1),H44)</f>
        <v>8.3333333333333339E-4</v>
      </c>
      <c r="I45" s="28">
        <f>IF('TAM Projet 1'!AM36&gt;0,'TAM Projet 1'!AM36,IF('TAM Projet 1'!AL36&gt;0,IF(AND(_EchFIXE1,H45&gt;0),ROUND(('TAM Projet 1'!AT36-'TAM Projet 1'!AK36)*H45/(1-((1+H45)^-'TAM Projet 1'!AL36)),_NbDeci1),ROUND('TAM Projet 1'!AT36/'TAM Projet 1'!AL36,_NbDeci1)),I44))</f>
        <v>187406.04</v>
      </c>
      <c r="J45" s="10"/>
      <c r="K45" s="10"/>
      <c r="L45" s="10"/>
      <c r="M45" s="10"/>
      <c r="O45" s="186">
        <v>43</v>
      </c>
    </row>
    <row r="46" spans="1:15" x14ac:dyDescent="0.2">
      <c r="A46" s="29">
        <f>IF('TAM Projet 1'!T37&gt;0,IF(_TauxActuariel,(('TAM Projet 1'!T37+1)^(1/_NbEchAn))-1,'TAM Projet 1'!T37/_NbEchAn),A45)</f>
        <v>1.5499999999999999E-3</v>
      </c>
      <c r="B46" s="28">
        <f>IF('TAM Projet 1'!W37&gt;0,'TAM Projet 1'!W37,IF('TAM Projet 1'!V37&gt;0,IF(AND(_EchFIXE,A46&gt;0),ROUND(('TAM Projet 1'!AD37-'TAM Projet 1'!U37)*A46/(1-((1+A46)^-'TAM Projet 1'!V37)),_NbDeci),ROUND('TAM Projet 1'!AD37/'TAM Projet 1'!V37,_NbDeci)),B45))</f>
        <v>768.98</v>
      </c>
      <c r="C46" s="10"/>
      <c r="D46" s="10"/>
      <c r="E46" s="10"/>
      <c r="F46" s="10"/>
      <c r="H46" s="29">
        <f>IF('TAM Projet 1'!AJ37&gt;0,IF(_TauxActuariel1,(('TAM Projet 1'!AJ37+1)^(1/_NbechAn1))-1,'TAM Projet 1'!AJ37/_NbechAn1),H45)</f>
        <v>8.3333333333333339E-4</v>
      </c>
      <c r="I46" s="28">
        <f>IF('TAM Projet 1'!AM37&gt;0,'TAM Projet 1'!AM37,IF('TAM Projet 1'!AL37&gt;0,IF(AND(_EchFIXE1,H46&gt;0),ROUND(('TAM Projet 1'!AT37-'TAM Projet 1'!AK37)*H46/(1-((1+H46)^-'TAM Projet 1'!AL37)),_NbDeci1),ROUND('TAM Projet 1'!AT37/'TAM Projet 1'!AL37,_NbDeci1)),I45))</f>
        <v>187406.04</v>
      </c>
      <c r="J46" s="10"/>
      <c r="K46" s="10"/>
      <c r="L46" s="10"/>
      <c r="M46" s="10"/>
      <c r="O46" s="186">
        <v>44</v>
      </c>
    </row>
    <row r="47" spans="1:15" x14ac:dyDescent="0.2">
      <c r="A47" s="29">
        <f>IF('TAM Projet 1'!T38&gt;0,IF(_TauxActuariel,(('TAM Projet 1'!T38+1)^(1/_NbEchAn))-1,'TAM Projet 1'!T38/_NbEchAn),A46)</f>
        <v>1.5499999999999999E-3</v>
      </c>
      <c r="B47" s="28">
        <f>IF('TAM Projet 1'!W38&gt;0,'TAM Projet 1'!W38,IF('TAM Projet 1'!V38&gt;0,IF(AND(_EchFIXE,A47&gt;0),ROUND(('TAM Projet 1'!AD38-'TAM Projet 1'!U38)*A47/(1-((1+A47)^-'TAM Projet 1'!V38)),_NbDeci),ROUND('TAM Projet 1'!AD38/'TAM Projet 1'!V38,_NbDeci)),B46))</f>
        <v>768.98</v>
      </c>
      <c r="C47" s="10"/>
      <c r="D47" s="10"/>
      <c r="E47" s="10"/>
      <c r="F47" s="10"/>
      <c r="H47" s="29">
        <f>IF('TAM Projet 1'!AJ38&gt;0,IF(_TauxActuariel1,(('TAM Projet 1'!AJ38+1)^(1/_NbechAn1))-1,'TAM Projet 1'!AJ38/_NbechAn1),H46)</f>
        <v>8.3333333333333339E-4</v>
      </c>
      <c r="I47" s="28">
        <f>IF('TAM Projet 1'!AM38&gt;0,'TAM Projet 1'!AM38,IF('TAM Projet 1'!AL38&gt;0,IF(AND(_EchFIXE1,H47&gt;0),ROUND(('TAM Projet 1'!AT38-'TAM Projet 1'!AK38)*H47/(1-((1+H47)^-'TAM Projet 1'!AL38)),_NbDeci1),ROUND('TAM Projet 1'!AT38/'TAM Projet 1'!AL38,_NbDeci1)),I46))</f>
        <v>187406.04</v>
      </c>
      <c r="J47" s="10"/>
      <c r="K47" s="10"/>
      <c r="L47" s="10"/>
      <c r="M47" s="10"/>
      <c r="O47" s="186">
        <v>45</v>
      </c>
    </row>
    <row r="48" spans="1:15" x14ac:dyDescent="0.2">
      <c r="A48" s="29">
        <f>IF('TAM Projet 1'!T39&gt;0,IF(_TauxActuariel,(('TAM Projet 1'!T39+1)^(1/_NbEchAn))-1,'TAM Projet 1'!T39/_NbEchAn),A47)</f>
        <v>1.5499999999999999E-3</v>
      </c>
      <c r="B48" s="28">
        <f>IF('TAM Projet 1'!W39&gt;0,'TAM Projet 1'!W39,IF('TAM Projet 1'!V39&gt;0,IF(AND(_EchFIXE,A48&gt;0),ROUND(('TAM Projet 1'!AD39-'TAM Projet 1'!U39)*A48/(1-((1+A48)^-'TAM Projet 1'!V39)),_NbDeci),ROUND('TAM Projet 1'!AD39/'TAM Projet 1'!V39,_NbDeci)),B47))</f>
        <v>768.98</v>
      </c>
      <c r="C48" s="10"/>
      <c r="D48" s="10"/>
      <c r="E48" s="10"/>
      <c r="F48" s="10"/>
      <c r="H48" s="29">
        <f>IF('TAM Projet 1'!AJ39&gt;0,IF(_TauxActuariel1,(('TAM Projet 1'!AJ39+1)^(1/_NbechAn1))-1,'TAM Projet 1'!AJ39/_NbechAn1),H47)</f>
        <v>8.3333333333333339E-4</v>
      </c>
      <c r="I48" s="28">
        <f>IF('TAM Projet 1'!AM39&gt;0,'TAM Projet 1'!AM39,IF('TAM Projet 1'!AL39&gt;0,IF(AND(_EchFIXE1,H48&gt;0),ROUND(('TAM Projet 1'!AT39-'TAM Projet 1'!AK39)*H48/(1-((1+H48)^-'TAM Projet 1'!AL39)),_NbDeci1),ROUND('TAM Projet 1'!AT39/'TAM Projet 1'!AL39,_NbDeci1)),I47))</f>
        <v>187406.04</v>
      </c>
      <c r="J48" s="10"/>
      <c r="K48" s="10"/>
      <c r="L48" s="10"/>
      <c r="M48" s="10"/>
      <c r="O48" s="186">
        <v>46</v>
      </c>
    </row>
    <row r="49" spans="1:15" x14ac:dyDescent="0.2">
      <c r="A49" s="29">
        <f>IF('TAM Projet 1'!T40&gt;0,IF(_TauxActuariel,(('TAM Projet 1'!T40+1)^(1/_NbEchAn))-1,'TAM Projet 1'!T40/_NbEchAn),A48)</f>
        <v>1.5499999999999999E-3</v>
      </c>
      <c r="B49" s="28">
        <f>IF('TAM Projet 1'!W40&gt;0,'TAM Projet 1'!W40,IF('TAM Projet 1'!V40&gt;0,IF(AND(_EchFIXE,A49&gt;0),ROUND(('TAM Projet 1'!AD40-'TAM Projet 1'!U40)*A49/(1-((1+A49)^-'TAM Projet 1'!V40)),_NbDeci),ROUND('TAM Projet 1'!AD40/'TAM Projet 1'!V40,_NbDeci)),B48))</f>
        <v>768.98</v>
      </c>
      <c r="C49" s="10"/>
      <c r="D49" s="10"/>
      <c r="E49" s="10"/>
      <c r="F49" s="10"/>
      <c r="H49" s="29">
        <f>IF('TAM Projet 1'!AJ40&gt;0,IF(_TauxActuariel1,(('TAM Projet 1'!AJ40+1)^(1/_NbechAn1))-1,'TAM Projet 1'!AJ40/_NbechAn1),H48)</f>
        <v>8.3333333333333339E-4</v>
      </c>
      <c r="I49" s="28">
        <f>IF('TAM Projet 1'!AM40&gt;0,'TAM Projet 1'!AM40,IF('TAM Projet 1'!AL40&gt;0,IF(AND(_EchFIXE1,H49&gt;0),ROUND(('TAM Projet 1'!AT40-'TAM Projet 1'!AK40)*H49/(1-((1+H49)^-'TAM Projet 1'!AL40)),_NbDeci1),ROUND('TAM Projet 1'!AT40/'TAM Projet 1'!AL40,_NbDeci1)),I48))</f>
        <v>187406.04</v>
      </c>
      <c r="J49" s="10"/>
      <c r="K49" s="10"/>
      <c r="L49" s="10"/>
      <c r="M49" s="10"/>
      <c r="O49" s="186">
        <v>47</v>
      </c>
    </row>
    <row r="50" spans="1:15" x14ac:dyDescent="0.2">
      <c r="A50" s="29">
        <f>IF('TAM Projet 1'!T41&gt;0,IF(_TauxActuariel,(('TAM Projet 1'!T41+1)^(1/_NbEchAn))-1,'TAM Projet 1'!T41/_NbEchAn),A49)</f>
        <v>1.5499999999999999E-3</v>
      </c>
      <c r="B50" s="28">
        <f>IF('TAM Projet 1'!W41&gt;0,'TAM Projet 1'!W41,IF('TAM Projet 1'!V41&gt;0,IF(AND(_EchFIXE,A50&gt;0),ROUND(('TAM Projet 1'!AD41-'TAM Projet 1'!U41)*A50/(1-((1+A50)^-'TAM Projet 1'!V41)),_NbDeci),ROUND('TAM Projet 1'!AD41/'TAM Projet 1'!V41,_NbDeci)),B49))</f>
        <v>768.98</v>
      </c>
      <c r="C50" s="10"/>
      <c r="D50" s="10"/>
      <c r="E50" s="10"/>
      <c r="F50" s="10"/>
      <c r="H50" s="29">
        <f>IF('TAM Projet 1'!AJ41&gt;0,IF(_TauxActuariel1,(('TAM Projet 1'!AJ41+1)^(1/_NbechAn1))-1,'TAM Projet 1'!AJ41/_NbechAn1),H49)</f>
        <v>8.3333333333333339E-4</v>
      </c>
      <c r="I50" s="28">
        <f>IF('TAM Projet 1'!AM41&gt;0,'TAM Projet 1'!AM41,IF('TAM Projet 1'!AL41&gt;0,IF(AND(_EchFIXE1,H50&gt;0),ROUND(('TAM Projet 1'!AT41-'TAM Projet 1'!AK41)*H50/(1-((1+H50)^-'TAM Projet 1'!AL41)),_NbDeci1),ROUND('TAM Projet 1'!AT41/'TAM Projet 1'!AL41,_NbDeci1)),I49))</f>
        <v>187406.04</v>
      </c>
      <c r="J50" s="10"/>
      <c r="K50" s="10"/>
      <c r="L50" s="10"/>
      <c r="M50" s="10"/>
      <c r="O50" s="186">
        <v>48</v>
      </c>
    </row>
    <row r="51" spans="1:15" x14ac:dyDescent="0.2">
      <c r="A51" s="29">
        <f>IF('TAM Projet 1'!T42&gt;0,IF(_TauxActuariel,(('TAM Projet 1'!T42+1)^(1/_NbEchAn))-1,'TAM Projet 1'!T42/_NbEchAn),A50)</f>
        <v>1.5499999999999999E-3</v>
      </c>
      <c r="B51" s="28">
        <f>IF('TAM Projet 1'!W42&gt;0,'TAM Projet 1'!W42,IF('TAM Projet 1'!V42&gt;0,IF(AND(_EchFIXE,A51&gt;0),ROUND(('TAM Projet 1'!AD42-'TAM Projet 1'!U42)*A51/(1-((1+A51)^-'TAM Projet 1'!V42)),_NbDeci),ROUND('TAM Projet 1'!AD42/'TAM Projet 1'!V42,_NbDeci)),B50))</f>
        <v>768.98</v>
      </c>
      <c r="C51" s="10"/>
      <c r="D51" s="10"/>
      <c r="E51" s="10"/>
      <c r="F51" s="10"/>
      <c r="H51" s="29">
        <f>IF('TAM Projet 1'!AJ42&gt;0,IF(_TauxActuariel1,(('TAM Projet 1'!AJ42+1)^(1/_NbechAn1))-1,'TAM Projet 1'!AJ42/_NbechAn1),H50)</f>
        <v>8.3333333333333339E-4</v>
      </c>
      <c r="I51" s="28">
        <f>IF('TAM Projet 1'!AM42&gt;0,'TAM Projet 1'!AM42,IF('TAM Projet 1'!AL42&gt;0,IF(AND(_EchFIXE1,H51&gt;0),ROUND(('TAM Projet 1'!AT42-'TAM Projet 1'!AK42)*H51/(1-((1+H51)^-'TAM Projet 1'!AL42)),_NbDeci1),ROUND('TAM Projet 1'!AT42/'TAM Projet 1'!AL42,_NbDeci1)),I50))</f>
        <v>187406.04</v>
      </c>
      <c r="J51" s="10"/>
      <c r="K51" s="10"/>
      <c r="L51" s="10"/>
      <c r="M51" s="10"/>
      <c r="O51" s="186">
        <v>49</v>
      </c>
    </row>
    <row r="52" spans="1:15" x14ac:dyDescent="0.2">
      <c r="A52" s="29">
        <f>IF('TAM Projet 1'!T43&gt;0,IF(_TauxActuariel,(('TAM Projet 1'!T43+1)^(1/_NbEchAn))-1,'TAM Projet 1'!T43/_NbEchAn),A51)</f>
        <v>1.5499999999999999E-3</v>
      </c>
      <c r="B52" s="28">
        <f>IF('TAM Projet 1'!W43&gt;0,'TAM Projet 1'!W43,IF('TAM Projet 1'!V43&gt;0,IF(AND(_EchFIXE,A52&gt;0),ROUND(('TAM Projet 1'!AD43-'TAM Projet 1'!U43)*A52/(1-((1+A52)^-'TAM Projet 1'!V43)),_NbDeci),ROUND('TAM Projet 1'!AD43/'TAM Projet 1'!V43,_NbDeci)),B51))</f>
        <v>768.98</v>
      </c>
      <c r="C52" s="10"/>
      <c r="D52" s="10"/>
      <c r="E52" s="10"/>
      <c r="F52" s="10"/>
      <c r="H52" s="29">
        <f>IF('TAM Projet 1'!AJ43&gt;0,IF(_TauxActuariel1,(('TAM Projet 1'!AJ43+1)^(1/_NbechAn1))-1,'TAM Projet 1'!AJ43/_NbechAn1),H51)</f>
        <v>8.3333333333333339E-4</v>
      </c>
      <c r="I52" s="28">
        <f>IF('TAM Projet 1'!AM43&gt;0,'TAM Projet 1'!AM43,IF('TAM Projet 1'!AL43&gt;0,IF(AND(_EchFIXE1,H52&gt;0),ROUND(('TAM Projet 1'!AT43-'TAM Projet 1'!AK43)*H52/(1-((1+H52)^-'TAM Projet 1'!AL43)),_NbDeci1),ROUND('TAM Projet 1'!AT43/'TAM Projet 1'!AL43,_NbDeci1)),I51))</f>
        <v>187406.04</v>
      </c>
      <c r="J52" s="10"/>
      <c r="K52" s="10"/>
      <c r="L52" s="10"/>
      <c r="M52" s="10"/>
      <c r="O52" s="186">
        <v>50</v>
      </c>
    </row>
    <row r="53" spans="1:15" x14ac:dyDescent="0.2">
      <c r="A53" s="29">
        <f>IF('TAM Projet 1'!T44&gt;0,IF(_TauxActuariel,(('TAM Projet 1'!T44+1)^(1/_NbEchAn))-1,'TAM Projet 1'!T44/_NbEchAn),A52)</f>
        <v>1.5499999999999999E-3</v>
      </c>
      <c r="B53" s="28">
        <f>IF('TAM Projet 1'!W44&gt;0,'TAM Projet 1'!W44,IF('TAM Projet 1'!V44&gt;0,IF(AND(_EchFIXE,A53&gt;0),ROUND(('TAM Projet 1'!AD44-'TAM Projet 1'!U44)*A53/(1-((1+A53)^-'TAM Projet 1'!V44)),_NbDeci),ROUND('TAM Projet 1'!AD44/'TAM Projet 1'!V44,_NbDeci)),B52))</f>
        <v>768.98</v>
      </c>
      <c r="C53" s="10"/>
      <c r="D53" s="10"/>
      <c r="E53" s="10"/>
      <c r="F53" s="10"/>
      <c r="H53" s="29">
        <f>IF('TAM Projet 1'!AJ44&gt;0,IF(_TauxActuariel1,(('TAM Projet 1'!AJ44+1)^(1/_NbechAn1))-1,'TAM Projet 1'!AJ44/_NbechAn1),H52)</f>
        <v>8.3333333333333339E-4</v>
      </c>
      <c r="I53" s="28">
        <f>IF('TAM Projet 1'!AM44&gt;0,'TAM Projet 1'!AM44,IF('TAM Projet 1'!AL44&gt;0,IF(AND(_EchFIXE1,H53&gt;0),ROUND(('TAM Projet 1'!AT44-'TAM Projet 1'!AK44)*H53/(1-((1+H53)^-'TAM Projet 1'!AL44)),_NbDeci1),ROUND('TAM Projet 1'!AT44/'TAM Projet 1'!AL44,_NbDeci1)),I52))</f>
        <v>187406.04</v>
      </c>
      <c r="J53" s="10"/>
      <c r="K53" s="10"/>
      <c r="L53" s="10"/>
      <c r="M53" s="10"/>
      <c r="O53" s="186">
        <v>51</v>
      </c>
    </row>
    <row r="54" spans="1:15" x14ac:dyDescent="0.2">
      <c r="A54" s="29">
        <f>IF('TAM Projet 1'!T45&gt;0,IF(_TauxActuariel,(('TAM Projet 1'!T45+1)^(1/_NbEchAn))-1,'TAM Projet 1'!T45/_NbEchAn),A53)</f>
        <v>1.5499999999999999E-3</v>
      </c>
      <c r="B54" s="28">
        <f>IF('TAM Projet 1'!W45&gt;0,'TAM Projet 1'!W45,IF('TAM Projet 1'!V45&gt;0,IF(AND(_EchFIXE,A54&gt;0),ROUND(('TAM Projet 1'!AD45-'TAM Projet 1'!U45)*A54/(1-((1+A54)^-'TAM Projet 1'!V45)),_NbDeci),ROUND('TAM Projet 1'!AD45/'TAM Projet 1'!V45,_NbDeci)),B53))</f>
        <v>768.98</v>
      </c>
      <c r="C54" s="10"/>
      <c r="D54" s="10"/>
      <c r="E54" s="10"/>
      <c r="F54" s="10"/>
      <c r="H54" s="29">
        <f>IF('TAM Projet 1'!AJ45&gt;0,IF(_TauxActuariel1,(('TAM Projet 1'!AJ45+1)^(1/_NbechAn1))-1,'TAM Projet 1'!AJ45/_NbechAn1),H53)</f>
        <v>8.3333333333333339E-4</v>
      </c>
      <c r="I54" s="28">
        <f>IF('TAM Projet 1'!AM45&gt;0,'TAM Projet 1'!AM45,IF('TAM Projet 1'!AL45&gt;0,IF(AND(_EchFIXE1,H54&gt;0),ROUND(('TAM Projet 1'!AT45-'TAM Projet 1'!AK45)*H54/(1-((1+H54)^-'TAM Projet 1'!AL45)),_NbDeci1),ROUND('TAM Projet 1'!AT45/'TAM Projet 1'!AL45,_NbDeci1)),I53))</f>
        <v>187406.04</v>
      </c>
      <c r="J54" s="10"/>
      <c r="K54" s="10"/>
      <c r="L54" s="10"/>
      <c r="M54" s="10"/>
      <c r="O54" s="186">
        <v>52</v>
      </c>
    </row>
    <row r="55" spans="1:15" x14ac:dyDescent="0.2">
      <c r="A55" s="29">
        <f>IF('TAM Projet 1'!T46&gt;0,IF(_TauxActuariel,(('TAM Projet 1'!T46+1)^(1/_NbEchAn))-1,'TAM Projet 1'!T46/_NbEchAn),A54)</f>
        <v>1.5499999999999999E-3</v>
      </c>
      <c r="B55" s="28">
        <f>IF('TAM Projet 1'!W46&gt;0,'TAM Projet 1'!W46,IF('TAM Projet 1'!V46&gt;0,IF(AND(_EchFIXE,A55&gt;0),ROUND(('TAM Projet 1'!AD46-'TAM Projet 1'!U46)*A55/(1-((1+A55)^-'TAM Projet 1'!V46)),_NbDeci),ROUND('TAM Projet 1'!AD46/'TAM Projet 1'!V46,_NbDeci)),B54))</f>
        <v>768.98</v>
      </c>
      <c r="C55" s="10"/>
      <c r="D55" s="10"/>
      <c r="E55" s="10"/>
      <c r="F55" s="10"/>
      <c r="H55" s="29">
        <f>IF('TAM Projet 1'!AJ46&gt;0,IF(_TauxActuariel1,(('TAM Projet 1'!AJ46+1)^(1/_NbechAn1))-1,'TAM Projet 1'!AJ46/_NbechAn1),H54)</f>
        <v>8.3333333333333339E-4</v>
      </c>
      <c r="I55" s="28">
        <f>IF('TAM Projet 1'!AM46&gt;0,'TAM Projet 1'!AM46,IF('TAM Projet 1'!AL46&gt;0,IF(AND(_EchFIXE1,H55&gt;0),ROUND(('TAM Projet 1'!AT46-'TAM Projet 1'!AK46)*H55/(1-((1+H55)^-'TAM Projet 1'!AL46)),_NbDeci1),ROUND('TAM Projet 1'!AT46/'TAM Projet 1'!AL46,_NbDeci1)),I54))</f>
        <v>187406.04</v>
      </c>
      <c r="J55" s="10"/>
      <c r="K55" s="10"/>
      <c r="L55" s="10"/>
      <c r="M55" s="10"/>
      <c r="O55" s="186">
        <v>53</v>
      </c>
    </row>
    <row r="56" spans="1:15" x14ac:dyDescent="0.2">
      <c r="A56" s="29">
        <f>IF('TAM Projet 1'!T47&gt;0,IF(_TauxActuariel,(('TAM Projet 1'!T47+1)^(1/_NbEchAn))-1,'TAM Projet 1'!T47/_NbEchAn),A55)</f>
        <v>1.5499999999999999E-3</v>
      </c>
      <c r="B56" s="28">
        <f>IF('TAM Projet 1'!W47&gt;0,'TAM Projet 1'!W47,IF('TAM Projet 1'!V47&gt;0,IF(AND(_EchFIXE,A56&gt;0),ROUND(('TAM Projet 1'!AD47-'TAM Projet 1'!U47)*A56/(1-((1+A56)^-'TAM Projet 1'!V47)),_NbDeci),ROUND('TAM Projet 1'!AD47/'TAM Projet 1'!V47,_NbDeci)),B55))</f>
        <v>768.98</v>
      </c>
      <c r="C56" s="10"/>
      <c r="D56" s="10"/>
      <c r="E56" s="10"/>
      <c r="F56" s="10"/>
      <c r="H56" s="29">
        <f>IF('TAM Projet 1'!AJ47&gt;0,IF(_TauxActuariel1,(('TAM Projet 1'!AJ47+1)^(1/_NbechAn1))-1,'TAM Projet 1'!AJ47/_NbechAn1),H55)</f>
        <v>8.3333333333333339E-4</v>
      </c>
      <c r="I56" s="28">
        <f>IF('TAM Projet 1'!AM47&gt;0,'TAM Projet 1'!AM47,IF('TAM Projet 1'!AL47&gt;0,IF(AND(_EchFIXE1,H56&gt;0),ROUND(('TAM Projet 1'!AT47-'TAM Projet 1'!AK47)*H56/(1-((1+H56)^-'TAM Projet 1'!AL47)),_NbDeci1),ROUND('TAM Projet 1'!AT47/'TAM Projet 1'!AL47,_NbDeci1)),I55))</f>
        <v>187406.04</v>
      </c>
      <c r="J56" s="10"/>
      <c r="K56" s="10"/>
      <c r="L56" s="10"/>
      <c r="M56" s="10"/>
      <c r="O56" s="186">
        <v>54</v>
      </c>
    </row>
    <row r="57" spans="1:15" x14ac:dyDescent="0.2">
      <c r="A57" s="29">
        <f>IF('TAM Projet 1'!T48&gt;0,IF(_TauxActuariel,(('TAM Projet 1'!T48+1)^(1/_NbEchAn))-1,'TAM Projet 1'!T48/_NbEchAn),A56)</f>
        <v>1.5499999999999999E-3</v>
      </c>
      <c r="B57" s="28">
        <f>IF('TAM Projet 1'!W48&gt;0,'TAM Projet 1'!W48,IF('TAM Projet 1'!V48&gt;0,IF(AND(_EchFIXE,A57&gt;0),ROUND(('TAM Projet 1'!AD48-'TAM Projet 1'!U48)*A57/(1-((1+A57)^-'TAM Projet 1'!V48)),_NbDeci),ROUND('TAM Projet 1'!AD48/'TAM Projet 1'!V48,_NbDeci)),B56))</f>
        <v>768.98</v>
      </c>
      <c r="C57" s="10"/>
      <c r="D57" s="10"/>
      <c r="E57" s="10"/>
      <c r="F57" s="10"/>
      <c r="H57" s="29">
        <f>IF('TAM Projet 1'!AJ48&gt;0,IF(_TauxActuariel1,(('TAM Projet 1'!AJ48+1)^(1/_NbechAn1))-1,'TAM Projet 1'!AJ48/_NbechAn1),H56)</f>
        <v>8.3333333333333339E-4</v>
      </c>
      <c r="I57" s="28">
        <f>IF('TAM Projet 1'!AM48&gt;0,'TAM Projet 1'!AM48,IF('TAM Projet 1'!AL48&gt;0,IF(AND(_EchFIXE1,H57&gt;0),ROUND(('TAM Projet 1'!AT48-'TAM Projet 1'!AK48)*H57/(1-((1+H57)^-'TAM Projet 1'!AL48)),_NbDeci1),ROUND('TAM Projet 1'!AT48/'TAM Projet 1'!AL48,_NbDeci1)),I56))</f>
        <v>187406.04</v>
      </c>
      <c r="J57" s="10"/>
      <c r="K57" s="10"/>
      <c r="L57" s="10"/>
      <c r="M57" s="10"/>
      <c r="O57" s="186">
        <v>55</v>
      </c>
    </row>
    <row r="58" spans="1:15" x14ac:dyDescent="0.2">
      <c r="A58" s="29">
        <f>IF('TAM Projet 1'!T49&gt;0,IF(_TauxActuariel,(('TAM Projet 1'!T49+1)^(1/_NbEchAn))-1,'TAM Projet 1'!T49/_NbEchAn),A57)</f>
        <v>1.5499999999999999E-3</v>
      </c>
      <c r="B58" s="28">
        <f>IF('TAM Projet 1'!W49&gt;0,'TAM Projet 1'!W49,IF('TAM Projet 1'!V49&gt;0,IF(AND(_EchFIXE,A58&gt;0),ROUND(('TAM Projet 1'!AD49-'TAM Projet 1'!U49)*A58/(1-((1+A58)^-'TAM Projet 1'!V49)),_NbDeci),ROUND('TAM Projet 1'!AD49/'TAM Projet 1'!V49,_NbDeci)),B57))</f>
        <v>768.98</v>
      </c>
      <c r="C58" s="10"/>
      <c r="D58" s="10"/>
      <c r="E58" s="10"/>
      <c r="F58" s="10"/>
      <c r="H58" s="29">
        <f>IF('TAM Projet 1'!AJ49&gt;0,IF(_TauxActuariel1,(('TAM Projet 1'!AJ49+1)^(1/_NbechAn1))-1,'TAM Projet 1'!AJ49/_NbechAn1),H57)</f>
        <v>8.3333333333333339E-4</v>
      </c>
      <c r="I58" s="28">
        <f>IF('TAM Projet 1'!AM49&gt;0,'TAM Projet 1'!AM49,IF('TAM Projet 1'!AL49&gt;0,IF(AND(_EchFIXE1,H58&gt;0),ROUND(('TAM Projet 1'!AT49-'TAM Projet 1'!AK49)*H58/(1-((1+H58)^-'TAM Projet 1'!AL49)),_NbDeci1),ROUND('TAM Projet 1'!AT49/'TAM Projet 1'!AL49,_NbDeci1)),I57))</f>
        <v>187406.04</v>
      </c>
      <c r="J58" s="10"/>
      <c r="K58" s="10"/>
      <c r="L58" s="10"/>
      <c r="M58" s="10"/>
      <c r="O58" s="186">
        <v>56</v>
      </c>
    </row>
    <row r="59" spans="1:15" x14ac:dyDescent="0.2">
      <c r="A59" s="29">
        <f>IF('TAM Projet 1'!T50&gt;0,IF(_TauxActuariel,(('TAM Projet 1'!T50+1)^(1/_NbEchAn))-1,'TAM Projet 1'!T50/_NbEchAn),A58)</f>
        <v>1.5499999999999999E-3</v>
      </c>
      <c r="B59" s="28">
        <f>IF('TAM Projet 1'!W50&gt;0,'TAM Projet 1'!W50,IF('TAM Projet 1'!V50&gt;0,IF(AND(_EchFIXE,A59&gt;0),ROUND(('TAM Projet 1'!AD50-'TAM Projet 1'!U50)*A59/(1-((1+A59)^-'TAM Projet 1'!V50)),_NbDeci),ROUND('TAM Projet 1'!AD50/'TAM Projet 1'!V50,_NbDeci)),B58))</f>
        <v>768.98</v>
      </c>
      <c r="C59" s="10"/>
      <c r="D59" s="10"/>
      <c r="E59" s="10"/>
      <c r="F59" s="10"/>
      <c r="H59" s="29">
        <f>IF('TAM Projet 1'!AJ50&gt;0,IF(_TauxActuariel1,(('TAM Projet 1'!AJ50+1)^(1/_NbechAn1))-1,'TAM Projet 1'!AJ50/_NbechAn1),H58)</f>
        <v>8.3333333333333339E-4</v>
      </c>
      <c r="I59" s="28">
        <f>IF('TAM Projet 1'!AM50&gt;0,'TAM Projet 1'!AM50,IF('TAM Projet 1'!AL50&gt;0,IF(AND(_EchFIXE1,H59&gt;0),ROUND(('TAM Projet 1'!AT50-'TAM Projet 1'!AK50)*H59/(1-((1+H59)^-'TAM Projet 1'!AL50)),_NbDeci1),ROUND('TAM Projet 1'!AT50/'TAM Projet 1'!AL50,_NbDeci1)),I58))</f>
        <v>187406.04</v>
      </c>
      <c r="J59" s="10"/>
      <c r="K59" s="10"/>
      <c r="L59" s="10"/>
      <c r="M59" s="10"/>
      <c r="O59" s="186">
        <v>57</v>
      </c>
    </row>
    <row r="60" spans="1:15" x14ac:dyDescent="0.2">
      <c r="A60" s="29">
        <f>IF('TAM Projet 1'!T51&gt;0,IF(_TauxActuariel,(('TAM Projet 1'!T51+1)^(1/_NbEchAn))-1,'TAM Projet 1'!T51/_NbEchAn),A59)</f>
        <v>1.5499999999999999E-3</v>
      </c>
      <c r="B60" s="28">
        <f>IF('TAM Projet 1'!W51&gt;0,'TAM Projet 1'!W51,IF('TAM Projet 1'!V51&gt;0,IF(AND(_EchFIXE,A60&gt;0),ROUND(('TAM Projet 1'!AD51-'TAM Projet 1'!U51)*A60/(1-((1+A60)^-'TAM Projet 1'!V51)),_NbDeci),ROUND('TAM Projet 1'!AD51/'TAM Projet 1'!V51,_NbDeci)),B59))</f>
        <v>768.98</v>
      </c>
      <c r="C60" s="10"/>
      <c r="D60" s="10"/>
      <c r="E60" s="10"/>
      <c r="F60" s="10"/>
      <c r="H60" s="29">
        <f>IF('TAM Projet 1'!AJ51&gt;0,IF(_TauxActuariel1,(('TAM Projet 1'!AJ51+1)^(1/_NbechAn1))-1,'TAM Projet 1'!AJ51/_NbechAn1),H59)</f>
        <v>8.3333333333333339E-4</v>
      </c>
      <c r="I60" s="28">
        <f>IF('TAM Projet 1'!AM51&gt;0,'TAM Projet 1'!AM51,IF('TAM Projet 1'!AL51&gt;0,IF(AND(_EchFIXE1,H60&gt;0),ROUND(('TAM Projet 1'!AT51-'TAM Projet 1'!AK51)*H60/(1-((1+H60)^-'TAM Projet 1'!AL51)),_NbDeci1),ROUND('TAM Projet 1'!AT51/'TAM Projet 1'!AL51,_NbDeci1)),I59))</f>
        <v>187406.04</v>
      </c>
      <c r="J60" s="10"/>
      <c r="K60" s="10"/>
      <c r="L60" s="10"/>
      <c r="M60" s="10"/>
      <c r="O60" s="186">
        <v>58</v>
      </c>
    </row>
    <row r="61" spans="1:15" x14ac:dyDescent="0.2">
      <c r="A61" s="29">
        <f>IF('TAM Projet 1'!T52&gt;0,IF(_TauxActuariel,(('TAM Projet 1'!T52+1)^(1/_NbEchAn))-1,'TAM Projet 1'!T52/_NbEchAn),A60)</f>
        <v>1.5499999999999999E-3</v>
      </c>
      <c r="B61" s="28">
        <f>IF('TAM Projet 1'!W52&gt;0,'TAM Projet 1'!W52,IF('TAM Projet 1'!V52&gt;0,IF(AND(_EchFIXE,A61&gt;0),ROUND(('TAM Projet 1'!AD52-'TAM Projet 1'!U52)*A61/(1-((1+A61)^-'TAM Projet 1'!V52)),_NbDeci),ROUND('TAM Projet 1'!AD52/'TAM Projet 1'!V52,_NbDeci)),B60))</f>
        <v>768.98</v>
      </c>
      <c r="C61" s="10"/>
      <c r="D61" s="10"/>
      <c r="E61" s="10"/>
      <c r="F61" s="10"/>
      <c r="H61" s="29">
        <f>IF('TAM Projet 1'!AJ52&gt;0,IF(_TauxActuariel1,(('TAM Projet 1'!AJ52+1)^(1/_NbechAn1))-1,'TAM Projet 1'!AJ52/_NbechAn1),H60)</f>
        <v>8.3333333333333339E-4</v>
      </c>
      <c r="I61" s="28">
        <f>IF('TAM Projet 1'!AM52&gt;0,'TAM Projet 1'!AM52,IF('TAM Projet 1'!AL52&gt;0,IF(AND(_EchFIXE1,H61&gt;0),ROUND(('TAM Projet 1'!AT52-'TAM Projet 1'!AK52)*H61/(1-((1+H61)^-'TAM Projet 1'!AL52)),_NbDeci1),ROUND('TAM Projet 1'!AT52/'TAM Projet 1'!AL52,_NbDeci1)),I60))</f>
        <v>187406.04</v>
      </c>
      <c r="J61" s="10"/>
      <c r="K61" s="10"/>
      <c r="L61" s="10"/>
      <c r="M61" s="10"/>
      <c r="O61" s="186">
        <v>59</v>
      </c>
    </row>
    <row r="62" spans="1:15" x14ac:dyDescent="0.2">
      <c r="A62" s="29">
        <f>IF('TAM Projet 1'!T53&gt;0,IF(_TauxActuariel,(('TAM Projet 1'!T53+1)^(1/_NbEchAn))-1,'TAM Projet 1'!T53/_NbEchAn),A61)</f>
        <v>1.5499999999999999E-3</v>
      </c>
      <c r="B62" s="28">
        <f>IF('TAM Projet 1'!W53&gt;0,'TAM Projet 1'!W53,IF('TAM Projet 1'!V53&gt;0,IF(AND(_EchFIXE,A62&gt;0),ROUND(('TAM Projet 1'!AD53-'TAM Projet 1'!U53)*A62/(1-((1+A62)^-'TAM Projet 1'!V53)),_NbDeci),ROUND('TAM Projet 1'!AD53/'TAM Projet 1'!V53,_NbDeci)),B61))</f>
        <v>768.98</v>
      </c>
      <c r="C62" s="10"/>
      <c r="D62" s="10"/>
      <c r="E62" s="10"/>
      <c r="F62" s="10"/>
      <c r="H62" s="29">
        <f>IF('TAM Projet 1'!AJ53&gt;0,IF(_TauxActuariel1,(('TAM Projet 1'!AJ53+1)^(1/_NbechAn1))-1,'TAM Projet 1'!AJ53/_NbechAn1),H61)</f>
        <v>8.3333333333333339E-4</v>
      </c>
      <c r="I62" s="28">
        <f>IF('TAM Projet 1'!AM53&gt;0,'TAM Projet 1'!AM53,IF('TAM Projet 1'!AL53&gt;0,IF(AND(_EchFIXE1,H62&gt;0),ROUND(('TAM Projet 1'!AT53-'TAM Projet 1'!AK53)*H62/(1-((1+H62)^-'TAM Projet 1'!AL53)),_NbDeci1),ROUND('TAM Projet 1'!AT53/'TAM Projet 1'!AL53,_NbDeci1)),I61))</f>
        <v>187406.04</v>
      </c>
      <c r="J62" s="10"/>
      <c r="K62" s="10"/>
      <c r="L62" s="10"/>
      <c r="M62" s="10"/>
      <c r="O62" s="186">
        <v>60</v>
      </c>
    </row>
    <row r="63" spans="1:15" x14ac:dyDescent="0.2">
      <c r="A63" s="29">
        <f>IF('TAM Projet 1'!T54&gt;0,IF(_TauxActuariel,(('TAM Projet 1'!T54+1)^(1/_NbEchAn))-1,'TAM Projet 1'!T54/_NbEchAn),A62)</f>
        <v>1.5499999999999999E-3</v>
      </c>
      <c r="B63" s="28">
        <f>IF('TAM Projet 1'!W54&gt;0,'TAM Projet 1'!W54,IF('TAM Projet 1'!V54&gt;0,IF(AND(_EchFIXE,A63&gt;0),ROUND(('TAM Projet 1'!AD54-'TAM Projet 1'!U54)*A63/(1-((1+A63)^-'TAM Projet 1'!V54)),_NbDeci),ROUND('TAM Projet 1'!AD54/'TAM Projet 1'!V54,_NbDeci)),B62))</f>
        <v>768.98</v>
      </c>
      <c r="C63" s="10"/>
      <c r="D63" s="10"/>
      <c r="E63" s="10"/>
      <c r="F63" s="10"/>
      <c r="H63" s="29">
        <f>IF('TAM Projet 1'!AJ54&gt;0,IF(_TauxActuariel1,(('TAM Projet 1'!AJ54+1)^(1/_NbechAn1))-1,'TAM Projet 1'!AJ54/_NbechAn1),H62)</f>
        <v>8.3333333333333339E-4</v>
      </c>
      <c r="I63" s="28">
        <f>IF('TAM Projet 1'!AM54&gt;0,'TAM Projet 1'!AM54,IF('TAM Projet 1'!AL54&gt;0,IF(AND(_EchFIXE1,H63&gt;0),ROUND(('TAM Projet 1'!AT54-'TAM Projet 1'!AK54)*H63/(1-((1+H63)^-'TAM Projet 1'!AL54)),_NbDeci1),ROUND('TAM Projet 1'!AT54/'TAM Projet 1'!AL54,_NbDeci1)),I62))</f>
        <v>187406.04</v>
      </c>
      <c r="J63" s="10"/>
      <c r="K63" s="10"/>
      <c r="L63" s="10"/>
      <c r="M63" s="10"/>
      <c r="O63" s="186">
        <v>61</v>
      </c>
    </row>
    <row r="64" spans="1:15" x14ac:dyDescent="0.2">
      <c r="A64" s="29">
        <f>IF('TAM Projet 1'!T55&gt;0,IF(_TauxActuariel,(('TAM Projet 1'!T55+1)^(1/_NbEchAn))-1,'TAM Projet 1'!T55/_NbEchAn),A63)</f>
        <v>1.5499999999999999E-3</v>
      </c>
      <c r="B64" s="28">
        <f>IF('TAM Projet 1'!W55&gt;0,'TAM Projet 1'!W55,IF('TAM Projet 1'!V55&gt;0,IF(AND(_EchFIXE,A64&gt;0),ROUND(('TAM Projet 1'!AD55-'TAM Projet 1'!U55)*A64/(1-((1+A64)^-'TAM Projet 1'!V55)),_NbDeci),ROUND('TAM Projet 1'!AD55/'TAM Projet 1'!V55,_NbDeci)),B63))</f>
        <v>768.98</v>
      </c>
      <c r="C64" s="10"/>
      <c r="D64" s="10"/>
      <c r="E64" s="10"/>
      <c r="F64" s="10"/>
      <c r="H64" s="29">
        <f>IF('TAM Projet 1'!AJ55&gt;0,IF(_TauxActuariel1,(('TAM Projet 1'!AJ55+1)^(1/_NbechAn1))-1,'TAM Projet 1'!AJ55/_NbechAn1),H63)</f>
        <v>8.3333333333333339E-4</v>
      </c>
      <c r="I64" s="28">
        <f>IF('TAM Projet 1'!AM55&gt;0,'TAM Projet 1'!AM55,IF('TAM Projet 1'!AL55&gt;0,IF(AND(_EchFIXE1,H64&gt;0),ROUND(('TAM Projet 1'!AT55-'TAM Projet 1'!AK55)*H64/(1-((1+H64)^-'TAM Projet 1'!AL55)),_NbDeci1),ROUND('TAM Projet 1'!AT55/'TAM Projet 1'!AL55,_NbDeci1)),I63))</f>
        <v>187406.04</v>
      </c>
      <c r="J64" s="10"/>
      <c r="K64" s="10"/>
      <c r="L64" s="10"/>
      <c r="M64" s="10"/>
      <c r="O64" s="186">
        <v>62</v>
      </c>
    </row>
    <row r="65" spans="1:15" x14ac:dyDescent="0.2">
      <c r="A65" s="29">
        <f>IF('TAM Projet 1'!T56&gt;0,IF(_TauxActuariel,(('TAM Projet 1'!T56+1)^(1/_NbEchAn))-1,'TAM Projet 1'!T56/_NbEchAn),A64)</f>
        <v>1.5499999999999999E-3</v>
      </c>
      <c r="B65" s="28">
        <f>IF('TAM Projet 1'!W56&gt;0,'TAM Projet 1'!W56,IF('TAM Projet 1'!V56&gt;0,IF(AND(_EchFIXE,A65&gt;0),ROUND(('TAM Projet 1'!AD56-'TAM Projet 1'!U56)*A65/(1-((1+A65)^-'TAM Projet 1'!V56)),_NbDeci),ROUND('TAM Projet 1'!AD56/'TAM Projet 1'!V56,_NbDeci)),B64))</f>
        <v>768.98</v>
      </c>
      <c r="C65" s="10"/>
      <c r="D65" s="10"/>
      <c r="E65" s="10"/>
      <c r="F65" s="10"/>
      <c r="H65" s="29">
        <f>IF('TAM Projet 1'!AJ56&gt;0,IF(_TauxActuariel1,(('TAM Projet 1'!AJ56+1)^(1/_NbechAn1))-1,'TAM Projet 1'!AJ56/_NbechAn1),H64)</f>
        <v>8.3333333333333339E-4</v>
      </c>
      <c r="I65" s="28">
        <f>IF('TAM Projet 1'!AM56&gt;0,'TAM Projet 1'!AM56,IF('TAM Projet 1'!AL56&gt;0,IF(AND(_EchFIXE1,H65&gt;0),ROUND(('TAM Projet 1'!AT56-'TAM Projet 1'!AK56)*H65/(1-((1+H65)^-'TAM Projet 1'!AL56)),_NbDeci1),ROUND('TAM Projet 1'!AT56/'TAM Projet 1'!AL56,_NbDeci1)),I64))</f>
        <v>187406.04</v>
      </c>
      <c r="J65" s="10"/>
      <c r="K65" s="10"/>
      <c r="L65" s="10"/>
      <c r="M65" s="10"/>
      <c r="O65" s="186">
        <v>63</v>
      </c>
    </row>
    <row r="66" spans="1:15" x14ac:dyDescent="0.2">
      <c r="A66" s="29">
        <f>IF('TAM Projet 1'!T57&gt;0,IF(_TauxActuariel,(('TAM Projet 1'!T57+1)^(1/_NbEchAn))-1,'TAM Projet 1'!T57/_NbEchAn),A65)</f>
        <v>1.5499999999999999E-3</v>
      </c>
      <c r="B66" s="28">
        <f>IF('TAM Projet 1'!W57&gt;0,'TAM Projet 1'!W57,IF('TAM Projet 1'!V57&gt;0,IF(AND(_EchFIXE,A66&gt;0),ROUND(('TAM Projet 1'!AD57-'TAM Projet 1'!U57)*A66/(1-((1+A66)^-'TAM Projet 1'!V57)),_NbDeci),ROUND('TAM Projet 1'!AD57/'TAM Projet 1'!V57,_NbDeci)),B65))</f>
        <v>768.98</v>
      </c>
      <c r="C66" s="10"/>
      <c r="D66" s="10"/>
      <c r="E66" s="10"/>
      <c r="F66" s="10"/>
      <c r="H66" s="29">
        <f>IF('TAM Projet 1'!AJ57&gt;0,IF(_TauxActuariel1,(('TAM Projet 1'!AJ57+1)^(1/_NbechAn1))-1,'TAM Projet 1'!AJ57/_NbechAn1),H65)</f>
        <v>8.3333333333333339E-4</v>
      </c>
      <c r="I66" s="28">
        <f>IF('TAM Projet 1'!AM57&gt;0,'TAM Projet 1'!AM57,IF('TAM Projet 1'!AL57&gt;0,IF(AND(_EchFIXE1,H66&gt;0),ROUND(('TAM Projet 1'!AT57-'TAM Projet 1'!AK57)*H66/(1-((1+H66)^-'TAM Projet 1'!AL57)),_NbDeci1),ROUND('TAM Projet 1'!AT57/'TAM Projet 1'!AL57,_NbDeci1)),I65))</f>
        <v>187406.04</v>
      </c>
      <c r="J66" s="10"/>
      <c r="K66" s="10"/>
      <c r="L66" s="10"/>
      <c r="M66" s="10"/>
      <c r="O66" s="186">
        <v>64</v>
      </c>
    </row>
    <row r="67" spans="1:15" x14ac:dyDescent="0.2">
      <c r="A67" s="29">
        <f>IF('TAM Projet 1'!T58&gt;0,IF(_TauxActuariel,(('TAM Projet 1'!T58+1)^(1/_NbEchAn))-1,'TAM Projet 1'!T58/_NbEchAn),A66)</f>
        <v>1.5499999999999999E-3</v>
      </c>
      <c r="B67" s="28">
        <f>IF('TAM Projet 1'!W58&gt;0,'TAM Projet 1'!W58,IF('TAM Projet 1'!V58&gt;0,IF(AND(_EchFIXE,A67&gt;0),ROUND(('TAM Projet 1'!AD58-'TAM Projet 1'!U58)*A67/(1-((1+A67)^-'TAM Projet 1'!V58)),_NbDeci),ROUND('TAM Projet 1'!AD58/'TAM Projet 1'!V58,_NbDeci)),B66))</f>
        <v>768.98</v>
      </c>
      <c r="C67" s="10"/>
      <c r="D67" s="10"/>
      <c r="E67" s="10"/>
      <c r="F67" s="10"/>
      <c r="H67" s="29">
        <f>IF('TAM Projet 1'!AJ58&gt;0,IF(_TauxActuariel1,(('TAM Projet 1'!AJ58+1)^(1/_NbechAn1))-1,'TAM Projet 1'!AJ58/_NbechAn1),H66)</f>
        <v>8.3333333333333339E-4</v>
      </c>
      <c r="I67" s="28">
        <f>IF('TAM Projet 1'!AM58&gt;0,'TAM Projet 1'!AM58,IF('TAM Projet 1'!AL58&gt;0,IF(AND(_EchFIXE1,H67&gt;0),ROUND(('TAM Projet 1'!AT58-'TAM Projet 1'!AK58)*H67/(1-((1+H67)^-'TAM Projet 1'!AL58)),_NbDeci1),ROUND('TAM Projet 1'!AT58/'TAM Projet 1'!AL58,_NbDeci1)),I66))</f>
        <v>187406.04</v>
      </c>
      <c r="J67" s="10"/>
      <c r="K67" s="10"/>
      <c r="L67" s="10"/>
      <c r="M67" s="10"/>
      <c r="O67" s="186">
        <v>65</v>
      </c>
    </row>
    <row r="68" spans="1:15" x14ac:dyDescent="0.2">
      <c r="A68" s="29">
        <f>IF('TAM Projet 1'!T59&gt;0,IF(_TauxActuariel,(('TAM Projet 1'!T59+1)^(1/_NbEchAn))-1,'TAM Projet 1'!T59/_NbEchAn),A67)</f>
        <v>1.5499999999999999E-3</v>
      </c>
      <c r="B68" s="28">
        <f>IF('TAM Projet 1'!W59&gt;0,'TAM Projet 1'!W59,IF('TAM Projet 1'!V59&gt;0,IF(AND(_EchFIXE,A68&gt;0),ROUND(('TAM Projet 1'!AD59-'TAM Projet 1'!U59)*A68/(1-((1+A68)^-'TAM Projet 1'!V59)),_NbDeci),ROUND('TAM Projet 1'!AD59/'TAM Projet 1'!V59,_NbDeci)),B67))</f>
        <v>768.98</v>
      </c>
      <c r="C68" s="10"/>
      <c r="D68" s="10"/>
      <c r="E68" s="10"/>
      <c r="F68" s="10"/>
      <c r="H68" s="29">
        <f>IF('TAM Projet 1'!AJ59&gt;0,IF(_TauxActuariel1,(('TAM Projet 1'!AJ59+1)^(1/_NbechAn1))-1,'TAM Projet 1'!AJ59/_NbechAn1),H67)</f>
        <v>8.3333333333333339E-4</v>
      </c>
      <c r="I68" s="28">
        <f>IF('TAM Projet 1'!AM59&gt;0,'TAM Projet 1'!AM59,IF('TAM Projet 1'!AL59&gt;0,IF(AND(_EchFIXE1,H68&gt;0),ROUND(('TAM Projet 1'!AT59-'TAM Projet 1'!AK59)*H68/(1-((1+H68)^-'TAM Projet 1'!AL59)),_NbDeci1),ROUND('TAM Projet 1'!AT59/'TAM Projet 1'!AL59,_NbDeci1)),I67))</f>
        <v>187406.04</v>
      </c>
      <c r="J68" s="10"/>
      <c r="K68" s="10"/>
      <c r="L68" s="10"/>
      <c r="M68" s="10"/>
      <c r="O68" s="186">
        <v>66</v>
      </c>
    </row>
    <row r="69" spans="1:15" x14ac:dyDescent="0.2">
      <c r="A69" s="29">
        <f>IF('TAM Projet 1'!T60&gt;0,IF(_TauxActuariel,(('TAM Projet 1'!T60+1)^(1/_NbEchAn))-1,'TAM Projet 1'!T60/_NbEchAn),A68)</f>
        <v>1.5499999999999999E-3</v>
      </c>
      <c r="B69" s="28">
        <f>IF('TAM Projet 1'!W60&gt;0,'TAM Projet 1'!W60,IF('TAM Projet 1'!V60&gt;0,IF(AND(_EchFIXE,A69&gt;0),ROUND(('TAM Projet 1'!AD60-'TAM Projet 1'!U60)*A69/(1-((1+A69)^-'TAM Projet 1'!V60)),_NbDeci),ROUND('TAM Projet 1'!AD60/'TAM Projet 1'!V60,_NbDeci)),B68))</f>
        <v>768.98</v>
      </c>
      <c r="C69" s="10"/>
      <c r="D69" s="10"/>
      <c r="E69" s="10"/>
      <c r="F69" s="10"/>
      <c r="H69" s="29">
        <f>IF('TAM Projet 1'!AJ60&gt;0,IF(_TauxActuariel1,(('TAM Projet 1'!AJ60+1)^(1/_NbechAn1))-1,'TAM Projet 1'!AJ60/_NbechAn1),H68)</f>
        <v>8.3333333333333339E-4</v>
      </c>
      <c r="I69" s="28">
        <f>IF('TAM Projet 1'!AM60&gt;0,'TAM Projet 1'!AM60,IF('TAM Projet 1'!AL60&gt;0,IF(AND(_EchFIXE1,H69&gt;0),ROUND(('TAM Projet 1'!AT60-'TAM Projet 1'!AK60)*H69/(1-((1+H69)^-'TAM Projet 1'!AL60)),_NbDeci1),ROUND('TAM Projet 1'!AT60/'TAM Projet 1'!AL60,_NbDeci1)),I68))</f>
        <v>187406.04</v>
      </c>
      <c r="J69" s="10"/>
      <c r="K69" s="10"/>
      <c r="L69" s="10"/>
      <c r="M69" s="10"/>
      <c r="O69" s="186">
        <v>67</v>
      </c>
    </row>
    <row r="70" spans="1:15" x14ac:dyDescent="0.2">
      <c r="A70" s="29">
        <f>IF('TAM Projet 1'!T61&gt;0,IF(_TauxActuariel,(('TAM Projet 1'!T61+1)^(1/_NbEchAn))-1,'TAM Projet 1'!T61/_NbEchAn),A69)</f>
        <v>1.5499999999999999E-3</v>
      </c>
      <c r="B70" s="28">
        <f>IF('TAM Projet 1'!W61&gt;0,'TAM Projet 1'!W61,IF('TAM Projet 1'!V61&gt;0,IF(AND(_EchFIXE,A70&gt;0),ROUND(('TAM Projet 1'!AD61-'TAM Projet 1'!U61)*A70/(1-((1+A70)^-'TAM Projet 1'!V61)),_NbDeci),ROUND('TAM Projet 1'!AD61/'TAM Projet 1'!V61,_NbDeci)),B69))</f>
        <v>768.98</v>
      </c>
      <c r="C70" s="10"/>
      <c r="D70" s="10"/>
      <c r="E70" s="10"/>
      <c r="F70" s="10"/>
      <c r="H70" s="29">
        <f>IF('TAM Projet 1'!AJ61&gt;0,IF(_TauxActuariel1,(('TAM Projet 1'!AJ61+1)^(1/_NbechAn1))-1,'TAM Projet 1'!AJ61/_NbechAn1),H69)</f>
        <v>8.3333333333333339E-4</v>
      </c>
      <c r="I70" s="28">
        <f>IF('TAM Projet 1'!AM61&gt;0,'TAM Projet 1'!AM61,IF('TAM Projet 1'!AL61&gt;0,IF(AND(_EchFIXE1,H70&gt;0),ROUND(('TAM Projet 1'!AT61-'TAM Projet 1'!AK61)*H70/(1-((1+H70)^-'TAM Projet 1'!AL61)),_NbDeci1),ROUND('TAM Projet 1'!AT61/'TAM Projet 1'!AL61,_NbDeci1)),I69))</f>
        <v>187406.04</v>
      </c>
      <c r="J70" s="10"/>
      <c r="K70" s="10"/>
      <c r="L70" s="10"/>
      <c r="M70" s="10"/>
      <c r="O70" s="186">
        <v>68</v>
      </c>
    </row>
    <row r="71" spans="1:15" x14ac:dyDescent="0.2">
      <c r="A71" s="29">
        <f>IF('TAM Projet 1'!T62&gt;0,IF(_TauxActuariel,(('TAM Projet 1'!T62+1)^(1/_NbEchAn))-1,'TAM Projet 1'!T62/_NbEchAn),A70)</f>
        <v>1.5499999999999999E-3</v>
      </c>
      <c r="B71" s="28">
        <f>IF('TAM Projet 1'!W62&gt;0,'TAM Projet 1'!W62,IF('TAM Projet 1'!V62&gt;0,IF(AND(_EchFIXE,A71&gt;0),ROUND(('TAM Projet 1'!AD62-'TAM Projet 1'!U62)*A71/(1-((1+A71)^-'TAM Projet 1'!V62)),_NbDeci),ROUND('TAM Projet 1'!AD62/'TAM Projet 1'!V62,_NbDeci)),B70))</f>
        <v>768.98</v>
      </c>
      <c r="C71" s="10"/>
      <c r="D71" s="10"/>
      <c r="E71" s="10"/>
      <c r="F71" s="10"/>
      <c r="H71" s="29">
        <f>IF('TAM Projet 1'!AJ62&gt;0,IF(_TauxActuariel1,(('TAM Projet 1'!AJ62+1)^(1/_NbechAn1))-1,'TAM Projet 1'!AJ62/_NbechAn1),H70)</f>
        <v>8.3333333333333339E-4</v>
      </c>
      <c r="I71" s="28">
        <f>IF('TAM Projet 1'!AM62&gt;0,'TAM Projet 1'!AM62,IF('TAM Projet 1'!AL62&gt;0,IF(AND(_EchFIXE1,H71&gt;0),ROUND(('TAM Projet 1'!AT62-'TAM Projet 1'!AK62)*H71/(1-((1+H71)^-'TAM Projet 1'!AL62)),_NbDeci1),ROUND('TAM Projet 1'!AT62/'TAM Projet 1'!AL62,_NbDeci1)),I70))</f>
        <v>187406.04</v>
      </c>
      <c r="J71" s="10"/>
      <c r="K71" s="10"/>
      <c r="L71" s="10"/>
      <c r="M71" s="10"/>
      <c r="O71" s="186">
        <v>69</v>
      </c>
    </row>
    <row r="72" spans="1:15" x14ac:dyDescent="0.2">
      <c r="A72" s="29">
        <f>IF('TAM Projet 1'!T63&gt;0,IF(_TauxActuariel,(('TAM Projet 1'!T63+1)^(1/_NbEchAn))-1,'TAM Projet 1'!T63/_NbEchAn),A71)</f>
        <v>1.5499999999999999E-3</v>
      </c>
      <c r="B72" s="28">
        <f>IF('TAM Projet 1'!W63&gt;0,'TAM Projet 1'!W63,IF('TAM Projet 1'!V63&gt;0,IF(AND(_EchFIXE,A72&gt;0),ROUND(('TAM Projet 1'!AD63-'TAM Projet 1'!U63)*A72/(1-((1+A72)^-'TAM Projet 1'!V63)),_NbDeci),ROUND('TAM Projet 1'!AD63/'TAM Projet 1'!V63,_NbDeci)),B71))</f>
        <v>768.98</v>
      </c>
      <c r="C72" s="10"/>
      <c r="D72" s="10"/>
      <c r="E72" s="10"/>
      <c r="F72" s="10"/>
      <c r="H72" s="29">
        <f>IF('TAM Projet 1'!AJ63&gt;0,IF(_TauxActuariel1,(('TAM Projet 1'!AJ63+1)^(1/_NbechAn1))-1,'TAM Projet 1'!AJ63/_NbechAn1),H71)</f>
        <v>8.3333333333333339E-4</v>
      </c>
      <c r="I72" s="28">
        <f>IF('TAM Projet 1'!AM63&gt;0,'TAM Projet 1'!AM63,IF('TAM Projet 1'!AL63&gt;0,IF(AND(_EchFIXE1,H72&gt;0),ROUND(('TAM Projet 1'!AT63-'TAM Projet 1'!AK63)*H72/(1-((1+H72)^-'TAM Projet 1'!AL63)),_NbDeci1),ROUND('TAM Projet 1'!AT63/'TAM Projet 1'!AL63,_NbDeci1)),I71))</f>
        <v>187406.04</v>
      </c>
      <c r="J72" s="10"/>
      <c r="K72" s="10"/>
      <c r="L72" s="10"/>
      <c r="M72" s="10"/>
      <c r="O72" s="186">
        <v>70</v>
      </c>
    </row>
    <row r="73" spans="1:15" x14ac:dyDescent="0.2">
      <c r="A73" s="29">
        <f>IF('TAM Projet 1'!T64&gt;0,IF(_TauxActuariel,(('TAM Projet 1'!T64+1)^(1/_NbEchAn))-1,'TAM Projet 1'!T64/_NbEchAn),A72)</f>
        <v>1.5499999999999999E-3</v>
      </c>
      <c r="B73" s="28">
        <f>IF('TAM Projet 1'!W64&gt;0,'TAM Projet 1'!W64,IF('TAM Projet 1'!V64&gt;0,IF(AND(_EchFIXE,A73&gt;0),ROUND(('TAM Projet 1'!AD64-'TAM Projet 1'!U64)*A73/(1-((1+A73)^-'TAM Projet 1'!V64)),_NbDeci),ROUND('TAM Projet 1'!AD64/'TAM Projet 1'!V64,_NbDeci)),B72))</f>
        <v>768.98</v>
      </c>
      <c r="C73" s="10"/>
      <c r="D73" s="10"/>
      <c r="E73" s="10"/>
      <c r="F73" s="10"/>
      <c r="H73" s="29">
        <f>IF('TAM Projet 1'!AJ64&gt;0,IF(_TauxActuariel1,(('TAM Projet 1'!AJ64+1)^(1/_NbechAn1))-1,'TAM Projet 1'!AJ64/_NbechAn1),H72)</f>
        <v>8.3333333333333339E-4</v>
      </c>
      <c r="I73" s="28">
        <f>IF('TAM Projet 1'!AM64&gt;0,'TAM Projet 1'!AM64,IF('TAM Projet 1'!AL64&gt;0,IF(AND(_EchFIXE1,H73&gt;0),ROUND(('TAM Projet 1'!AT64-'TAM Projet 1'!AK64)*H73/(1-((1+H73)^-'TAM Projet 1'!AL64)),_NbDeci1),ROUND('TAM Projet 1'!AT64/'TAM Projet 1'!AL64,_NbDeci1)),I72))</f>
        <v>187406.04</v>
      </c>
      <c r="J73" s="10"/>
      <c r="K73" s="10"/>
      <c r="L73" s="10"/>
      <c r="M73" s="10"/>
      <c r="O73" s="186">
        <v>71</v>
      </c>
    </row>
    <row r="74" spans="1:15" x14ac:dyDescent="0.2">
      <c r="A74" s="29">
        <f>IF('TAM Projet 1'!T65&gt;0,IF(_TauxActuariel,(('TAM Projet 1'!T65+1)^(1/_NbEchAn))-1,'TAM Projet 1'!T65/_NbEchAn),A73)</f>
        <v>1.5499999999999999E-3</v>
      </c>
      <c r="B74" s="28">
        <f>IF('TAM Projet 1'!W65&gt;0,'TAM Projet 1'!W65,IF('TAM Projet 1'!V65&gt;0,IF(AND(_EchFIXE,A74&gt;0),ROUND(('TAM Projet 1'!AD65-'TAM Projet 1'!U65)*A74/(1-((1+A74)^-'TAM Projet 1'!V65)),_NbDeci),ROUND('TAM Projet 1'!AD65/'TAM Projet 1'!V65,_NbDeci)),B73))</f>
        <v>768.98</v>
      </c>
      <c r="C74" s="10"/>
      <c r="D74" s="10"/>
      <c r="E74" s="10"/>
      <c r="F74" s="10"/>
      <c r="H74" s="29">
        <f>IF('TAM Projet 1'!AJ65&gt;0,IF(_TauxActuariel1,(('TAM Projet 1'!AJ65+1)^(1/_NbechAn1))-1,'TAM Projet 1'!AJ65/_NbechAn1),H73)</f>
        <v>8.3333333333333339E-4</v>
      </c>
      <c r="I74" s="28">
        <f>IF('TAM Projet 1'!AM65&gt;0,'TAM Projet 1'!AM65,IF('TAM Projet 1'!AL65&gt;0,IF(AND(_EchFIXE1,H74&gt;0),ROUND(('TAM Projet 1'!AT65-'TAM Projet 1'!AK65)*H74/(1-((1+H74)^-'TAM Projet 1'!AL65)),_NbDeci1),ROUND('TAM Projet 1'!AT65/'TAM Projet 1'!AL65,_NbDeci1)),I73))</f>
        <v>187406.04</v>
      </c>
      <c r="J74" s="10"/>
      <c r="K74" s="10"/>
      <c r="L74" s="10"/>
      <c r="M74" s="10"/>
      <c r="O74" s="186">
        <v>72</v>
      </c>
    </row>
    <row r="75" spans="1:15" x14ac:dyDescent="0.2">
      <c r="A75" s="29">
        <f>IF('TAM Projet 1'!T66&gt;0,IF(_TauxActuariel,(('TAM Projet 1'!T66+1)^(1/_NbEchAn))-1,'TAM Projet 1'!T66/_NbEchAn),A74)</f>
        <v>1.5499999999999999E-3</v>
      </c>
      <c r="B75" s="28">
        <f>IF('TAM Projet 1'!W66&gt;0,'TAM Projet 1'!W66,IF('TAM Projet 1'!V66&gt;0,IF(AND(_EchFIXE,A75&gt;0),ROUND(('TAM Projet 1'!AD66-'TAM Projet 1'!U66)*A75/(1-((1+A75)^-'TAM Projet 1'!V66)),_NbDeci),ROUND('TAM Projet 1'!AD66/'TAM Projet 1'!V66,_NbDeci)),B74))</f>
        <v>768.98</v>
      </c>
      <c r="C75" s="10"/>
      <c r="D75" s="10"/>
      <c r="E75" s="10"/>
      <c r="F75" s="10"/>
      <c r="H75" s="29">
        <f>IF('TAM Projet 1'!AJ66&gt;0,IF(_TauxActuariel1,(('TAM Projet 1'!AJ66+1)^(1/_NbechAn1))-1,'TAM Projet 1'!AJ66/_NbechAn1),H74)</f>
        <v>8.3333333333333339E-4</v>
      </c>
      <c r="I75" s="28">
        <f>IF('TAM Projet 1'!AM66&gt;0,'TAM Projet 1'!AM66,IF('TAM Projet 1'!AL66&gt;0,IF(AND(_EchFIXE1,H75&gt;0),ROUND(('TAM Projet 1'!AT66-'TAM Projet 1'!AK66)*H75/(1-((1+H75)^-'TAM Projet 1'!AL66)),_NbDeci1),ROUND('TAM Projet 1'!AT66/'TAM Projet 1'!AL66,_NbDeci1)),I74))</f>
        <v>187406.04</v>
      </c>
      <c r="J75" s="10"/>
      <c r="K75" s="10"/>
      <c r="L75" s="10"/>
      <c r="M75" s="10"/>
      <c r="O75" s="186">
        <v>73</v>
      </c>
    </row>
    <row r="76" spans="1:15" x14ac:dyDescent="0.2">
      <c r="A76" s="29">
        <f>IF('TAM Projet 1'!T67&gt;0,IF(_TauxActuariel,(('TAM Projet 1'!T67+1)^(1/_NbEchAn))-1,'TAM Projet 1'!T67/_NbEchAn),A75)</f>
        <v>1.5499999999999999E-3</v>
      </c>
      <c r="B76" s="28">
        <f>IF('TAM Projet 1'!W67&gt;0,'TAM Projet 1'!W67,IF('TAM Projet 1'!V67&gt;0,IF(AND(_EchFIXE,A76&gt;0),ROUND(('TAM Projet 1'!AD67-'TAM Projet 1'!U67)*A76/(1-((1+A76)^-'TAM Projet 1'!V67)),_NbDeci),ROUND('TAM Projet 1'!AD67/'TAM Projet 1'!V67,_NbDeci)),B75))</f>
        <v>768.98</v>
      </c>
      <c r="C76" s="10"/>
      <c r="D76" s="10"/>
      <c r="E76" s="10"/>
      <c r="F76" s="10"/>
      <c r="H76" s="29">
        <f>IF('TAM Projet 1'!AJ67&gt;0,IF(_TauxActuariel1,(('TAM Projet 1'!AJ67+1)^(1/_NbechAn1))-1,'TAM Projet 1'!AJ67/_NbechAn1),H75)</f>
        <v>8.3333333333333339E-4</v>
      </c>
      <c r="I76" s="28">
        <f>IF('TAM Projet 1'!AM67&gt;0,'TAM Projet 1'!AM67,IF('TAM Projet 1'!AL67&gt;0,IF(AND(_EchFIXE1,H76&gt;0),ROUND(('TAM Projet 1'!AT67-'TAM Projet 1'!AK67)*H76/(1-((1+H76)^-'TAM Projet 1'!AL67)),_NbDeci1),ROUND('TAM Projet 1'!AT67/'TAM Projet 1'!AL67,_NbDeci1)),I75))</f>
        <v>187406.04</v>
      </c>
      <c r="J76" s="10"/>
      <c r="K76" s="10"/>
      <c r="L76" s="10"/>
      <c r="M76" s="10"/>
      <c r="O76" s="186">
        <v>74</v>
      </c>
    </row>
    <row r="77" spans="1:15" x14ac:dyDescent="0.2">
      <c r="A77" s="29">
        <f>IF('TAM Projet 1'!T68&gt;0,IF(_TauxActuariel,(('TAM Projet 1'!T68+1)^(1/_NbEchAn))-1,'TAM Projet 1'!T68/_NbEchAn),A76)</f>
        <v>1.5499999999999999E-3</v>
      </c>
      <c r="B77" s="28">
        <f>IF('TAM Projet 1'!W68&gt;0,'TAM Projet 1'!W68,IF('TAM Projet 1'!V68&gt;0,IF(AND(_EchFIXE,A77&gt;0),ROUND(('TAM Projet 1'!AD68-'TAM Projet 1'!U68)*A77/(1-((1+A77)^-'TAM Projet 1'!V68)),_NbDeci),ROUND('TAM Projet 1'!AD68/'TAM Projet 1'!V68,_NbDeci)),B76))</f>
        <v>768.98</v>
      </c>
      <c r="C77" s="10"/>
      <c r="D77" s="10"/>
      <c r="E77" s="10"/>
      <c r="F77" s="10"/>
      <c r="H77" s="29">
        <f>IF('TAM Projet 1'!AJ68&gt;0,IF(_TauxActuariel1,(('TAM Projet 1'!AJ68+1)^(1/_NbechAn1))-1,'TAM Projet 1'!AJ68/_NbechAn1),H76)</f>
        <v>8.3333333333333339E-4</v>
      </c>
      <c r="I77" s="28">
        <f>IF('TAM Projet 1'!AM68&gt;0,'TAM Projet 1'!AM68,IF('TAM Projet 1'!AL68&gt;0,IF(AND(_EchFIXE1,H77&gt;0),ROUND(('TAM Projet 1'!AT68-'TAM Projet 1'!AK68)*H77/(1-((1+H77)^-'TAM Projet 1'!AL68)),_NbDeci1),ROUND('TAM Projet 1'!AT68/'TAM Projet 1'!AL68,_NbDeci1)),I76))</f>
        <v>187406.04</v>
      </c>
      <c r="J77" s="10"/>
      <c r="K77" s="10"/>
      <c r="L77" s="10"/>
      <c r="M77" s="10"/>
      <c r="O77" s="186">
        <v>75</v>
      </c>
    </row>
    <row r="78" spans="1:15" x14ac:dyDescent="0.2">
      <c r="A78" s="29">
        <f>IF('TAM Projet 1'!T69&gt;0,IF(_TauxActuariel,(('TAM Projet 1'!T69+1)^(1/_NbEchAn))-1,'TAM Projet 1'!T69/_NbEchAn),A77)</f>
        <v>1.5499999999999999E-3</v>
      </c>
      <c r="B78" s="28">
        <f>IF('TAM Projet 1'!W69&gt;0,'TAM Projet 1'!W69,IF('TAM Projet 1'!V69&gt;0,IF(AND(_EchFIXE,A78&gt;0),ROUND(('TAM Projet 1'!AD69-'TAM Projet 1'!U69)*A78/(1-((1+A78)^-'TAM Projet 1'!V69)),_NbDeci),ROUND('TAM Projet 1'!AD69/'TAM Projet 1'!V69,_NbDeci)),B77))</f>
        <v>768.98</v>
      </c>
      <c r="C78" s="10"/>
      <c r="D78" s="10"/>
      <c r="E78" s="10"/>
      <c r="F78" s="10"/>
      <c r="H78" s="29">
        <f>IF('TAM Projet 1'!AJ69&gt;0,IF(_TauxActuariel1,(('TAM Projet 1'!AJ69+1)^(1/_NbechAn1))-1,'TAM Projet 1'!AJ69/_NbechAn1),H77)</f>
        <v>8.3333333333333339E-4</v>
      </c>
      <c r="I78" s="28">
        <f>IF('TAM Projet 1'!AM69&gt;0,'TAM Projet 1'!AM69,IF('TAM Projet 1'!AL69&gt;0,IF(AND(_EchFIXE1,H78&gt;0),ROUND(('TAM Projet 1'!AT69-'TAM Projet 1'!AK69)*H78/(1-((1+H78)^-'TAM Projet 1'!AL69)),_NbDeci1),ROUND('TAM Projet 1'!AT69/'TAM Projet 1'!AL69,_NbDeci1)),I77))</f>
        <v>187406.04</v>
      </c>
      <c r="J78" s="10"/>
      <c r="K78" s="10"/>
      <c r="L78" s="10"/>
      <c r="M78" s="10"/>
      <c r="O78" s="186">
        <v>76</v>
      </c>
    </row>
    <row r="79" spans="1:15" x14ac:dyDescent="0.2">
      <c r="A79" s="29">
        <f>IF('TAM Projet 1'!T70&gt;0,IF(_TauxActuariel,(('TAM Projet 1'!T70+1)^(1/_NbEchAn))-1,'TAM Projet 1'!T70/_NbEchAn),A78)</f>
        <v>1.5499999999999999E-3</v>
      </c>
      <c r="B79" s="28">
        <f>IF('TAM Projet 1'!W70&gt;0,'TAM Projet 1'!W70,IF('TAM Projet 1'!V70&gt;0,IF(AND(_EchFIXE,A79&gt;0),ROUND(('TAM Projet 1'!AD70-'TAM Projet 1'!U70)*A79/(1-((1+A79)^-'TAM Projet 1'!V70)),_NbDeci),ROUND('TAM Projet 1'!AD70/'TAM Projet 1'!V70,_NbDeci)),B78))</f>
        <v>768.98</v>
      </c>
      <c r="C79" s="10"/>
      <c r="D79" s="10"/>
      <c r="E79" s="10"/>
      <c r="F79" s="10"/>
      <c r="H79" s="29">
        <f>IF('TAM Projet 1'!AJ70&gt;0,IF(_TauxActuariel1,(('TAM Projet 1'!AJ70+1)^(1/_NbechAn1))-1,'TAM Projet 1'!AJ70/_NbechAn1),H78)</f>
        <v>8.3333333333333339E-4</v>
      </c>
      <c r="I79" s="28">
        <f>IF('TAM Projet 1'!AM70&gt;0,'TAM Projet 1'!AM70,IF('TAM Projet 1'!AL70&gt;0,IF(AND(_EchFIXE1,H79&gt;0),ROUND(('TAM Projet 1'!AT70-'TAM Projet 1'!AK70)*H79/(1-((1+H79)^-'TAM Projet 1'!AL70)),_NbDeci1),ROUND('TAM Projet 1'!AT70/'TAM Projet 1'!AL70,_NbDeci1)),I78))</f>
        <v>187406.04</v>
      </c>
      <c r="J79" s="10"/>
      <c r="K79" s="10"/>
      <c r="L79" s="10"/>
      <c r="M79" s="10"/>
      <c r="O79" s="186">
        <v>77</v>
      </c>
    </row>
    <row r="80" spans="1:15" x14ac:dyDescent="0.2">
      <c r="A80" s="29">
        <f>IF('TAM Projet 1'!T71&gt;0,IF(_TauxActuariel,(('TAM Projet 1'!T71+1)^(1/_NbEchAn))-1,'TAM Projet 1'!T71/_NbEchAn),A79)</f>
        <v>1.5499999999999999E-3</v>
      </c>
      <c r="B80" s="28">
        <f>IF('TAM Projet 1'!W71&gt;0,'TAM Projet 1'!W71,IF('TAM Projet 1'!V71&gt;0,IF(AND(_EchFIXE,A80&gt;0),ROUND(('TAM Projet 1'!AD71-'TAM Projet 1'!U71)*A80/(1-((1+A80)^-'TAM Projet 1'!V71)),_NbDeci),ROUND('TAM Projet 1'!AD71/'TAM Projet 1'!V71,_NbDeci)),B79))</f>
        <v>768.98</v>
      </c>
      <c r="C80" s="10"/>
      <c r="D80" s="10"/>
      <c r="E80" s="10"/>
      <c r="F80" s="10"/>
      <c r="H80" s="29">
        <f>IF('TAM Projet 1'!AJ71&gt;0,IF(_TauxActuariel1,(('TAM Projet 1'!AJ71+1)^(1/_NbechAn1))-1,'TAM Projet 1'!AJ71/_NbechAn1),H79)</f>
        <v>8.3333333333333339E-4</v>
      </c>
      <c r="I80" s="28">
        <f>IF('TAM Projet 1'!AM71&gt;0,'TAM Projet 1'!AM71,IF('TAM Projet 1'!AL71&gt;0,IF(AND(_EchFIXE1,H80&gt;0),ROUND(('TAM Projet 1'!AT71-'TAM Projet 1'!AK71)*H80/(1-((1+H80)^-'TAM Projet 1'!AL71)),_NbDeci1),ROUND('TAM Projet 1'!AT71/'TAM Projet 1'!AL71,_NbDeci1)),I79))</f>
        <v>187406.04</v>
      </c>
      <c r="J80" s="10"/>
      <c r="K80" s="10"/>
      <c r="L80" s="10"/>
      <c r="M80" s="10"/>
      <c r="O80" s="186">
        <v>78</v>
      </c>
    </row>
    <row r="81" spans="1:15" x14ac:dyDescent="0.2">
      <c r="A81" s="29">
        <f>IF('TAM Projet 1'!T72&gt;0,IF(_TauxActuariel,(('TAM Projet 1'!T72+1)^(1/_NbEchAn))-1,'TAM Projet 1'!T72/_NbEchAn),A80)</f>
        <v>1.5499999999999999E-3</v>
      </c>
      <c r="B81" s="28">
        <f>IF('TAM Projet 1'!W72&gt;0,'TAM Projet 1'!W72,IF('TAM Projet 1'!V72&gt;0,IF(AND(_EchFIXE,A81&gt;0),ROUND(('TAM Projet 1'!AD72-'TAM Projet 1'!U72)*A81/(1-((1+A81)^-'TAM Projet 1'!V72)),_NbDeci),ROUND('TAM Projet 1'!AD72/'TAM Projet 1'!V72,_NbDeci)),B80))</f>
        <v>768.98</v>
      </c>
      <c r="C81" s="10"/>
      <c r="D81" s="10"/>
      <c r="E81" s="10"/>
      <c r="F81" s="10"/>
      <c r="H81" s="29">
        <f>IF('TAM Projet 1'!AJ72&gt;0,IF(_TauxActuariel1,(('TAM Projet 1'!AJ72+1)^(1/_NbechAn1))-1,'TAM Projet 1'!AJ72/_NbechAn1),H80)</f>
        <v>8.3333333333333339E-4</v>
      </c>
      <c r="I81" s="28">
        <f>IF('TAM Projet 1'!AM72&gt;0,'TAM Projet 1'!AM72,IF('TAM Projet 1'!AL72&gt;0,IF(AND(_EchFIXE1,H81&gt;0),ROUND(('TAM Projet 1'!AT72-'TAM Projet 1'!AK72)*H81/(1-((1+H81)^-'TAM Projet 1'!AL72)),_NbDeci1),ROUND('TAM Projet 1'!AT72/'TAM Projet 1'!AL72,_NbDeci1)),I80))</f>
        <v>187406.04</v>
      </c>
      <c r="J81" s="10"/>
      <c r="K81" s="10"/>
      <c r="L81" s="10"/>
      <c r="M81" s="10"/>
      <c r="O81" s="186">
        <v>79</v>
      </c>
    </row>
    <row r="82" spans="1:15" x14ac:dyDescent="0.2">
      <c r="A82" s="29">
        <f>IF('TAM Projet 1'!T73&gt;0,IF(_TauxActuariel,(('TAM Projet 1'!T73+1)^(1/_NbEchAn))-1,'TAM Projet 1'!T73/_NbEchAn),A81)</f>
        <v>1.5499999999999999E-3</v>
      </c>
      <c r="B82" s="28">
        <f>IF('TAM Projet 1'!W73&gt;0,'TAM Projet 1'!W73,IF('TAM Projet 1'!V73&gt;0,IF(AND(_EchFIXE,A82&gt;0),ROUND(('TAM Projet 1'!AD73-'TAM Projet 1'!U73)*A82/(1-((1+A82)^-'TAM Projet 1'!V73)),_NbDeci),ROUND('TAM Projet 1'!AD73/'TAM Projet 1'!V73,_NbDeci)),B81))</f>
        <v>768.98</v>
      </c>
      <c r="C82" s="10"/>
      <c r="D82" s="10"/>
      <c r="E82" s="10"/>
      <c r="F82" s="10"/>
      <c r="H82" s="29">
        <f>IF('TAM Projet 1'!AJ73&gt;0,IF(_TauxActuariel1,(('TAM Projet 1'!AJ73+1)^(1/_NbechAn1))-1,'TAM Projet 1'!AJ73/_NbechAn1),H81)</f>
        <v>8.3333333333333339E-4</v>
      </c>
      <c r="I82" s="28">
        <f>IF('TAM Projet 1'!AM73&gt;0,'TAM Projet 1'!AM73,IF('TAM Projet 1'!AL73&gt;0,IF(AND(_EchFIXE1,H82&gt;0),ROUND(('TAM Projet 1'!AT73-'TAM Projet 1'!AK73)*H82/(1-((1+H82)^-'TAM Projet 1'!AL73)),_NbDeci1),ROUND('TAM Projet 1'!AT73/'TAM Projet 1'!AL73,_NbDeci1)),I81))</f>
        <v>187406.04</v>
      </c>
      <c r="J82" s="10"/>
      <c r="K82" s="10"/>
      <c r="L82" s="10"/>
      <c r="M82" s="10"/>
      <c r="O82" s="186">
        <v>80</v>
      </c>
    </row>
    <row r="83" spans="1:15" x14ac:dyDescent="0.2">
      <c r="A83" s="29">
        <f>IF('TAM Projet 1'!T74&gt;0,IF(_TauxActuariel,(('TAM Projet 1'!T74+1)^(1/_NbEchAn))-1,'TAM Projet 1'!T74/_NbEchAn),A82)</f>
        <v>1.5499999999999999E-3</v>
      </c>
      <c r="B83" s="28">
        <f>IF('TAM Projet 1'!W74&gt;0,'TAM Projet 1'!W74,IF('TAM Projet 1'!V74&gt;0,IF(AND(_EchFIXE,A83&gt;0),ROUND(('TAM Projet 1'!AD74-'TAM Projet 1'!U74)*A83/(1-((1+A83)^-'TAM Projet 1'!V74)),_NbDeci),ROUND('TAM Projet 1'!AD74/'TAM Projet 1'!V74,_NbDeci)),B82))</f>
        <v>768.98</v>
      </c>
      <c r="C83" s="10"/>
      <c r="D83" s="10"/>
      <c r="E83" s="10"/>
      <c r="F83" s="10"/>
      <c r="H83" s="29">
        <f>IF('TAM Projet 1'!AJ74&gt;0,IF(_TauxActuariel1,(('TAM Projet 1'!AJ74+1)^(1/_NbechAn1))-1,'TAM Projet 1'!AJ74/_NbechAn1),H82)</f>
        <v>8.3333333333333339E-4</v>
      </c>
      <c r="I83" s="28">
        <f>IF('TAM Projet 1'!AM74&gt;0,'TAM Projet 1'!AM74,IF('TAM Projet 1'!AL74&gt;0,IF(AND(_EchFIXE1,H83&gt;0),ROUND(('TAM Projet 1'!AT74-'TAM Projet 1'!AK74)*H83/(1-((1+H83)^-'TAM Projet 1'!AL74)),_NbDeci1),ROUND('TAM Projet 1'!AT74/'TAM Projet 1'!AL74,_NbDeci1)),I82))</f>
        <v>187406.04</v>
      </c>
      <c r="J83" s="10"/>
      <c r="K83" s="10"/>
      <c r="L83" s="10"/>
      <c r="M83" s="10"/>
      <c r="O83" s="186">
        <v>81</v>
      </c>
    </row>
    <row r="84" spans="1:15" x14ac:dyDescent="0.2">
      <c r="A84" s="29">
        <f>IF('TAM Projet 1'!T75&gt;0,IF(_TauxActuariel,(('TAM Projet 1'!T75+1)^(1/_NbEchAn))-1,'TAM Projet 1'!T75/_NbEchAn),A83)</f>
        <v>1.5499999999999999E-3</v>
      </c>
      <c r="B84" s="28">
        <f>IF('TAM Projet 1'!W75&gt;0,'TAM Projet 1'!W75,IF('TAM Projet 1'!V75&gt;0,IF(AND(_EchFIXE,A84&gt;0),ROUND(('TAM Projet 1'!AD75-'TAM Projet 1'!U75)*A84/(1-((1+A84)^-'TAM Projet 1'!V75)),_NbDeci),ROUND('TAM Projet 1'!AD75/'TAM Projet 1'!V75,_NbDeci)),B83))</f>
        <v>768.98</v>
      </c>
      <c r="C84" s="10"/>
      <c r="D84" s="10"/>
      <c r="E84" s="10"/>
      <c r="F84" s="10"/>
      <c r="H84" s="29">
        <f>IF('TAM Projet 1'!AJ75&gt;0,IF(_TauxActuariel1,(('TAM Projet 1'!AJ75+1)^(1/_NbechAn1))-1,'TAM Projet 1'!AJ75/_NbechAn1),H83)</f>
        <v>8.3333333333333339E-4</v>
      </c>
      <c r="I84" s="28">
        <f>IF('TAM Projet 1'!AM75&gt;0,'TAM Projet 1'!AM75,IF('TAM Projet 1'!AL75&gt;0,IF(AND(_EchFIXE1,H84&gt;0),ROUND(('TAM Projet 1'!AT75-'TAM Projet 1'!AK75)*H84/(1-((1+H84)^-'TAM Projet 1'!AL75)),_NbDeci1),ROUND('TAM Projet 1'!AT75/'TAM Projet 1'!AL75,_NbDeci1)),I83))</f>
        <v>187406.04</v>
      </c>
      <c r="J84" s="10"/>
      <c r="K84" s="10"/>
      <c r="L84" s="10"/>
      <c r="M84" s="10"/>
      <c r="O84" s="186">
        <v>82</v>
      </c>
    </row>
    <row r="85" spans="1:15" x14ac:dyDescent="0.2">
      <c r="A85" s="29">
        <f>IF('TAM Projet 1'!T76&gt;0,IF(_TauxActuariel,(('TAM Projet 1'!T76+1)^(1/_NbEchAn))-1,'TAM Projet 1'!T76/_NbEchAn),A84)</f>
        <v>1.5499999999999999E-3</v>
      </c>
      <c r="B85" s="28">
        <f>IF('TAM Projet 1'!W76&gt;0,'TAM Projet 1'!W76,IF('TAM Projet 1'!V76&gt;0,IF(AND(_EchFIXE,A85&gt;0),ROUND(('TAM Projet 1'!AD76-'TAM Projet 1'!U76)*A85/(1-((1+A85)^-'TAM Projet 1'!V76)),_NbDeci),ROUND('TAM Projet 1'!AD76/'TAM Projet 1'!V76,_NbDeci)),B84))</f>
        <v>768.98</v>
      </c>
      <c r="C85" s="10"/>
      <c r="D85" s="10"/>
      <c r="E85" s="10"/>
      <c r="F85" s="10"/>
      <c r="H85" s="29">
        <f>IF('TAM Projet 1'!AJ76&gt;0,IF(_TauxActuariel1,(('TAM Projet 1'!AJ76+1)^(1/_NbechAn1))-1,'TAM Projet 1'!AJ76/_NbechAn1),H84)</f>
        <v>8.3333333333333339E-4</v>
      </c>
      <c r="I85" s="28">
        <f>IF('TAM Projet 1'!AM76&gt;0,'TAM Projet 1'!AM76,IF('TAM Projet 1'!AL76&gt;0,IF(AND(_EchFIXE1,H85&gt;0),ROUND(('TAM Projet 1'!AT76-'TAM Projet 1'!AK76)*H85/(1-((1+H85)^-'TAM Projet 1'!AL76)),_NbDeci1),ROUND('TAM Projet 1'!AT76/'TAM Projet 1'!AL76,_NbDeci1)),I84))</f>
        <v>187406.04</v>
      </c>
      <c r="J85" s="10"/>
      <c r="K85" s="10"/>
      <c r="L85" s="10"/>
      <c r="M85" s="10"/>
      <c r="O85" s="186">
        <v>83</v>
      </c>
    </row>
    <row r="86" spans="1:15" x14ac:dyDescent="0.2">
      <c r="A86" s="29">
        <f>IF('TAM Projet 1'!T77&gt;0,IF(_TauxActuariel,(('TAM Projet 1'!T77+1)^(1/_NbEchAn))-1,'TAM Projet 1'!T77/_NbEchAn),A85)</f>
        <v>1.5499999999999999E-3</v>
      </c>
      <c r="B86" s="28">
        <f>IF('TAM Projet 1'!W77&gt;0,'TAM Projet 1'!W77,IF('TAM Projet 1'!V77&gt;0,IF(AND(_EchFIXE,A86&gt;0),ROUND(('TAM Projet 1'!AD77-'TAM Projet 1'!U77)*A86/(1-((1+A86)^-'TAM Projet 1'!V77)),_NbDeci),ROUND('TAM Projet 1'!AD77/'TAM Projet 1'!V77,_NbDeci)),B85))</f>
        <v>768.98</v>
      </c>
      <c r="C86" s="10"/>
      <c r="D86" s="10"/>
      <c r="E86" s="10"/>
      <c r="F86" s="10"/>
      <c r="H86" s="29">
        <f>IF('TAM Projet 1'!AJ77&gt;0,IF(_TauxActuariel1,(('TAM Projet 1'!AJ77+1)^(1/_NbechAn1))-1,'TAM Projet 1'!AJ77/_NbechAn1),H85)</f>
        <v>8.3333333333333339E-4</v>
      </c>
      <c r="I86" s="28">
        <f>IF('TAM Projet 1'!AM77&gt;0,'TAM Projet 1'!AM77,IF('TAM Projet 1'!AL77&gt;0,IF(AND(_EchFIXE1,H86&gt;0),ROUND(('TAM Projet 1'!AT77-'TAM Projet 1'!AK77)*H86/(1-((1+H86)^-'TAM Projet 1'!AL77)),_NbDeci1),ROUND('TAM Projet 1'!AT77/'TAM Projet 1'!AL77,_NbDeci1)),I85))</f>
        <v>187406.04</v>
      </c>
      <c r="J86" s="10"/>
      <c r="K86" s="10"/>
      <c r="L86" s="10"/>
      <c r="M86" s="10"/>
      <c r="O86" s="186">
        <v>84</v>
      </c>
    </row>
    <row r="87" spans="1:15" x14ac:dyDescent="0.2">
      <c r="A87" s="29">
        <f>IF('TAM Projet 1'!T78&gt;0,IF(_TauxActuariel,(('TAM Projet 1'!T78+1)^(1/_NbEchAn))-1,'TAM Projet 1'!T78/_NbEchAn),A86)</f>
        <v>1.5499999999999999E-3</v>
      </c>
      <c r="B87" s="28">
        <f>IF('TAM Projet 1'!W78&gt;0,'TAM Projet 1'!W78,IF('TAM Projet 1'!V78&gt;0,IF(AND(_EchFIXE,A87&gt;0),ROUND(('TAM Projet 1'!AD78-'TAM Projet 1'!U78)*A87/(1-((1+A87)^-'TAM Projet 1'!V78)),_NbDeci),ROUND('TAM Projet 1'!AD78/'TAM Projet 1'!V78,_NbDeci)),B86))</f>
        <v>768.98</v>
      </c>
      <c r="C87" s="10"/>
      <c r="D87" s="10"/>
      <c r="E87" s="10"/>
      <c r="F87" s="10"/>
      <c r="H87" s="29">
        <f>IF('TAM Projet 1'!AJ78&gt;0,IF(_TauxActuariel1,(('TAM Projet 1'!AJ78+1)^(1/_NbechAn1))-1,'TAM Projet 1'!AJ78/_NbechAn1),H86)</f>
        <v>8.3333333333333339E-4</v>
      </c>
      <c r="I87" s="28">
        <f>IF('TAM Projet 1'!AM78&gt;0,'TAM Projet 1'!AM78,IF('TAM Projet 1'!AL78&gt;0,IF(AND(_EchFIXE1,H87&gt;0),ROUND(('TAM Projet 1'!AT78-'TAM Projet 1'!AK78)*H87/(1-((1+H87)^-'TAM Projet 1'!AL78)),_NbDeci1),ROUND('TAM Projet 1'!AT78/'TAM Projet 1'!AL78,_NbDeci1)),I86))</f>
        <v>187406.04</v>
      </c>
      <c r="J87" s="10"/>
      <c r="K87" s="10"/>
      <c r="L87" s="10"/>
      <c r="M87" s="10"/>
      <c r="O87" s="186">
        <v>85</v>
      </c>
    </row>
    <row r="88" spans="1:15" x14ac:dyDescent="0.2">
      <c r="A88" s="29">
        <f>IF('TAM Projet 1'!T79&gt;0,IF(_TauxActuariel,(('TAM Projet 1'!T79+1)^(1/_NbEchAn))-1,'TAM Projet 1'!T79/_NbEchAn),A87)</f>
        <v>1.5499999999999999E-3</v>
      </c>
      <c r="B88" s="28">
        <f>IF('TAM Projet 1'!W79&gt;0,'TAM Projet 1'!W79,IF('TAM Projet 1'!V79&gt;0,IF(AND(_EchFIXE,A88&gt;0),ROUND(('TAM Projet 1'!AD79-'TAM Projet 1'!U79)*A88/(1-((1+A88)^-'TAM Projet 1'!V79)),_NbDeci),ROUND('TAM Projet 1'!AD79/'TAM Projet 1'!V79,_NbDeci)),B87))</f>
        <v>768.98</v>
      </c>
      <c r="C88" s="10"/>
      <c r="D88" s="10"/>
      <c r="E88" s="10"/>
      <c r="F88" s="10"/>
      <c r="H88" s="29">
        <f>IF('TAM Projet 1'!AJ79&gt;0,IF(_TauxActuariel1,(('TAM Projet 1'!AJ79+1)^(1/_NbechAn1))-1,'TAM Projet 1'!AJ79/_NbechAn1),H87)</f>
        <v>8.3333333333333339E-4</v>
      </c>
      <c r="I88" s="28">
        <f>IF('TAM Projet 1'!AM79&gt;0,'TAM Projet 1'!AM79,IF('TAM Projet 1'!AL79&gt;0,IF(AND(_EchFIXE1,H88&gt;0),ROUND(('TAM Projet 1'!AT79-'TAM Projet 1'!AK79)*H88/(1-((1+H88)^-'TAM Projet 1'!AL79)),_NbDeci1),ROUND('TAM Projet 1'!AT79/'TAM Projet 1'!AL79,_NbDeci1)),I87))</f>
        <v>187406.04</v>
      </c>
      <c r="J88" s="10"/>
      <c r="K88" s="10"/>
      <c r="L88" s="10"/>
      <c r="M88" s="10"/>
      <c r="O88" s="186">
        <v>86</v>
      </c>
    </row>
    <row r="89" spans="1:15" x14ac:dyDescent="0.2">
      <c r="A89" s="29">
        <f>IF('TAM Projet 1'!T80&gt;0,IF(_TauxActuariel,(('TAM Projet 1'!T80+1)^(1/_NbEchAn))-1,'TAM Projet 1'!T80/_NbEchAn),A88)</f>
        <v>1.5499999999999999E-3</v>
      </c>
      <c r="B89" s="28">
        <f>IF('TAM Projet 1'!W80&gt;0,'TAM Projet 1'!W80,IF('TAM Projet 1'!V80&gt;0,IF(AND(_EchFIXE,A89&gt;0),ROUND(('TAM Projet 1'!AD80-'TAM Projet 1'!U80)*A89/(1-((1+A89)^-'TAM Projet 1'!V80)),_NbDeci),ROUND('TAM Projet 1'!AD80/'TAM Projet 1'!V80,_NbDeci)),B88))</f>
        <v>768.98</v>
      </c>
      <c r="C89" s="10"/>
      <c r="D89" s="10"/>
      <c r="E89" s="10"/>
      <c r="F89" s="10"/>
      <c r="H89" s="29">
        <f>IF('TAM Projet 1'!AJ80&gt;0,IF(_TauxActuariel1,(('TAM Projet 1'!AJ80+1)^(1/_NbechAn1))-1,'TAM Projet 1'!AJ80/_NbechAn1),H88)</f>
        <v>8.3333333333333339E-4</v>
      </c>
      <c r="I89" s="28">
        <f>IF('TAM Projet 1'!AM80&gt;0,'TAM Projet 1'!AM80,IF('TAM Projet 1'!AL80&gt;0,IF(AND(_EchFIXE1,H89&gt;0),ROUND(('TAM Projet 1'!AT80-'TAM Projet 1'!AK80)*H89/(1-((1+H89)^-'TAM Projet 1'!AL80)),_NbDeci1),ROUND('TAM Projet 1'!AT80/'TAM Projet 1'!AL80,_NbDeci1)),I88))</f>
        <v>187406.04</v>
      </c>
      <c r="J89" s="10"/>
      <c r="K89" s="10"/>
      <c r="L89" s="10"/>
      <c r="M89" s="10"/>
      <c r="O89" s="186">
        <v>87</v>
      </c>
    </row>
    <row r="90" spans="1:15" x14ac:dyDescent="0.2">
      <c r="A90" s="29">
        <f>IF('TAM Projet 1'!T81&gt;0,IF(_TauxActuariel,(('TAM Projet 1'!T81+1)^(1/_NbEchAn))-1,'TAM Projet 1'!T81/_NbEchAn),A89)</f>
        <v>1.5499999999999999E-3</v>
      </c>
      <c r="B90" s="28">
        <f>IF('TAM Projet 1'!W81&gt;0,'TAM Projet 1'!W81,IF('TAM Projet 1'!V81&gt;0,IF(AND(_EchFIXE,A90&gt;0),ROUND(('TAM Projet 1'!AD81-'TAM Projet 1'!U81)*A90/(1-((1+A90)^-'TAM Projet 1'!V81)),_NbDeci),ROUND('TAM Projet 1'!AD81/'TAM Projet 1'!V81,_NbDeci)),B89))</f>
        <v>768.98</v>
      </c>
      <c r="C90" s="10"/>
      <c r="D90" s="10"/>
      <c r="E90" s="10"/>
      <c r="F90" s="10"/>
      <c r="H90" s="29">
        <f>IF('TAM Projet 1'!AJ81&gt;0,IF(_TauxActuariel1,(('TAM Projet 1'!AJ81+1)^(1/_NbechAn1))-1,'TAM Projet 1'!AJ81/_NbechAn1),H89)</f>
        <v>8.3333333333333339E-4</v>
      </c>
      <c r="I90" s="28">
        <f>IF('TAM Projet 1'!AM81&gt;0,'TAM Projet 1'!AM81,IF('TAM Projet 1'!AL81&gt;0,IF(AND(_EchFIXE1,H90&gt;0),ROUND(('TAM Projet 1'!AT81-'TAM Projet 1'!AK81)*H90/(1-((1+H90)^-'TAM Projet 1'!AL81)),_NbDeci1),ROUND('TAM Projet 1'!AT81/'TAM Projet 1'!AL81,_NbDeci1)),I89))</f>
        <v>187406.04</v>
      </c>
      <c r="J90" s="10"/>
      <c r="K90" s="10"/>
      <c r="L90" s="10"/>
      <c r="M90" s="10"/>
      <c r="O90" s="186">
        <v>88</v>
      </c>
    </row>
    <row r="91" spans="1:15" x14ac:dyDescent="0.2">
      <c r="A91" s="29">
        <f>IF('TAM Projet 1'!T82&gt;0,IF(_TauxActuariel,(('TAM Projet 1'!T82+1)^(1/_NbEchAn))-1,'TAM Projet 1'!T82/_NbEchAn),A90)</f>
        <v>1.5499999999999999E-3</v>
      </c>
      <c r="B91" s="28">
        <f>IF('TAM Projet 1'!W82&gt;0,'TAM Projet 1'!W82,IF('TAM Projet 1'!V82&gt;0,IF(AND(_EchFIXE,A91&gt;0),ROUND(('TAM Projet 1'!AD82-'TAM Projet 1'!U82)*A91/(1-((1+A91)^-'TAM Projet 1'!V82)),_NbDeci),ROUND('TAM Projet 1'!AD82/'TAM Projet 1'!V82,_NbDeci)),B90))</f>
        <v>768.98</v>
      </c>
      <c r="C91" s="10"/>
      <c r="D91" s="10"/>
      <c r="E91" s="10"/>
      <c r="F91" s="10"/>
      <c r="H91" s="29">
        <f>IF('TAM Projet 1'!AJ82&gt;0,IF(_TauxActuariel1,(('TAM Projet 1'!AJ82+1)^(1/_NbechAn1))-1,'TAM Projet 1'!AJ82/_NbechAn1),H90)</f>
        <v>8.3333333333333339E-4</v>
      </c>
      <c r="I91" s="28">
        <f>IF('TAM Projet 1'!AM82&gt;0,'TAM Projet 1'!AM82,IF('TAM Projet 1'!AL82&gt;0,IF(AND(_EchFIXE1,H91&gt;0),ROUND(('TAM Projet 1'!AT82-'TAM Projet 1'!AK82)*H91/(1-((1+H91)^-'TAM Projet 1'!AL82)),_NbDeci1),ROUND('TAM Projet 1'!AT82/'TAM Projet 1'!AL82,_NbDeci1)),I90))</f>
        <v>187406.04</v>
      </c>
      <c r="J91" s="10"/>
      <c r="K91" s="10"/>
      <c r="L91" s="10"/>
      <c r="M91" s="10"/>
      <c r="O91" s="186">
        <v>89</v>
      </c>
    </row>
    <row r="92" spans="1:15" x14ac:dyDescent="0.2">
      <c r="A92" s="29">
        <f>IF('TAM Projet 1'!T83&gt;0,IF(_TauxActuariel,(('TAM Projet 1'!T83+1)^(1/_NbEchAn))-1,'TAM Projet 1'!T83/_NbEchAn),A91)</f>
        <v>1.5499999999999999E-3</v>
      </c>
      <c r="B92" s="28">
        <f>IF('TAM Projet 1'!W83&gt;0,'TAM Projet 1'!W83,IF('TAM Projet 1'!V83&gt;0,IF(AND(_EchFIXE,A92&gt;0),ROUND(('TAM Projet 1'!AD83-'TAM Projet 1'!U83)*A92/(1-((1+A92)^-'TAM Projet 1'!V83)),_NbDeci),ROUND('TAM Projet 1'!AD83/'TAM Projet 1'!V83,_NbDeci)),B91))</f>
        <v>768.98</v>
      </c>
      <c r="C92" s="10"/>
      <c r="D92" s="10"/>
      <c r="E92" s="10"/>
      <c r="F92" s="10"/>
      <c r="H92" s="29">
        <f>IF('TAM Projet 1'!AJ83&gt;0,IF(_TauxActuariel1,(('TAM Projet 1'!AJ83+1)^(1/_NbechAn1))-1,'TAM Projet 1'!AJ83/_NbechAn1),H91)</f>
        <v>8.3333333333333339E-4</v>
      </c>
      <c r="I92" s="28">
        <f>IF('TAM Projet 1'!AM83&gt;0,'TAM Projet 1'!AM83,IF('TAM Projet 1'!AL83&gt;0,IF(AND(_EchFIXE1,H92&gt;0),ROUND(('TAM Projet 1'!AT83-'TAM Projet 1'!AK83)*H92/(1-((1+H92)^-'TAM Projet 1'!AL83)),_NbDeci1),ROUND('TAM Projet 1'!AT83/'TAM Projet 1'!AL83,_NbDeci1)),I91))</f>
        <v>187406.04</v>
      </c>
      <c r="J92" s="10"/>
      <c r="K92" s="10"/>
      <c r="L92" s="10"/>
      <c r="M92" s="10"/>
      <c r="O92" s="186">
        <v>90</v>
      </c>
    </row>
    <row r="93" spans="1:15" x14ac:dyDescent="0.2">
      <c r="A93" s="29">
        <f>IF('TAM Projet 1'!T84&gt;0,IF(_TauxActuariel,(('TAM Projet 1'!T84+1)^(1/_NbEchAn))-1,'TAM Projet 1'!T84/_NbEchAn),A92)</f>
        <v>1.5499999999999999E-3</v>
      </c>
      <c r="B93" s="28">
        <f>IF('TAM Projet 1'!W84&gt;0,'TAM Projet 1'!W84,IF('TAM Projet 1'!V84&gt;0,IF(AND(_EchFIXE,A93&gt;0),ROUND(('TAM Projet 1'!AD84-'TAM Projet 1'!U84)*A93/(1-((1+A93)^-'TAM Projet 1'!V84)),_NbDeci),ROUND('TAM Projet 1'!AD84/'TAM Projet 1'!V84,_NbDeci)),B92))</f>
        <v>768.98</v>
      </c>
      <c r="C93" s="10"/>
      <c r="D93" s="10"/>
      <c r="E93" s="10"/>
      <c r="F93" s="10"/>
      <c r="H93" s="29">
        <f>IF('TAM Projet 1'!AJ84&gt;0,IF(_TauxActuariel1,(('TAM Projet 1'!AJ84+1)^(1/_NbechAn1))-1,'TAM Projet 1'!AJ84/_NbechAn1),H92)</f>
        <v>8.3333333333333339E-4</v>
      </c>
      <c r="I93" s="28">
        <f>IF('TAM Projet 1'!AM84&gt;0,'TAM Projet 1'!AM84,IF('TAM Projet 1'!AL84&gt;0,IF(AND(_EchFIXE1,H93&gt;0),ROUND(('TAM Projet 1'!AT84-'TAM Projet 1'!AK84)*H93/(1-((1+H93)^-'TAM Projet 1'!AL84)),_NbDeci1),ROUND('TAM Projet 1'!AT84/'TAM Projet 1'!AL84,_NbDeci1)),I92))</f>
        <v>187406.04</v>
      </c>
      <c r="J93" s="10"/>
      <c r="K93" s="10"/>
      <c r="L93" s="10"/>
      <c r="M93" s="10"/>
      <c r="O93" s="186">
        <v>91</v>
      </c>
    </row>
    <row r="94" spans="1:15" x14ac:dyDescent="0.2">
      <c r="A94" s="29">
        <f>IF('TAM Projet 1'!T85&gt;0,IF(_TauxActuariel,(('TAM Projet 1'!T85+1)^(1/_NbEchAn))-1,'TAM Projet 1'!T85/_NbEchAn),A93)</f>
        <v>1.5499999999999999E-3</v>
      </c>
      <c r="B94" s="28">
        <f>IF('TAM Projet 1'!W85&gt;0,'TAM Projet 1'!W85,IF('TAM Projet 1'!V85&gt;0,IF(AND(_EchFIXE,A94&gt;0),ROUND(('TAM Projet 1'!AD85-'TAM Projet 1'!U85)*A94/(1-((1+A94)^-'TAM Projet 1'!V85)),_NbDeci),ROUND('TAM Projet 1'!AD85/'TAM Projet 1'!V85,_NbDeci)),B93))</f>
        <v>768.98</v>
      </c>
      <c r="C94" s="10"/>
      <c r="D94" s="10"/>
      <c r="E94" s="10"/>
      <c r="F94" s="10"/>
      <c r="H94" s="29">
        <f>IF('TAM Projet 1'!AJ85&gt;0,IF(_TauxActuariel1,(('TAM Projet 1'!AJ85+1)^(1/_NbechAn1))-1,'TAM Projet 1'!AJ85/_NbechAn1),H93)</f>
        <v>8.3333333333333339E-4</v>
      </c>
      <c r="I94" s="28">
        <f>IF('TAM Projet 1'!AM85&gt;0,'TAM Projet 1'!AM85,IF('TAM Projet 1'!AL85&gt;0,IF(AND(_EchFIXE1,H94&gt;0),ROUND(('TAM Projet 1'!AT85-'TAM Projet 1'!AK85)*H94/(1-((1+H94)^-'TAM Projet 1'!AL85)),_NbDeci1),ROUND('TAM Projet 1'!AT85/'TAM Projet 1'!AL85,_NbDeci1)),I93))</f>
        <v>187406.04</v>
      </c>
      <c r="J94" s="10"/>
      <c r="K94" s="10"/>
      <c r="L94" s="10"/>
      <c r="M94" s="10"/>
      <c r="O94" s="186">
        <v>92</v>
      </c>
    </row>
    <row r="95" spans="1:15" x14ac:dyDescent="0.2">
      <c r="A95" s="29">
        <f>IF('TAM Projet 1'!T86&gt;0,IF(_TauxActuariel,(('TAM Projet 1'!T86+1)^(1/_NbEchAn))-1,'TAM Projet 1'!T86/_NbEchAn),A94)</f>
        <v>1.5499999999999999E-3</v>
      </c>
      <c r="B95" s="28">
        <f>IF('TAM Projet 1'!W86&gt;0,'TAM Projet 1'!W86,IF('TAM Projet 1'!V86&gt;0,IF(AND(_EchFIXE,A95&gt;0),ROUND(('TAM Projet 1'!AD86-'TAM Projet 1'!U86)*A95/(1-((1+A95)^-'TAM Projet 1'!V86)),_NbDeci),ROUND('TAM Projet 1'!AD86/'TAM Projet 1'!V86,_NbDeci)),B94))</f>
        <v>768.98</v>
      </c>
      <c r="C95" s="10"/>
      <c r="D95" s="10"/>
      <c r="E95" s="10"/>
      <c r="F95" s="10"/>
      <c r="H95" s="29">
        <f>IF('TAM Projet 1'!AJ86&gt;0,IF(_TauxActuariel1,(('TAM Projet 1'!AJ86+1)^(1/_NbechAn1))-1,'TAM Projet 1'!AJ86/_NbechAn1),H94)</f>
        <v>8.3333333333333339E-4</v>
      </c>
      <c r="I95" s="28">
        <f>IF('TAM Projet 1'!AM86&gt;0,'TAM Projet 1'!AM86,IF('TAM Projet 1'!AL86&gt;0,IF(AND(_EchFIXE1,H95&gt;0),ROUND(('TAM Projet 1'!AT86-'TAM Projet 1'!AK86)*H95/(1-((1+H95)^-'TAM Projet 1'!AL86)),_NbDeci1),ROUND('TAM Projet 1'!AT86/'TAM Projet 1'!AL86,_NbDeci1)),I94))</f>
        <v>187406.04</v>
      </c>
      <c r="J95" s="10"/>
      <c r="K95" s="10"/>
      <c r="L95" s="10"/>
      <c r="M95" s="10"/>
      <c r="O95" s="186">
        <v>93</v>
      </c>
    </row>
    <row r="96" spans="1:15" x14ac:dyDescent="0.2">
      <c r="A96" s="29">
        <f>IF('TAM Projet 1'!T87&gt;0,IF(_TauxActuariel,(('TAM Projet 1'!T87+1)^(1/_NbEchAn))-1,'TAM Projet 1'!T87/_NbEchAn),A95)</f>
        <v>1.5499999999999999E-3</v>
      </c>
      <c r="B96" s="28">
        <f>IF('TAM Projet 1'!W87&gt;0,'TAM Projet 1'!W87,IF('TAM Projet 1'!V87&gt;0,IF(AND(_EchFIXE,A96&gt;0),ROUND(('TAM Projet 1'!AD87-'TAM Projet 1'!U87)*A96/(1-((1+A96)^-'TAM Projet 1'!V87)),_NbDeci),ROUND('TAM Projet 1'!AD87/'TAM Projet 1'!V87,_NbDeci)),B95))</f>
        <v>768.98</v>
      </c>
      <c r="C96" s="10"/>
      <c r="D96" s="10"/>
      <c r="E96" s="10"/>
      <c r="F96" s="10"/>
      <c r="H96" s="29">
        <f>IF('TAM Projet 1'!AJ87&gt;0,IF(_TauxActuariel1,(('TAM Projet 1'!AJ87+1)^(1/_NbechAn1))-1,'TAM Projet 1'!AJ87/_NbechAn1),H95)</f>
        <v>8.3333333333333339E-4</v>
      </c>
      <c r="I96" s="28">
        <f>IF('TAM Projet 1'!AM87&gt;0,'TAM Projet 1'!AM87,IF('TAM Projet 1'!AL87&gt;0,IF(AND(_EchFIXE1,H96&gt;0),ROUND(('TAM Projet 1'!AT87-'TAM Projet 1'!AK87)*H96/(1-((1+H96)^-'TAM Projet 1'!AL87)),_NbDeci1),ROUND('TAM Projet 1'!AT87/'TAM Projet 1'!AL87,_NbDeci1)),I95))</f>
        <v>187406.04</v>
      </c>
      <c r="J96" s="10"/>
      <c r="K96" s="10"/>
      <c r="L96" s="10"/>
      <c r="M96" s="10"/>
      <c r="O96" s="186">
        <v>94</v>
      </c>
    </row>
    <row r="97" spans="1:15" x14ac:dyDescent="0.2">
      <c r="A97" s="29">
        <f>IF('TAM Projet 1'!T88&gt;0,IF(_TauxActuariel,(('TAM Projet 1'!T88+1)^(1/_NbEchAn))-1,'TAM Projet 1'!T88/_NbEchAn),A96)</f>
        <v>1.5499999999999999E-3</v>
      </c>
      <c r="B97" s="28">
        <f>IF('TAM Projet 1'!W88&gt;0,'TAM Projet 1'!W88,IF('TAM Projet 1'!V88&gt;0,IF(AND(_EchFIXE,A97&gt;0),ROUND(('TAM Projet 1'!AD88-'TAM Projet 1'!U88)*A97/(1-((1+A97)^-'TAM Projet 1'!V88)),_NbDeci),ROUND('TAM Projet 1'!AD88/'TAM Projet 1'!V88,_NbDeci)),B96))</f>
        <v>768.98</v>
      </c>
      <c r="C97" s="10"/>
      <c r="D97" s="10"/>
      <c r="E97" s="10"/>
      <c r="F97" s="10"/>
      <c r="H97" s="29">
        <f>IF('TAM Projet 1'!AJ88&gt;0,IF(_TauxActuariel1,(('TAM Projet 1'!AJ88+1)^(1/_NbechAn1))-1,'TAM Projet 1'!AJ88/_NbechAn1),H96)</f>
        <v>8.3333333333333339E-4</v>
      </c>
      <c r="I97" s="28">
        <f>IF('TAM Projet 1'!AM88&gt;0,'TAM Projet 1'!AM88,IF('TAM Projet 1'!AL88&gt;0,IF(AND(_EchFIXE1,H97&gt;0),ROUND(('TAM Projet 1'!AT88-'TAM Projet 1'!AK88)*H97/(1-((1+H97)^-'TAM Projet 1'!AL88)),_NbDeci1),ROUND('TAM Projet 1'!AT88/'TAM Projet 1'!AL88,_NbDeci1)),I96))</f>
        <v>187406.04</v>
      </c>
      <c r="J97" s="10"/>
      <c r="K97" s="10"/>
      <c r="L97" s="10"/>
      <c r="M97" s="10"/>
      <c r="O97" s="186">
        <v>95</v>
      </c>
    </row>
    <row r="98" spans="1:15" x14ac:dyDescent="0.2">
      <c r="A98" s="29">
        <f>IF('TAM Projet 1'!T89&gt;0,IF(_TauxActuariel,(('TAM Projet 1'!T89+1)^(1/_NbEchAn))-1,'TAM Projet 1'!T89/_NbEchAn),A97)</f>
        <v>1.5499999999999999E-3</v>
      </c>
      <c r="B98" s="28">
        <f>IF('TAM Projet 1'!W89&gt;0,'TAM Projet 1'!W89,IF('TAM Projet 1'!V89&gt;0,IF(AND(_EchFIXE,A98&gt;0),ROUND(('TAM Projet 1'!AD89-'TAM Projet 1'!U89)*A98/(1-((1+A98)^-'TAM Projet 1'!V89)),_NbDeci),ROUND('TAM Projet 1'!AD89/'TAM Projet 1'!V89,_NbDeci)),B97))</f>
        <v>768.98</v>
      </c>
      <c r="C98" s="10"/>
      <c r="D98" s="10"/>
      <c r="E98" s="10"/>
      <c r="F98" s="10"/>
      <c r="H98" s="29">
        <f>IF('TAM Projet 1'!AJ89&gt;0,IF(_TauxActuariel1,(('TAM Projet 1'!AJ89+1)^(1/_NbechAn1))-1,'TAM Projet 1'!AJ89/_NbechAn1),H97)</f>
        <v>8.3333333333333339E-4</v>
      </c>
      <c r="I98" s="28">
        <f>IF('TAM Projet 1'!AM89&gt;0,'TAM Projet 1'!AM89,IF('TAM Projet 1'!AL89&gt;0,IF(AND(_EchFIXE1,H98&gt;0),ROUND(('TAM Projet 1'!AT89-'TAM Projet 1'!AK89)*H98/(1-((1+H98)^-'TAM Projet 1'!AL89)),_NbDeci1),ROUND('TAM Projet 1'!AT89/'TAM Projet 1'!AL89,_NbDeci1)),I97))</f>
        <v>187406.04</v>
      </c>
      <c r="J98" s="10"/>
      <c r="K98" s="10"/>
      <c r="L98" s="10"/>
      <c r="M98" s="10"/>
      <c r="O98" s="186">
        <v>96</v>
      </c>
    </row>
    <row r="99" spans="1:15" x14ac:dyDescent="0.2">
      <c r="A99" s="29">
        <f>IF('TAM Projet 1'!T90&gt;0,IF(_TauxActuariel,(('TAM Projet 1'!T90+1)^(1/_NbEchAn))-1,'TAM Projet 1'!T90/_NbEchAn),A98)</f>
        <v>1.5499999999999999E-3</v>
      </c>
      <c r="B99" s="28">
        <f>IF('TAM Projet 1'!W90&gt;0,'TAM Projet 1'!W90,IF('TAM Projet 1'!V90&gt;0,IF(AND(_EchFIXE,A99&gt;0),ROUND(('TAM Projet 1'!AD90-'TAM Projet 1'!U90)*A99/(1-((1+A99)^-'TAM Projet 1'!V90)),_NbDeci),ROUND('TAM Projet 1'!AD90/'TAM Projet 1'!V90,_NbDeci)),B98))</f>
        <v>768.98</v>
      </c>
      <c r="C99" s="10"/>
      <c r="D99" s="10"/>
      <c r="E99" s="10"/>
      <c r="F99" s="10"/>
      <c r="H99" s="29">
        <f>IF('TAM Projet 1'!AJ90&gt;0,IF(_TauxActuariel1,(('TAM Projet 1'!AJ90+1)^(1/_NbechAn1))-1,'TAM Projet 1'!AJ90/_NbechAn1),H98)</f>
        <v>8.3333333333333339E-4</v>
      </c>
      <c r="I99" s="28">
        <f>IF('TAM Projet 1'!AM90&gt;0,'TAM Projet 1'!AM90,IF('TAM Projet 1'!AL90&gt;0,IF(AND(_EchFIXE1,H99&gt;0),ROUND(('TAM Projet 1'!AT90-'TAM Projet 1'!AK90)*H99/(1-((1+H99)^-'TAM Projet 1'!AL90)),_NbDeci1),ROUND('TAM Projet 1'!AT90/'TAM Projet 1'!AL90,_NbDeci1)),I98))</f>
        <v>187406.04</v>
      </c>
      <c r="J99" s="10"/>
      <c r="K99" s="10"/>
      <c r="L99" s="10"/>
      <c r="M99" s="10"/>
      <c r="O99" s="186">
        <v>97</v>
      </c>
    </row>
    <row r="100" spans="1:15" x14ac:dyDescent="0.2">
      <c r="A100" s="29">
        <f>IF('TAM Projet 1'!T91&gt;0,IF(_TauxActuariel,(('TAM Projet 1'!T91+1)^(1/_NbEchAn))-1,'TAM Projet 1'!T91/_NbEchAn),A99)</f>
        <v>1.5499999999999999E-3</v>
      </c>
      <c r="B100" s="28">
        <f>IF('TAM Projet 1'!W91&gt;0,'TAM Projet 1'!W91,IF('TAM Projet 1'!V91&gt;0,IF(AND(_EchFIXE,A100&gt;0),ROUND(('TAM Projet 1'!AD91-'TAM Projet 1'!U91)*A100/(1-((1+A100)^-'TAM Projet 1'!V91)),_NbDeci),ROUND('TAM Projet 1'!AD91/'TAM Projet 1'!V91,_NbDeci)),B99))</f>
        <v>768.98</v>
      </c>
      <c r="C100" s="10"/>
      <c r="D100" s="10"/>
      <c r="E100" s="10"/>
      <c r="F100" s="10"/>
      <c r="H100" s="29">
        <f>IF('TAM Projet 1'!AJ91&gt;0,IF(_TauxActuariel1,(('TAM Projet 1'!AJ91+1)^(1/_NbechAn1))-1,'TAM Projet 1'!AJ91/_NbechAn1),H99)</f>
        <v>8.3333333333333339E-4</v>
      </c>
      <c r="I100" s="28">
        <f>IF('TAM Projet 1'!AM91&gt;0,'TAM Projet 1'!AM91,IF('TAM Projet 1'!AL91&gt;0,IF(AND(_EchFIXE1,H100&gt;0),ROUND(('TAM Projet 1'!AT91-'TAM Projet 1'!AK91)*H100/(1-((1+H100)^-'TAM Projet 1'!AL91)),_NbDeci1),ROUND('TAM Projet 1'!AT91/'TAM Projet 1'!AL91,_NbDeci1)),I99))</f>
        <v>187406.04</v>
      </c>
      <c r="J100" s="10"/>
      <c r="K100" s="10"/>
      <c r="L100" s="10"/>
      <c r="M100" s="10"/>
      <c r="O100" s="186">
        <v>98</v>
      </c>
    </row>
    <row r="101" spans="1:15" x14ac:dyDescent="0.2">
      <c r="A101" s="29">
        <f>IF('TAM Projet 1'!T92&gt;0,IF(_TauxActuariel,(('TAM Projet 1'!T92+1)^(1/_NbEchAn))-1,'TAM Projet 1'!T92/_NbEchAn),A100)</f>
        <v>1.5499999999999999E-3</v>
      </c>
      <c r="B101" s="28">
        <f>IF('TAM Projet 1'!W92&gt;0,'TAM Projet 1'!W92,IF('TAM Projet 1'!V92&gt;0,IF(AND(_EchFIXE,A101&gt;0),ROUND(('TAM Projet 1'!AD92-'TAM Projet 1'!U92)*A101/(1-((1+A101)^-'TAM Projet 1'!V92)),_NbDeci),ROUND('TAM Projet 1'!AD92/'TAM Projet 1'!V92,_NbDeci)),B100))</f>
        <v>768.98</v>
      </c>
      <c r="C101" s="10"/>
      <c r="D101" s="10"/>
      <c r="E101" s="10"/>
      <c r="F101" s="10"/>
      <c r="H101" s="29">
        <f>IF('TAM Projet 1'!AJ92&gt;0,IF(_TauxActuariel1,(('TAM Projet 1'!AJ92+1)^(1/_NbechAn1))-1,'TAM Projet 1'!AJ92/_NbechAn1),H100)</f>
        <v>8.3333333333333339E-4</v>
      </c>
      <c r="I101" s="28">
        <f>IF('TAM Projet 1'!AM92&gt;0,'TAM Projet 1'!AM92,IF('TAM Projet 1'!AL92&gt;0,IF(AND(_EchFIXE1,H101&gt;0),ROUND(('TAM Projet 1'!AT92-'TAM Projet 1'!AK92)*H101/(1-((1+H101)^-'TAM Projet 1'!AL92)),_NbDeci1),ROUND('TAM Projet 1'!AT92/'TAM Projet 1'!AL92,_NbDeci1)),I100))</f>
        <v>187406.04</v>
      </c>
      <c r="J101" s="10"/>
      <c r="K101" s="10"/>
      <c r="L101" s="10"/>
      <c r="M101" s="10"/>
      <c r="O101" s="186">
        <v>99</v>
      </c>
    </row>
    <row r="102" spans="1:15" x14ac:dyDescent="0.2">
      <c r="A102" s="29">
        <f>IF('TAM Projet 1'!T93&gt;0,IF(_TauxActuariel,(('TAM Projet 1'!T93+1)^(1/_NbEchAn))-1,'TAM Projet 1'!T93/_NbEchAn),A101)</f>
        <v>1.5499999999999999E-3</v>
      </c>
      <c r="B102" s="28">
        <f>IF('TAM Projet 1'!W93&gt;0,'TAM Projet 1'!W93,IF('TAM Projet 1'!V93&gt;0,IF(AND(_EchFIXE,A102&gt;0),ROUND(('TAM Projet 1'!AD93-'TAM Projet 1'!U93)*A102/(1-((1+A102)^-'TAM Projet 1'!V93)),_NbDeci),ROUND('TAM Projet 1'!AD93/'TAM Projet 1'!V93,_NbDeci)),B101))</f>
        <v>768.98</v>
      </c>
      <c r="C102" s="10"/>
      <c r="D102" s="10"/>
      <c r="E102" s="10"/>
      <c r="F102" s="10"/>
      <c r="H102" s="29">
        <f>IF('TAM Projet 1'!AJ93&gt;0,IF(_TauxActuariel1,(('TAM Projet 1'!AJ93+1)^(1/_NbechAn1))-1,'TAM Projet 1'!AJ93/_NbechAn1),H101)</f>
        <v>8.3333333333333339E-4</v>
      </c>
      <c r="I102" s="28">
        <f>IF('TAM Projet 1'!AM93&gt;0,'TAM Projet 1'!AM93,IF('TAM Projet 1'!AL93&gt;0,IF(AND(_EchFIXE1,H102&gt;0),ROUND(('TAM Projet 1'!AT93-'TAM Projet 1'!AK93)*H102/(1-((1+H102)^-'TAM Projet 1'!AL93)),_NbDeci1),ROUND('TAM Projet 1'!AT93/'TAM Projet 1'!AL93,_NbDeci1)),I101))</f>
        <v>187406.04</v>
      </c>
      <c r="J102" s="10"/>
      <c r="K102" s="10"/>
      <c r="L102" s="10"/>
      <c r="M102" s="10"/>
      <c r="O102" s="186">
        <v>100</v>
      </c>
    </row>
    <row r="103" spans="1:15" x14ac:dyDescent="0.2">
      <c r="A103" s="29">
        <f>IF('TAM Projet 1'!T94&gt;0,IF(_TauxActuariel,(('TAM Projet 1'!T94+1)^(1/_NbEchAn))-1,'TAM Projet 1'!T94/_NbEchAn),A102)</f>
        <v>1.5499999999999999E-3</v>
      </c>
      <c r="B103" s="28">
        <f>IF('TAM Projet 1'!W94&gt;0,'TAM Projet 1'!W94,IF('TAM Projet 1'!V94&gt;0,IF(AND(_EchFIXE,A103&gt;0),ROUND(('TAM Projet 1'!AD94-'TAM Projet 1'!U94)*A103/(1-((1+A103)^-'TAM Projet 1'!V94)),_NbDeci),ROUND('TAM Projet 1'!AD94/'TAM Projet 1'!V94,_NbDeci)),B102))</f>
        <v>768.98</v>
      </c>
      <c r="C103" s="10"/>
      <c r="D103" s="10"/>
      <c r="E103" s="10"/>
      <c r="F103" s="10"/>
      <c r="H103" s="29">
        <f>IF('TAM Projet 1'!AJ94&gt;0,IF(_TauxActuariel1,(('TAM Projet 1'!AJ94+1)^(1/_NbechAn1))-1,'TAM Projet 1'!AJ94/_NbechAn1),H102)</f>
        <v>8.3333333333333339E-4</v>
      </c>
      <c r="I103" s="28">
        <f>IF('TAM Projet 1'!AM94&gt;0,'TAM Projet 1'!AM94,IF('TAM Projet 1'!AL94&gt;0,IF(AND(_EchFIXE1,H103&gt;0),ROUND(('TAM Projet 1'!AT94-'TAM Projet 1'!AK94)*H103/(1-((1+H103)^-'TAM Projet 1'!AL94)),_NbDeci1),ROUND('TAM Projet 1'!AT94/'TAM Projet 1'!AL94,_NbDeci1)),I102))</f>
        <v>187406.04</v>
      </c>
      <c r="J103" s="10"/>
      <c r="K103" s="10"/>
      <c r="L103" s="10"/>
      <c r="M103" s="10"/>
      <c r="O103" s="186">
        <v>101</v>
      </c>
    </row>
    <row r="104" spans="1:15" x14ac:dyDescent="0.2">
      <c r="A104" s="29">
        <f>IF('TAM Projet 1'!T95&gt;0,IF(_TauxActuariel,(('TAM Projet 1'!T95+1)^(1/_NbEchAn))-1,'TAM Projet 1'!T95/_NbEchAn),A103)</f>
        <v>1.5499999999999999E-3</v>
      </c>
      <c r="B104" s="28">
        <f>IF('TAM Projet 1'!W95&gt;0,'TAM Projet 1'!W95,IF('TAM Projet 1'!V95&gt;0,IF(AND(_EchFIXE,A104&gt;0),ROUND(('TAM Projet 1'!AD95-'TAM Projet 1'!U95)*A104/(1-((1+A104)^-'TAM Projet 1'!V95)),_NbDeci),ROUND('TAM Projet 1'!AD95/'TAM Projet 1'!V95,_NbDeci)),B103))</f>
        <v>768.98</v>
      </c>
      <c r="C104" s="10"/>
      <c r="D104" s="10"/>
      <c r="E104" s="10"/>
      <c r="F104" s="10"/>
      <c r="H104" s="29">
        <f>IF('TAM Projet 1'!AJ95&gt;0,IF(_TauxActuariel1,(('TAM Projet 1'!AJ95+1)^(1/_NbechAn1))-1,'TAM Projet 1'!AJ95/_NbechAn1),H103)</f>
        <v>8.3333333333333339E-4</v>
      </c>
      <c r="I104" s="28">
        <f>IF('TAM Projet 1'!AM95&gt;0,'TAM Projet 1'!AM95,IF('TAM Projet 1'!AL95&gt;0,IF(AND(_EchFIXE1,H104&gt;0),ROUND(('TAM Projet 1'!AT95-'TAM Projet 1'!AK95)*H104/(1-((1+H104)^-'TAM Projet 1'!AL95)),_NbDeci1),ROUND('TAM Projet 1'!AT95/'TAM Projet 1'!AL95,_NbDeci1)),I103))</f>
        <v>187406.04</v>
      </c>
      <c r="J104" s="10"/>
      <c r="K104" s="10"/>
      <c r="L104" s="10"/>
      <c r="M104" s="10"/>
      <c r="O104" s="186">
        <v>102</v>
      </c>
    </row>
    <row r="105" spans="1:15" x14ac:dyDescent="0.2">
      <c r="A105" s="29">
        <f>IF('TAM Projet 1'!T96&gt;0,IF(_TauxActuariel,(('TAM Projet 1'!T96+1)^(1/_NbEchAn))-1,'TAM Projet 1'!T96/_NbEchAn),A104)</f>
        <v>1.5499999999999999E-3</v>
      </c>
      <c r="B105" s="28">
        <f>IF('TAM Projet 1'!W96&gt;0,'TAM Projet 1'!W96,IF('TAM Projet 1'!V96&gt;0,IF(AND(_EchFIXE,A105&gt;0),ROUND(('TAM Projet 1'!AD96-'TAM Projet 1'!U96)*A105/(1-((1+A105)^-'TAM Projet 1'!V96)),_NbDeci),ROUND('TAM Projet 1'!AD96/'TAM Projet 1'!V96,_NbDeci)),B104))</f>
        <v>768.98</v>
      </c>
      <c r="C105" s="10"/>
      <c r="D105" s="10"/>
      <c r="E105" s="10"/>
      <c r="F105" s="10"/>
      <c r="H105" s="29">
        <f>IF('TAM Projet 1'!AJ96&gt;0,IF(_TauxActuariel1,(('TAM Projet 1'!AJ96+1)^(1/_NbechAn1))-1,'TAM Projet 1'!AJ96/_NbechAn1),H104)</f>
        <v>8.3333333333333339E-4</v>
      </c>
      <c r="I105" s="28">
        <f>IF('TAM Projet 1'!AM96&gt;0,'TAM Projet 1'!AM96,IF('TAM Projet 1'!AL96&gt;0,IF(AND(_EchFIXE1,H105&gt;0),ROUND(('TAM Projet 1'!AT96-'TAM Projet 1'!AK96)*H105/(1-((1+H105)^-'TAM Projet 1'!AL96)),_NbDeci1),ROUND('TAM Projet 1'!AT96/'TAM Projet 1'!AL96,_NbDeci1)),I104))</f>
        <v>187406.04</v>
      </c>
      <c r="J105" s="10"/>
      <c r="K105" s="10"/>
      <c r="L105" s="10"/>
      <c r="M105" s="10"/>
      <c r="O105" s="186">
        <v>103</v>
      </c>
    </row>
    <row r="106" spans="1:15" x14ac:dyDescent="0.2">
      <c r="A106" s="29">
        <f>IF('TAM Projet 1'!T97&gt;0,IF(_TauxActuariel,(('TAM Projet 1'!T97+1)^(1/_NbEchAn))-1,'TAM Projet 1'!T97/_NbEchAn),A105)</f>
        <v>1.5499999999999999E-3</v>
      </c>
      <c r="B106" s="28">
        <f>IF('TAM Projet 1'!W97&gt;0,'TAM Projet 1'!W97,IF('TAM Projet 1'!V97&gt;0,IF(AND(_EchFIXE,A106&gt;0),ROUND(('TAM Projet 1'!AD97-'TAM Projet 1'!U97)*A106/(1-((1+A106)^-'TAM Projet 1'!V97)),_NbDeci),ROUND('TAM Projet 1'!AD97/'TAM Projet 1'!V97,_NbDeci)),B105))</f>
        <v>768.98</v>
      </c>
      <c r="C106" s="10"/>
      <c r="D106" s="10"/>
      <c r="E106" s="10"/>
      <c r="F106" s="10"/>
      <c r="H106" s="29">
        <f>IF('TAM Projet 1'!AJ97&gt;0,IF(_TauxActuariel1,(('TAM Projet 1'!AJ97+1)^(1/_NbechAn1))-1,'TAM Projet 1'!AJ97/_NbechAn1),H105)</f>
        <v>8.3333333333333339E-4</v>
      </c>
      <c r="I106" s="28">
        <f>IF('TAM Projet 1'!AM97&gt;0,'TAM Projet 1'!AM97,IF('TAM Projet 1'!AL97&gt;0,IF(AND(_EchFIXE1,H106&gt;0),ROUND(('TAM Projet 1'!AT97-'TAM Projet 1'!AK97)*H106/(1-((1+H106)^-'TAM Projet 1'!AL97)),_NbDeci1),ROUND('TAM Projet 1'!AT97/'TAM Projet 1'!AL97,_NbDeci1)),I105))</f>
        <v>187406.04</v>
      </c>
      <c r="J106" s="10"/>
      <c r="K106" s="10"/>
      <c r="L106" s="10"/>
      <c r="M106" s="10"/>
      <c r="O106" s="186">
        <v>104</v>
      </c>
    </row>
    <row r="107" spans="1:15" x14ac:dyDescent="0.2">
      <c r="A107" s="29">
        <f>IF('TAM Projet 1'!T98&gt;0,IF(_TauxActuariel,(('TAM Projet 1'!T98+1)^(1/_NbEchAn))-1,'TAM Projet 1'!T98/_NbEchAn),A106)</f>
        <v>1.5499999999999999E-3</v>
      </c>
      <c r="B107" s="28">
        <f>IF('TAM Projet 1'!W98&gt;0,'TAM Projet 1'!W98,IF('TAM Projet 1'!V98&gt;0,IF(AND(_EchFIXE,A107&gt;0),ROUND(('TAM Projet 1'!AD98-'TAM Projet 1'!U98)*A107/(1-((1+A107)^-'TAM Projet 1'!V98)),_NbDeci),ROUND('TAM Projet 1'!AD98/'TAM Projet 1'!V98,_NbDeci)),B106))</f>
        <v>768.98</v>
      </c>
      <c r="C107" s="10"/>
      <c r="D107" s="10"/>
      <c r="E107" s="10"/>
      <c r="F107" s="10"/>
      <c r="H107" s="29">
        <f>IF('TAM Projet 1'!AJ98&gt;0,IF(_TauxActuariel1,(('TAM Projet 1'!AJ98+1)^(1/_NbechAn1))-1,'TAM Projet 1'!AJ98/_NbechAn1),H106)</f>
        <v>8.3333333333333339E-4</v>
      </c>
      <c r="I107" s="28">
        <f>IF('TAM Projet 1'!AM98&gt;0,'TAM Projet 1'!AM98,IF('TAM Projet 1'!AL98&gt;0,IF(AND(_EchFIXE1,H107&gt;0),ROUND(('TAM Projet 1'!AT98-'TAM Projet 1'!AK98)*H107/(1-((1+H107)^-'TAM Projet 1'!AL98)),_NbDeci1),ROUND('TAM Projet 1'!AT98/'TAM Projet 1'!AL98,_NbDeci1)),I106))</f>
        <v>187406.04</v>
      </c>
      <c r="J107" s="10"/>
      <c r="K107" s="10"/>
      <c r="L107" s="10"/>
      <c r="M107" s="10"/>
      <c r="O107" s="186">
        <v>105</v>
      </c>
    </row>
    <row r="108" spans="1:15" x14ac:dyDescent="0.2">
      <c r="A108" s="29">
        <f>IF('TAM Projet 1'!T99&gt;0,IF(_TauxActuariel,(('TAM Projet 1'!T99+1)^(1/_NbEchAn))-1,'TAM Projet 1'!T99/_NbEchAn),A107)</f>
        <v>1.5499999999999999E-3</v>
      </c>
      <c r="B108" s="28">
        <f>IF('TAM Projet 1'!W99&gt;0,'TAM Projet 1'!W99,IF('TAM Projet 1'!V99&gt;0,IF(AND(_EchFIXE,A108&gt;0),ROUND(('TAM Projet 1'!AD99-'TAM Projet 1'!U99)*A108/(1-((1+A108)^-'TAM Projet 1'!V99)),_NbDeci),ROUND('TAM Projet 1'!AD99/'TAM Projet 1'!V99,_NbDeci)),B107))</f>
        <v>768.98</v>
      </c>
      <c r="C108" s="10"/>
      <c r="D108" s="10"/>
      <c r="E108" s="10"/>
      <c r="F108" s="10"/>
      <c r="H108" s="29">
        <f>IF('TAM Projet 1'!AJ99&gt;0,IF(_TauxActuariel1,(('TAM Projet 1'!AJ99+1)^(1/_NbechAn1))-1,'TAM Projet 1'!AJ99/_NbechAn1),H107)</f>
        <v>8.3333333333333339E-4</v>
      </c>
      <c r="I108" s="28">
        <f>IF('TAM Projet 1'!AM99&gt;0,'TAM Projet 1'!AM99,IF('TAM Projet 1'!AL99&gt;0,IF(AND(_EchFIXE1,H108&gt;0),ROUND(('TAM Projet 1'!AT99-'TAM Projet 1'!AK99)*H108/(1-((1+H108)^-'TAM Projet 1'!AL99)),_NbDeci1),ROUND('TAM Projet 1'!AT99/'TAM Projet 1'!AL99,_NbDeci1)),I107))</f>
        <v>187406.04</v>
      </c>
      <c r="J108" s="10"/>
      <c r="K108" s="10"/>
      <c r="L108" s="10"/>
      <c r="M108" s="10"/>
      <c r="O108" s="186">
        <v>106</v>
      </c>
    </row>
    <row r="109" spans="1:15" x14ac:dyDescent="0.2">
      <c r="A109" s="29">
        <f>IF('TAM Projet 1'!T100&gt;0,IF(_TauxActuariel,(('TAM Projet 1'!T100+1)^(1/_NbEchAn))-1,'TAM Projet 1'!T100/_NbEchAn),A108)</f>
        <v>1.5499999999999999E-3</v>
      </c>
      <c r="B109" s="28">
        <f>IF('TAM Projet 1'!W100&gt;0,'TAM Projet 1'!W100,IF('TAM Projet 1'!V100&gt;0,IF(AND(_EchFIXE,A109&gt;0),ROUND(('TAM Projet 1'!AD100-'TAM Projet 1'!U100)*A109/(1-((1+A109)^-'TAM Projet 1'!V100)),_NbDeci),ROUND('TAM Projet 1'!AD100/'TAM Projet 1'!V100,_NbDeci)),B108))</f>
        <v>768.98</v>
      </c>
      <c r="C109" s="10"/>
      <c r="D109" s="10"/>
      <c r="E109" s="10"/>
      <c r="F109" s="10"/>
      <c r="H109" s="29">
        <f>IF('TAM Projet 1'!AJ100&gt;0,IF(_TauxActuariel1,(('TAM Projet 1'!AJ100+1)^(1/_NbechAn1))-1,'TAM Projet 1'!AJ100/_NbechAn1),H108)</f>
        <v>8.3333333333333339E-4</v>
      </c>
      <c r="I109" s="28">
        <f>IF('TAM Projet 1'!AM100&gt;0,'TAM Projet 1'!AM100,IF('TAM Projet 1'!AL100&gt;0,IF(AND(_EchFIXE1,H109&gt;0),ROUND(('TAM Projet 1'!AT100-'TAM Projet 1'!AK100)*H109/(1-((1+H109)^-'TAM Projet 1'!AL100)),_NbDeci1),ROUND('TAM Projet 1'!AT100/'TAM Projet 1'!AL100,_NbDeci1)),I108))</f>
        <v>187406.04</v>
      </c>
      <c r="J109" s="10"/>
      <c r="K109" s="10"/>
      <c r="L109" s="10"/>
      <c r="M109" s="10"/>
      <c r="O109" s="186">
        <v>107</v>
      </c>
    </row>
    <row r="110" spans="1:15" x14ac:dyDescent="0.2">
      <c r="A110" s="29">
        <f>IF('TAM Projet 1'!T101&gt;0,IF(_TauxActuariel,(('TAM Projet 1'!T101+1)^(1/_NbEchAn))-1,'TAM Projet 1'!T101/_NbEchAn),A109)</f>
        <v>1.5499999999999999E-3</v>
      </c>
      <c r="B110" s="28">
        <f>IF('TAM Projet 1'!W101&gt;0,'TAM Projet 1'!W101,IF('TAM Projet 1'!V101&gt;0,IF(AND(_EchFIXE,A110&gt;0),ROUND(('TAM Projet 1'!AD101-'TAM Projet 1'!U101)*A110/(1-((1+A110)^-'TAM Projet 1'!V101)),_NbDeci),ROUND('TAM Projet 1'!AD101/'TAM Projet 1'!V101,_NbDeci)),B109))</f>
        <v>768.98</v>
      </c>
      <c r="C110" s="10"/>
      <c r="D110" s="10"/>
      <c r="E110" s="10"/>
      <c r="F110" s="10"/>
      <c r="H110" s="29">
        <f>IF('TAM Projet 1'!AJ101&gt;0,IF(_TauxActuariel1,(('TAM Projet 1'!AJ101+1)^(1/_NbechAn1))-1,'TAM Projet 1'!AJ101/_NbechAn1),H109)</f>
        <v>8.3333333333333339E-4</v>
      </c>
      <c r="I110" s="28">
        <f>IF('TAM Projet 1'!AM101&gt;0,'TAM Projet 1'!AM101,IF('TAM Projet 1'!AL101&gt;0,IF(AND(_EchFIXE1,H110&gt;0),ROUND(('TAM Projet 1'!AT101-'TAM Projet 1'!AK101)*H110/(1-((1+H110)^-'TAM Projet 1'!AL101)),_NbDeci1),ROUND('TAM Projet 1'!AT101/'TAM Projet 1'!AL101,_NbDeci1)),I109))</f>
        <v>187406.04</v>
      </c>
      <c r="J110" s="10"/>
      <c r="K110" s="10"/>
      <c r="L110" s="10"/>
      <c r="M110" s="10"/>
      <c r="O110" s="186">
        <v>108</v>
      </c>
    </row>
    <row r="111" spans="1:15" x14ac:dyDescent="0.2">
      <c r="A111" s="29">
        <f>IF('TAM Projet 1'!T102&gt;0,IF(_TauxActuariel,(('TAM Projet 1'!T102+1)^(1/_NbEchAn))-1,'TAM Projet 1'!T102/_NbEchAn),A110)</f>
        <v>1.5499999999999999E-3</v>
      </c>
      <c r="B111" s="28">
        <f>IF('TAM Projet 1'!W102&gt;0,'TAM Projet 1'!W102,IF('TAM Projet 1'!V102&gt;0,IF(AND(_EchFIXE,A111&gt;0),ROUND(('TAM Projet 1'!AD102-'TAM Projet 1'!U102)*A111/(1-((1+A111)^-'TAM Projet 1'!V102)),_NbDeci),ROUND('TAM Projet 1'!AD102/'TAM Projet 1'!V102,_NbDeci)),B110))</f>
        <v>768.98</v>
      </c>
      <c r="C111" s="10"/>
      <c r="D111" s="10"/>
      <c r="E111" s="10"/>
      <c r="F111" s="10"/>
      <c r="H111" s="29">
        <f>IF('TAM Projet 1'!AJ102&gt;0,IF(_TauxActuariel1,(('TAM Projet 1'!AJ102+1)^(1/_NbechAn1))-1,'TAM Projet 1'!AJ102/_NbechAn1),H110)</f>
        <v>8.3333333333333339E-4</v>
      </c>
      <c r="I111" s="28">
        <f>IF('TAM Projet 1'!AM102&gt;0,'TAM Projet 1'!AM102,IF('TAM Projet 1'!AL102&gt;0,IF(AND(_EchFIXE1,H111&gt;0),ROUND(('TAM Projet 1'!AT102-'TAM Projet 1'!AK102)*H111/(1-((1+H111)^-'TAM Projet 1'!AL102)),_NbDeci1),ROUND('TAM Projet 1'!AT102/'TAM Projet 1'!AL102,_NbDeci1)),I110))</f>
        <v>187406.04</v>
      </c>
      <c r="J111" s="10"/>
      <c r="K111" s="10"/>
      <c r="L111" s="10"/>
      <c r="M111" s="10"/>
      <c r="O111" s="186">
        <v>109</v>
      </c>
    </row>
    <row r="112" spans="1:15" x14ac:dyDescent="0.2">
      <c r="A112" s="29">
        <f>IF('TAM Projet 1'!T103&gt;0,IF(_TauxActuariel,(('TAM Projet 1'!T103+1)^(1/_NbEchAn))-1,'TAM Projet 1'!T103/_NbEchAn),A111)</f>
        <v>1.5499999999999999E-3</v>
      </c>
      <c r="B112" s="28">
        <f>IF('TAM Projet 1'!W103&gt;0,'TAM Projet 1'!W103,IF('TAM Projet 1'!V103&gt;0,IF(AND(_EchFIXE,A112&gt;0),ROUND(('TAM Projet 1'!AD103-'TAM Projet 1'!U103)*A112/(1-((1+A112)^-'TAM Projet 1'!V103)),_NbDeci),ROUND('TAM Projet 1'!AD103/'TAM Projet 1'!V103,_NbDeci)),B111))</f>
        <v>768.98</v>
      </c>
      <c r="C112" s="10"/>
      <c r="D112" s="10"/>
      <c r="E112" s="10"/>
      <c r="F112" s="10"/>
      <c r="H112" s="29">
        <f>IF('TAM Projet 1'!AJ103&gt;0,IF(_TauxActuariel1,(('TAM Projet 1'!AJ103+1)^(1/_NbechAn1))-1,'TAM Projet 1'!AJ103/_NbechAn1),H111)</f>
        <v>8.3333333333333339E-4</v>
      </c>
      <c r="I112" s="28">
        <f>IF('TAM Projet 1'!AM103&gt;0,'TAM Projet 1'!AM103,IF('TAM Projet 1'!AL103&gt;0,IF(AND(_EchFIXE1,H112&gt;0),ROUND(('TAM Projet 1'!AT103-'TAM Projet 1'!AK103)*H112/(1-((1+H112)^-'TAM Projet 1'!AL103)),_NbDeci1),ROUND('TAM Projet 1'!AT103/'TAM Projet 1'!AL103,_NbDeci1)),I111))</f>
        <v>187406.04</v>
      </c>
      <c r="J112" s="10"/>
      <c r="K112" s="10"/>
      <c r="L112" s="10"/>
      <c r="M112" s="10"/>
      <c r="O112" s="186">
        <v>110</v>
      </c>
    </row>
    <row r="113" spans="1:15" x14ac:dyDescent="0.2">
      <c r="A113" s="29">
        <f>IF('TAM Projet 1'!T104&gt;0,IF(_TauxActuariel,(('TAM Projet 1'!T104+1)^(1/_NbEchAn))-1,'TAM Projet 1'!T104/_NbEchAn),A112)</f>
        <v>1.5499999999999999E-3</v>
      </c>
      <c r="B113" s="28">
        <f>IF('TAM Projet 1'!W104&gt;0,'TAM Projet 1'!W104,IF('TAM Projet 1'!V104&gt;0,IF(AND(_EchFIXE,A113&gt;0),ROUND(('TAM Projet 1'!AD104-'TAM Projet 1'!U104)*A113/(1-((1+A113)^-'TAM Projet 1'!V104)),_NbDeci),ROUND('TAM Projet 1'!AD104/'TAM Projet 1'!V104,_NbDeci)),B112))</f>
        <v>768.98</v>
      </c>
      <c r="C113" s="10"/>
      <c r="D113" s="10"/>
      <c r="E113" s="10"/>
      <c r="F113" s="10"/>
      <c r="H113" s="29">
        <f>IF('TAM Projet 1'!AJ104&gt;0,IF(_TauxActuariel1,(('TAM Projet 1'!AJ104+1)^(1/_NbechAn1))-1,'TAM Projet 1'!AJ104/_NbechAn1),H112)</f>
        <v>8.3333333333333339E-4</v>
      </c>
      <c r="I113" s="28">
        <f>IF('TAM Projet 1'!AM104&gt;0,'TAM Projet 1'!AM104,IF('TAM Projet 1'!AL104&gt;0,IF(AND(_EchFIXE1,H113&gt;0),ROUND(('TAM Projet 1'!AT104-'TAM Projet 1'!AK104)*H113/(1-((1+H113)^-'TAM Projet 1'!AL104)),_NbDeci1),ROUND('TAM Projet 1'!AT104/'TAM Projet 1'!AL104,_NbDeci1)),I112))</f>
        <v>187406.04</v>
      </c>
      <c r="J113" s="10"/>
      <c r="K113" s="10"/>
      <c r="L113" s="10"/>
      <c r="M113" s="10"/>
      <c r="O113" s="186">
        <v>111</v>
      </c>
    </row>
    <row r="114" spans="1:15" x14ac:dyDescent="0.2">
      <c r="A114" s="29">
        <f>IF('TAM Projet 1'!T105&gt;0,IF(_TauxActuariel,(('TAM Projet 1'!T105+1)^(1/_NbEchAn))-1,'TAM Projet 1'!T105/_NbEchAn),A113)</f>
        <v>1.5499999999999999E-3</v>
      </c>
      <c r="B114" s="28">
        <f>IF('TAM Projet 1'!W105&gt;0,'TAM Projet 1'!W105,IF('TAM Projet 1'!V105&gt;0,IF(AND(_EchFIXE,A114&gt;0),ROUND(('TAM Projet 1'!AD105-'TAM Projet 1'!U105)*A114/(1-((1+A114)^-'TAM Projet 1'!V105)),_NbDeci),ROUND('TAM Projet 1'!AD105/'TAM Projet 1'!V105,_NbDeci)),B113))</f>
        <v>768.98</v>
      </c>
      <c r="C114" s="10"/>
      <c r="D114" s="10"/>
      <c r="E114" s="10"/>
      <c r="F114" s="10"/>
      <c r="H114" s="29">
        <f>IF('TAM Projet 1'!AJ105&gt;0,IF(_TauxActuariel1,(('TAM Projet 1'!AJ105+1)^(1/_NbechAn1))-1,'TAM Projet 1'!AJ105/_NbechAn1),H113)</f>
        <v>8.3333333333333339E-4</v>
      </c>
      <c r="I114" s="28">
        <f>IF('TAM Projet 1'!AM105&gt;0,'TAM Projet 1'!AM105,IF('TAM Projet 1'!AL105&gt;0,IF(AND(_EchFIXE1,H114&gt;0),ROUND(('TAM Projet 1'!AT105-'TAM Projet 1'!AK105)*H114/(1-((1+H114)^-'TAM Projet 1'!AL105)),_NbDeci1),ROUND('TAM Projet 1'!AT105/'TAM Projet 1'!AL105,_NbDeci1)),I113))</f>
        <v>187406.04</v>
      </c>
      <c r="J114" s="10"/>
      <c r="K114" s="10"/>
      <c r="L114" s="10"/>
      <c r="M114" s="10"/>
      <c r="O114" s="186">
        <v>112</v>
      </c>
    </row>
    <row r="115" spans="1:15" x14ac:dyDescent="0.2">
      <c r="A115" s="29">
        <f>IF('TAM Projet 1'!T106&gt;0,IF(_TauxActuariel,(('TAM Projet 1'!T106+1)^(1/_NbEchAn))-1,'TAM Projet 1'!T106/_NbEchAn),A114)</f>
        <v>1.5499999999999999E-3</v>
      </c>
      <c r="B115" s="28">
        <f>IF('TAM Projet 1'!W106&gt;0,'TAM Projet 1'!W106,IF('TAM Projet 1'!V106&gt;0,IF(AND(_EchFIXE,A115&gt;0),ROUND(('TAM Projet 1'!AD106-'TAM Projet 1'!U106)*A115/(1-((1+A115)^-'TAM Projet 1'!V106)),_NbDeci),ROUND('TAM Projet 1'!AD106/'TAM Projet 1'!V106,_NbDeci)),B114))</f>
        <v>768.98</v>
      </c>
      <c r="C115" s="10"/>
      <c r="D115" s="10"/>
      <c r="E115" s="10"/>
      <c r="F115" s="10"/>
      <c r="H115" s="29">
        <f>IF('TAM Projet 1'!AJ106&gt;0,IF(_TauxActuariel1,(('TAM Projet 1'!AJ106+1)^(1/_NbechAn1))-1,'TAM Projet 1'!AJ106/_NbechAn1),H114)</f>
        <v>8.3333333333333339E-4</v>
      </c>
      <c r="I115" s="28">
        <f>IF('TAM Projet 1'!AM106&gt;0,'TAM Projet 1'!AM106,IF('TAM Projet 1'!AL106&gt;0,IF(AND(_EchFIXE1,H115&gt;0),ROUND(('TAM Projet 1'!AT106-'TAM Projet 1'!AK106)*H115/(1-((1+H115)^-'TAM Projet 1'!AL106)),_NbDeci1),ROUND('TAM Projet 1'!AT106/'TAM Projet 1'!AL106,_NbDeci1)),I114))</f>
        <v>187406.04</v>
      </c>
      <c r="J115" s="10"/>
      <c r="K115" s="10"/>
      <c r="L115" s="10"/>
      <c r="M115" s="10"/>
      <c r="O115" s="186">
        <v>113</v>
      </c>
    </row>
    <row r="116" spans="1:15" x14ac:dyDescent="0.2">
      <c r="A116" s="29">
        <f>IF('TAM Projet 1'!T107&gt;0,IF(_TauxActuariel,(('TAM Projet 1'!T107+1)^(1/_NbEchAn))-1,'TAM Projet 1'!T107/_NbEchAn),A115)</f>
        <v>1.5499999999999999E-3</v>
      </c>
      <c r="B116" s="28">
        <f>IF('TAM Projet 1'!W107&gt;0,'TAM Projet 1'!W107,IF('TAM Projet 1'!V107&gt;0,IF(AND(_EchFIXE,A116&gt;0),ROUND(('TAM Projet 1'!AD107-'TAM Projet 1'!U107)*A116/(1-((1+A116)^-'TAM Projet 1'!V107)),_NbDeci),ROUND('TAM Projet 1'!AD107/'TAM Projet 1'!V107,_NbDeci)),B115))</f>
        <v>768.98</v>
      </c>
      <c r="C116" s="10"/>
      <c r="D116" s="10"/>
      <c r="E116" s="10"/>
      <c r="F116" s="10"/>
      <c r="H116" s="29">
        <f>IF('TAM Projet 1'!AJ107&gt;0,IF(_TauxActuariel1,(('TAM Projet 1'!AJ107+1)^(1/_NbechAn1))-1,'TAM Projet 1'!AJ107/_NbechAn1),H115)</f>
        <v>8.3333333333333339E-4</v>
      </c>
      <c r="I116" s="28">
        <f>IF('TAM Projet 1'!AM107&gt;0,'TAM Projet 1'!AM107,IF('TAM Projet 1'!AL107&gt;0,IF(AND(_EchFIXE1,H116&gt;0),ROUND(('TAM Projet 1'!AT107-'TAM Projet 1'!AK107)*H116/(1-((1+H116)^-'TAM Projet 1'!AL107)),_NbDeci1),ROUND('TAM Projet 1'!AT107/'TAM Projet 1'!AL107,_NbDeci1)),I115))</f>
        <v>187406.04</v>
      </c>
      <c r="J116" s="10"/>
      <c r="K116" s="10"/>
      <c r="L116" s="10"/>
      <c r="M116" s="10"/>
      <c r="O116" s="186">
        <v>114</v>
      </c>
    </row>
    <row r="117" spans="1:15" x14ac:dyDescent="0.2">
      <c r="A117" s="29">
        <f>IF('TAM Projet 1'!T108&gt;0,IF(_TauxActuariel,(('TAM Projet 1'!T108+1)^(1/_NbEchAn))-1,'TAM Projet 1'!T108/_NbEchAn),A116)</f>
        <v>1.5499999999999999E-3</v>
      </c>
      <c r="B117" s="28">
        <f>IF('TAM Projet 1'!W108&gt;0,'TAM Projet 1'!W108,IF('TAM Projet 1'!V108&gt;0,IF(AND(_EchFIXE,A117&gt;0),ROUND(('TAM Projet 1'!AD108-'TAM Projet 1'!U108)*A117/(1-((1+A117)^-'TAM Projet 1'!V108)),_NbDeci),ROUND('TAM Projet 1'!AD108/'TAM Projet 1'!V108,_NbDeci)),B116))</f>
        <v>768.98</v>
      </c>
      <c r="C117" s="10"/>
      <c r="D117" s="10"/>
      <c r="E117" s="10"/>
      <c r="F117" s="10"/>
      <c r="H117" s="29">
        <f>IF('TAM Projet 1'!AJ108&gt;0,IF(_TauxActuariel1,(('TAM Projet 1'!AJ108+1)^(1/_NbechAn1))-1,'TAM Projet 1'!AJ108/_NbechAn1),H116)</f>
        <v>8.3333333333333339E-4</v>
      </c>
      <c r="I117" s="28">
        <f>IF('TAM Projet 1'!AM108&gt;0,'TAM Projet 1'!AM108,IF('TAM Projet 1'!AL108&gt;0,IF(AND(_EchFIXE1,H117&gt;0),ROUND(('TAM Projet 1'!AT108-'TAM Projet 1'!AK108)*H117/(1-((1+H117)^-'TAM Projet 1'!AL108)),_NbDeci1),ROUND('TAM Projet 1'!AT108/'TAM Projet 1'!AL108,_NbDeci1)),I116))</f>
        <v>187406.04</v>
      </c>
      <c r="J117" s="10"/>
      <c r="K117" s="10"/>
      <c r="L117" s="10"/>
      <c r="M117" s="10"/>
      <c r="O117" s="186">
        <v>115</v>
      </c>
    </row>
    <row r="118" spans="1:15" x14ac:dyDescent="0.2">
      <c r="A118" s="29">
        <f>IF('TAM Projet 1'!T109&gt;0,IF(_TauxActuariel,(('TAM Projet 1'!T109+1)^(1/_NbEchAn))-1,'TAM Projet 1'!T109/_NbEchAn),A117)</f>
        <v>1.5499999999999999E-3</v>
      </c>
      <c r="B118" s="28">
        <f>IF('TAM Projet 1'!W109&gt;0,'TAM Projet 1'!W109,IF('TAM Projet 1'!V109&gt;0,IF(AND(_EchFIXE,A118&gt;0),ROUND(('TAM Projet 1'!AD109-'TAM Projet 1'!U109)*A118/(1-((1+A118)^-'TAM Projet 1'!V109)),_NbDeci),ROUND('TAM Projet 1'!AD109/'TAM Projet 1'!V109,_NbDeci)),B117))</f>
        <v>768.98</v>
      </c>
      <c r="C118" s="10"/>
      <c r="D118" s="10"/>
      <c r="E118" s="10"/>
      <c r="F118" s="10"/>
      <c r="H118" s="29">
        <f>IF('TAM Projet 1'!AJ109&gt;0,IF(_TauxActuariel1,(('TAM Projet 1'!AJ109+1)^(1/_NbechAn1))-1,'TAM Projet 1'!AJ109/_NbechAn1),H117)</f>
        <v>8.3333333333333339E-4</v>
      </c>
      <c r="I118" s="28">
        <f>IF('TAM Projet 1'!AM109&gt;0,'TAM Projet 1'!AM109,IF('TAM Projet 1'!AL109&gt;0,IF(AND(_EchFIXE1,H118&gt;0),ROUND(('TAM Projet 1'!AT109-'TAM Projet 1'!AK109)*H118/(1-((1+H118)^-'TAM Projet 1'!AL109)),_NbDeci1),ROUND('TAM Projet 1'!AT109/'TAM Projet 1'!AL109,_NbDeci1)),I117))</f>
        <v>187406.04</v>
      </c>
      <c r="J118" s="10"/>
      <c r="K118" s="10"/>
      <c r="L118" s="10"/>
      <c r="M118" s="10"/>
      <c r="O118" s="186">
        <v>116</v>
      </c>
    </row>
    <row r="119" spans="1:15" x14ac:dyDescent="0.2">
      <c r="A119" s="29">
        <f>IF('TAM Projet 1'!T110&gt;0,IF(_TauxActuariel,(('TAM Projet 1'!T110+1)^(1/_NbEchAn))-1,'TAM Projet 1'!T110/_NbEchAn),A118)</f>
        <v>1.5499999999999999E-3</v>
      </c>
      <c r="B119" s="28">
        <f>IF('TAM Projet 1'!W110&gt;0,'TAM Projet 1'!W110,IF('TAM Projet 1'!V110&gt;0,IF(AND(_EchFIXE,A119&gt;0),ROUND(('TAM Projet 1'!AD110-'TAM Projet 1'!U110)*A119/(1-((1+A119)^-'TAM Projet 1'!V110)),_NbDeci),ROUND('TAM Projet 1'!AD110/'TAM Projet 1'!V110,_NbDeci)),B118))</f>
        <v>768.98</v>
      </c>
      <c r="C119" s="10"/>
      <c r="D119" s="10"/>
      <c r="E119" s="10"/>
      <c r="F119" s="10"/>
      <c r="H119" s="29">
        <f>IF('TAM Projet 1'!AJ110&gt;0,IF(_TauxActuariel1,(('TAM Projet 1'!AJ110+1)^(1/_NbechAn1))-1,'TAM Projet 1'!AJ110/_NbechAn1),H118)</f>
        <v>8.3333333333333339E-4</v>
      </c>
      <c r="I119" s="28">
        <f>IF('TAM Projet 1'!AM110&gt;0,'TAM Projet 1'!AM110,IF('TAM Projet 1'!AL110&gt;0,IF(AND(_EchFIXE1,H119&gt;0),ROUND(('TAM Projet 1'!AT110-'TAM Projet 1'!AK110)*H119/(1-((1+H119)^-'TAM Projet 1'!AL110)),_NbDeci1),ROUND('TAM Projet 1'!AT110/'TAM Projet 1'!AL110,_NbDeci1)),I118))</f>
        <v>187406.04</v>
      </c>
      <c r="J119" s="10"/>
      <c r="K119" s="10"/>
      <c r="L119" s="10"/>
      <c r="M119" s="10"/>
      <c r="O119" s="186">
        <v>117</v>
      </c>
    </row>
    <row r="120" spans="1:15" x14ac:dyDescent="0.2">
      <c r="A120" s="29">
        <f>IF('TAM Projet 1'!T111&gt;0,IF(_TauxActuariel,(('TAM Projet 1'!T111+1)^(1/_NbEchAn))-1,'TAM Projet 1'!T111/_NbEchAn),A119)</f>
        <v>1.5499999999999999E-3</v>
      </c>
      <c r="B120" s="28">
        <f>IF('TAM Projet 1'!W111&gt;0,'TAM Projet 1'!W111,IF('TAM Projet 1'!V111&gt;0,IF(AND(_EchFIXE,A120&gt;0),ROUND(('TAM Projet 1'!AD111-'TAM Projet 1'!U111)*A120/(1-((1+A120)^-'TAM Projet 1'!V111)),_NbDeci),ROUND('TAM Projet 1'!AD111/'TAM Projet 1'!V111,_NbDeci)),B119))</f>
        <v>768.98</v>
      </c>
      <c r="C120" s="10"/>
      <c r="D120" s="10"/>
      <c r="E120" s="10"/>
      <c r="F120" s="10"/>
      <c r="H120" s="29">
        <f>IF('TAM Projet 1'!AJ111&gt;0,IF(_TauxActuariel1,(('TAM Projet 1'!AJ111+1)^(1/_NbechAn1))-1,'TAM Projet 1'!AJ111/_NbechAn1),H119)</f>
        <v>8.3333333333333339E-4</v>
      </c>
      <c r="I120" s="28">
        <f>IF('TAM Projet 1'!AM111&gt;0,'TAM Projet 1'!AM111,IF('TAM Projet 1'!AL111&gt;0,IF(AND(_EchFIXE1,H120&gt;0),ROUND(('TAM Projet 1'!AT111-'TAM Projet 1'!AK111)*H120/(1-((1+H120)^-'TAM Projet 1'!AL111)),_NbDeci1),ROUND('TAM Projet 1'!AT111/'TAM Projet 1'!AL111,_NbDeci1)),I119))</f>
        <v>187406.04</v>
      </c>
      <c r="J120" s="10"/>
      <c r="K120" s="10"/>
      <c r="L120" s="10"/>
      <c r="M120" s="10"/>
      <c r="O120" s="186">
        <v>118</v>
      </c>
    </row>
    <row r="121" spans="1:15" x14ac:dyDescent="0.2">
      <c r="A121" s="29">
        <f>IF('TAM Projet 1'!T112&gt;0,IF(_TauxActuariel,(('TAM Projet 1'!T112+1)^(1/_NbEchAn))-1,'TAM Projet 1'!T112/_NbEchAn),A120)</f>
        <v>1.5499999999999999E-3</v>
      </c>
      <c r="B121" s="28">
        <f>IF('TAM Projet 1'!W112&gt;0,'TAM Projet 1'!W112,IF('TAM Projet 1'!V112&gt;0,IF(AND(_EchFIXE,A121&gt;0),ROUND(('TAM Projet 1'!AD112-'TAM Projet 1'!U112)*A121/(1-((1+A121)^-'TAM Projet 1'!V112)),_NbDeci),ROUND('TAM Projet 1'!AD112/'TAM Projet 1'!V112,_NbDeci)),B120))</f>
        <v>768.98</v>
      </c>
      <c r="C121" s="10"/>
      <c r="D121" s="10"/>
      <c r="E121" s="10"/>
      <c r="F121" s="10"/>
      <c r="H121" s="29">
        <f>IF('TAM Projet 1'!AJ112&gt;0,IF(_TauxActuariel1,(('TAM Projet 1'!AJ112+1)^(1/_NbechAn1))-1,'TAM Projet 1'!AJ112/_NbechAn1),H120)</f>
        <v>8.3333333333333339E-4</v>
      </c>
      <c r="I121" s="28">
        <f>IF('TAM Projet 1'!AM112&gt;0,'TAM Projet 1'!AM112,IF('TAM Projet 1'!AL112&gt;0,IF(AND(_EchFIXE1,H121&gt;0),ROUND(('TAM Projet 1'!AT112-'TAM Projet 1'!AK112)*H121/(1-((1+H121)^-'TAM Projet 1'!AL112)),_NbDeci1),ROUND('TAM Projet 1'!AT112/'TAM Projet 1'!AL112,_NbDeci1)),I120))</f>
        <v>187406.04</v>
      </c>
      <c r="J121" s="10"/>
      <c r="K121" s="10"/>
      <c r="L121" s="10"/>
      <c r="M121" s="10"/>
      <c r="O121" s="186">
        <v>119</v>
      </c>
    </row>
    <row r="122" spans="1:15" x14ac:dyDescent="0.2">
      <c r="A122" s="29">
        <f>IF('TAM Projet 1'!T113&gt;0,IF(_TauxActuariel,(('TAM Projet 1'!T113+1)^(1/_NbEchAn))-1,'TAM Projet 1'!T113/_NbEchAn),A121)</f>
        <v>1.5499999999999999E-3</v>
      </c>
      <c r="B122" s="28">
        <f>IF('TAM Projet 1'!W113&gt;0,'TAM Projet 1'!W113,IF('TAM Projet 1'!V113&gt;0,IF(AND(_EchFIXE,A122&gt;0),ROUND(('TAM Projet 1'!AD113-'TAM Projet 1'!U113)*A122/(1-((1+A122)^-'TAM Projet 1'!V113)),_NbDeci),ROUND('TAM Projet 1'!AD113/'TAM Projet 1'!V113,_NbDeci)),B121))</f>
        <v>768.98</v>
      </c>
      <c r="C122" s="10"/>
      <c r="D122" s="10"/>
      <c r="E122" s="10"/>
      <c r="F122" s="10"/>
      <c r="H122" s="29">
        <f>IF('TAM Projet 1'!AJ113&gt;0,IF(_TauxActuariel1,(('TAM Projet 1'!AJ113+1)^(1/_NbechAn1))-1,'TAM Projet 1'!AJ113/_NbechAn1),H121)</f>
        <v>8.3333333333333339E-4</v>
      </c>
      <c r="I122" s="28">
        <f>IF('TAM Projet 1'!AM113&gt;0,'TAM Projet 1'!AM113,IF('TAM Projet 1'!AL113&gt;0,IF(AND(_EchFIXE1,H122&gt;0),ROUND(('TAM Projet 1'!AT113-'TAM Projet 1'!AK113)*H122/(1-((1+H122)^-'TAM Projet 1'!AL113)),_NbDeci1),ROUND('TAM Projet 1'!AT113/'TAM Projet 1'!AL113,_NbDeci1)),I121))</f>
        <v>187406.04</v>
      </c>
      <c r="J122" s="10"/>
      <c r="K122" s="10"/>
      <c r="L122" s="10"/>
      <c r="M122" s="10"/>
      <c r="O122" s="186">
        <v>120</v>
      </c>
    </row>
    <row r="123" spans="1:15" x14ac:dyDescent="0.2">
      <c r="A123" s="29">
        <f>IF('TAM Projet 1'!T114&gt;0,IF(_TauxActuariel,(('TAM Projet 1'!T114+1)^(1/_NbEchAn))-1,'TAM Projet 1'!T114/_NbEchAn),A122)</f>
        <v>1.5499999999999999E-3</v>
      </c>
      <c r="B123" s="28">
        <f>IF('TAM Projet 1'!W114&gt;0,'TAM Projet 1'!W114,IF('TAM Projet 1'!V114&gt;0,IF(AND(_EchFIXE,A123&gt;0),ROUND(('TAM Projet 1'!AD114-'TAM Projet 1'!U114)*A123/(1-((1+A123)^-'TAM Projet 1'!V114)),_NbDeci),ROUND('TAM Projet 1'!AD114/'TAM Projet 1'!V114,_NbDeci)),B122))</f>
        <v>768.98</v>
      </c>
      <c r="C123" s="10"/>
      <c r="D123" s="10"/>
      <c r="E123" s="10"/>
      <c r="F123" s="10"/>
      <c r="H123" s="29">
        <f>IF('TAM Projet 1'!AJ114&gt;0,IF(_TauxActuariel1,(('TAM Projet 1'!AJ114+1)^(1/_NbechAn1))-1,'TAM Projet 1'!AJ114/_NbechAn1),H122)</f>
        <v>8.3333333333333339E-4</v>
      </c>
      <c r="I123" s="28">
        <f>IF('TAM Projet 1'!AM114&gt;0,'TAM Projet 1'!AM114,IF('TAM Projet 1'!AL114&gt;0,IF(AND(_EchFIXE1,H123&gt;0),ROUND(('TAM Projet 1'!AT114-'TAM Projet 1'!AK114)*H123/(1-((1+H123)^-'TAM Projet 1'!AL114)),_NbDeci1),ROUND('TAM Projet 1'!AT114/'TAM Projet 1'!AL114,_NbDeci1)),I122))</f>
        <v>187406.04</v>
      </c>
      <c r="J123" s="10"/>
      <c r="K123" s="10"/>
      <c r="L123" s="10"/>
      <c r="M123" s="10"/>
      <c r="O123" s="186">
        <v>121</v>
      </c>
    </row>
    <row r="124" spans="1:15" x14ac:dyDescent="0.2">
      <c r="A124" s="29">
        <f>IF('TAM Projet 1'!T115&gt;0,IF(_TauxActuariel,(('TAM Projet 1'!T115+1)^(1/_NbEchAn))-1,'TAM Projet 1'!T115/_NbEchAn),A123)</f>
        <v>1.5499999999999999E-3</v>
      </c>
      <c r="B124" s="28">
        <f>IF('TAM Projet 1'!W115&gt;0,'TAM Projet 1'!W115,IF('TAM Projet 1'!V115&gt;0,IF(AND(_EchFIXE,A124&gt;0),ROUND(('TAM Projet 1'!AD115-'TAM Projet 1'!U115)*A124/(1-((1+A124)^-'TAM Projet 1'!V115)),_NbDeci),ROUND('TAM Projet 1'!AD115/'TAM Projet 1'!V115,_NbDeci)),B123))</f>
        <v>768.98</v>
      </c>
      <c r="C124" s="10"/>
      <c r="D124" s="10"/>
      <c r="E124" s="10"/>
      <c r="F124" s="10"/>
      <c r="H124" s="29">
        <f>IF('TAM Projet 1'!AJ115&gt;0,IF(_TauxActuariel1,(('TAM Projet 1'!AJ115+1)^(1/_NbechAn1))-1,'TAM Projet 1'!AJ115/_NbechAn1),H123)</f>
        <v>8.3333333333333339E-4</v>
      </c>
      <c r="I124" s="28">
        <f>IF('TAM Projet 1'!AM115&gt;0,'TAM Projet 1'!AM115,IF('TAM Projet 1'!AL115&gt;0,IF(AND(_EchFIXE1,H124&gt;0),ROUND(('TAM Projet 1'!AT115-'TAM Projet 1'!AK115)*H124/(1-((1+H124)^-'TAM Projet 1'!AL115)),_NbDeci1),ROUND('TAM Projet 1'!AT115/'TAM Projet 1'!AL115,_NbDeci1)),I123))</f>
        <v>187406.04</v>
      </c>
      <c r="J124" s="10"/>
      <c r="K124" s="10"/>
      <c r="L124" s="10"/>
      <c r="M124" s="10"/>
      <c r="O124" s="186">
        <v>122</v>
      </c>
    </row>
    <row r="125" spans="1:15" x14ac:dyDescent="0.2">
      <c r="A125" s="29">
        <f>IF('TAM Projet 1'!T116&gt;0,IF(_TauxActuariel,(('TAM Projet 1'!T116+1)^(1/_NbEchAn))-1,'TAM Projet 1'!T116/_NbEchAn),A124)</f>
        <v>1.5499999999999999E-3</v>
      </c>
      <c r="B125" s="28">
        <f>IF('TAM Projet 1'!W116&gt;0,'TAM Projet 1'!W116,IF('TAM Projet 1'!V116&gt;0,IF(AND(_EchFIXE,A125&gt;0),ROUND(('TAM Projet 1'!AD116-'TAM Projet 1'!U116)*A125/(1-((1+A125)^-'TAM Projet 1'!V116)),_NbDeci),ROUND('TAM Projet 1'!AD116/'TAM Projet 1'!V116,_NbDeci)),B124))</f>
        <v>768.98</v>
      </c>
      <c r="C125" s="10"/>
      <c r="D125" s="10"/>
      <c r="E125" s="10"/>
      <c r="F125" s="10"/>
      <c r="H125" s="29">
        <f>IF('TAM Projet 1'!AJ116&gt;0,IF(_TauxActuariel1,(('TAM Projet 1'!AJ116+1)^(1/_NbechAn1))-1,'TAM Projet 1'!AJ116/_NbechAn1),H124)</f>
        <v>8.3333333333333339E-4</v>
      </c>
      <c r="I125" s="28">
        <f>IF('TAM Projet 1'!AM116&gt;0,'TAM Projet 1'!AM116,IF('TAM Projet 1'!AL116&gt;0,IF(AND(_EchFIXE1,H125&gt;0),ROUND(('TAM Projet 1'!AT116-'TAM Projet 1'!AK116)*H125/(1-((1+H125)^-'TAM Projet 1'!AL116)),_NbDeci1),ROUND('TAM Projet 1'!AT116/'TAM Projet 1'!AL116,_NbDeci1)),I124))</f>
        <v>187406.04</v>
      </c>
      <c r="J125" s="10"/>
      <c r="K125" s="10"/>
      <c r="L125" s="10"/>
      <c r="M125" s="10"/>
      <c r="O125" s="186">
        <v>123</v>
      </c>
    </row>
    <row r="126" spans="1:15" x14ac:dyDescent="0.2">
      <c r="A126" s="29">
        <f>IF('TAM Projet 1'!T117&gt;0,IF(_TauxActuariel,(('TAM Projet 1'!T117+1)^(1/_NbEchAn))-1,'TAM Projet 1'!T117/_NbEchAn),A125)</f>
        <v>1.5499999999999999E-3</v>
      </c>
      <c r="B126" s="28">
        <f>IF('TAM Projet 1'!W117&gt;0,'TAM Projet 1'!W117,IF('TAM Projet 1'!V117&gt;0,IF(AND(_EchFIXE,A126&gt;0),ROUND(('TAM Projet 1'!AD117-'TAM Projet 1'!U117)*A126/(1-((1+A126)^-'TAM Projet 1'!V117)),_NbDeci),ROUND('TAM Projet 1'!AD117/'TAM Projet 1'!V117,_NbDeci)),B125))</f>
        <v>768.98</v>
      </c>
      <c r="C126" s="10"/>
      <c r="D126" s="10"/>
      <c r="E126" s="10"/>
      <c r="F126" s="10"/>
      <c r="H126" s="29">
        <f>IF('TAM Projet 1'!AJ117&gt;0,IF(_TauxActuariel1,(('TAM Projet 1'!AJ117+1)^(1/_NbechAn1))-1,'TAM Projet 1'!AJ117/_NbechAn1),H125)</f>
        <v>8.3333333333333339E-4</v>
      </c>
      <c r="I126" s="28">
        <f>IF('TAM Projet 1'!AM117&gt;0,'TAM Projet 1'!AM117,IF('TAM Projet 1'!AL117&gt;0,IF(AND(_EchFIXE1,H126&gt;0),ROUND(('TAM Projet 1'!AT117-'TAM Projet 1'!AK117)*H126/(1-((1+H126)^-'TAM Projet 1'!AL117)),_NbDeci1),ROUND('TAM Projet 1'!AT117/'TAM Projet 1'!AL117,_NbDeci1)),I125))</f>
        <v>187406.04</v>
      </c>
      <c r="J126" s="10"/>
      <c r="K126" s="10"/>
      <c r="L126" s="10"/>
      <c r="M126" s="10"/>
      <c r="O126" s="186">
        <v>124</v>
      </c>
    </row>
    <row r="127" spans="1:15" x14ac:dyDescent="0.2">
      <c r="A127" s="29">
        <f>IF('TAM Projet 1'!T118&gt;0,IF(_TauxActuariel,(('TAM Projet 1'!T118+1)^(1/_NbEchAn))-1,'TAM Projet 1'!T118/_NbEchAn),A126)</f>
        <v>1.5499999999999999E-3</v>
      </c>
      <c r="B127" s="28">
        <f>IF('TAM Projet 1'!W118&gt;0,'TAM Projet 1'!W118,IF('TAM Projet 1'!V118&gt;0,IF(AND(_EchFIXE,A127&gt;0),ROUND(('TAM Projet 1'!AD118-'TAM Projet 1'!U118)*A127/(1-((1+A127)^-'TAM Projet 1'!V118)),_NbDeci),ROUND('TAM Projet 1'!AD118/'TAM Projet 1'!V118,_NbDeci)),B126))</f>
        <v>768.98</v>
      </c>
      <c r="C127" s="10"/>
      <c r="D127" s="10"/>
      <c r="E127" s="10"/>
      <c r="F127" s="10"/>
      <c r="H127" s="29">
        <f>IF('TAM Projet 1'!AJ118&gt;0,IF(_TauxActuariel1,(('TAM Projet 1'!AJ118+1)^(1/_NbechAn1))-1,'TAM Projet 1'!AJ118/_NbechAn1),H126)</f>
        <v>8.3333333333333339E-4</v>
      </c>
      <c r="I127" s="28">
        <f>IF('TAM Projet 1'!AM118&gt;0,'TAM Projet 1'!AM118,IF('TAM Projet 1'!AL118&gt;0,IF(AND(_EchFIXE1,H127&gt;0),ROUND(('TAM Projet 1'!AT118-'TAM Projet 1'!AK118)*H127/(1-((1+H127)^-'TAM Projet 1'!AL118)),_NbDeci1),ROUND('TAM Projet 1'!AT118/'TAM Projet 1'!AL118,_NbDeci1)),I126))</f>
        <v>187406.04</v>
      </c>
      <c r="J127" s="10"/>
      <c r="K127" s="10"/>
      <c r="L127" s="10"/>
      <c r="M127" s="10"/>
      <c r="O127" s="186">
        <v>125</v>
      </c>
    </row>
    <row r="128" spans="1:15" x14ac:dyDescent="0.2">
      <c r="A128" s="29">
        <f>IF('TAM Projet 1'!T119&gt;0,IF(_TauxActuariel,(('TAM Projet 1'!T119+1)^(1/_NbEchAn))-1,'TAM Projet 1'!T119/_NbEchAn),A127)</f>
        <v>1.5499999999999999E-3</v>
      </c>
      <c r="B128" s="28">
        <f>IF('TAM Projet 1'!W119&gt;0,'TAM Projet 1'!W119,IF('TAM Projet 1'!V119&gt;0,IF(AND(_EchFIXE,A128&gt;0),ROUND(('TAM Projet 1'!AD119-'TAM Projet 1'!U119)*A128/(1-((1+A128)^-'TAM Projet 1'!V119)),_NbDeci),ROUND('TAM Projet 1'!AD119/'TAM Projet 1'!V119,_NbDeci)),B127))</f>
        <v>768.98</v>
      </c>
      <c r="C128" s="10"/>
      <c r="D128" s="10"/>
      <c r="E128" s="10"/>
      <c r="F128" s="10"/>
      <c r="H128" s="29">
        <f>IF('TAM Projet 1'!AJ119&gt;0,IF(_TauxActuariel1,(('TAM Projet 1'!AJ119+1)^(1/_NbechAn1))-1,'TAM Projet 1'!AJ119/_NbechAn1),H127)</f>
        <v>8.3333333333333339E-4</v>
      </c>
      <c r="I128" s="28">
        <f>IF('TAM Projet 1'!AM119&gt;0,'TAM Projet 1'!AM119,IF('TAM Projet 1'!AL119&gt;0,IF(AND(_EchFIXE1,H128&gt;0),ROUND(('TAM Projet 1'!AT119-'TAM Projet 1'!AK119)*H128/(1-((1+H128)^-'TAM Projet 1'!AL119)),_NbDeci1),ROUND('TAM Projet 1'!AT119/'TAM Projet 1'!AL119,_NbDeci1)),I127))</f>
        <v>187406.04</v>
      </c>
      <c r="J128" s="10"/>
      <c r="K128" s="10"/>
      <c r="L128" s="10"/>
      <c r="M128" s="10"/>
      <c r="O128" s="186">
        <v>126</v>
      </c>
    </row>
    <row r="129" spans="1:15" x14ac:dyDescent="0.2">
      <c r="A129" s="29">
        <f>IF('TAM Projet 1'!T120&gt;0,IF(_TauxActuariel,(('TAM Projet 1'!T120+1)^(1/_NbEchAn))-1,'TAM Projet 1'!T120/_NbEchAn),A128)</f>
        <v>1.5499999999999999E-3</v>
      </c>
      <c r="B129" s="28">
        <f>IF('TAM Projet 1'!W120&gt;0,'TAM Projet 1'!W120,IF('TAM Projet 1'!V120&gt;0,IF(AND(_EchFIXE,A129&gt;0),ROUND(('TAM Projet 1'!AD120-'TAM Projet 1'!U120)*A129/(1-((1+A129)^-'TAM Projet 1'!V120)),_NbDeci),ROUND('TAM Projet 1'!AD120/'TAM Projet 1'!V120,_NbDeci)),B128))</f>
        <v>768.98</v>
      </c>
      <c r="C129" s="10"/>
      <c r="D129" s="10"/>
      <c r="E129" s="10"/>
      <c r="F129" s="10"/>
      <c r="H129" s="29">
        <f>IF('TAM Projet 1'!AJ120&gt;0,IF(_TauxActuariel1,(('TAM Projet 1'!AJ120+1)^(1/_NbechAn1))-1,'TAM Projet 1'!AJ120/_NbechAn1),H128)</f>
        <v>8.3333333333333339E-4</v>
      </c>
      <c r="I129" s="28">
        <f>IF('TAM Projet 1'!AM120&gt;0,'TAM Projet 1'!AM120,IF('TAM Projet 1'!AL120&gt;0,IF(AND(_EchFIXE1,H129&gt;0),ROUND(('TAM Projet 1'!AT120-'TAM Projet 1'!AK120)*H129/(1-((1+H129)^-'TAM Projet 1'!AL120)),_NbDeci1),ROUND('TAM Projet 1'!AT120/'TAM Projet 1'!AL120,_NbDeci1)),I128))</f>
        <v>187406.04</v>
      </c>
      <c r="J129" s="10"/>
      <c r="K129" s="10"/>
      <c r="L129" s="10"/>
      <c r="M129" s="10"/>
      <c r="O129" s="186">
        <v>127</v>
      </c>
    </row>
    <row r="130" spans="1:15" x14ac:dyDescent="0.2">
      <c r="A130" s="29">
        <f>IF('TAM Projet 1'!T121&gt;0,IF(_TauxActuariel,(('TAM Projet 1'!T121+1)^(1/_NbEchAn))-1,'TAM Projet 1'!T121/_NbEchAn),A129)</f>
        <v>1.5499999999999999E-3</v>
      </c>
      <c r="B130" s="28">
        <f>IF('TAM Projet 1'!W121&gt;0,'TAM Projet 1'!W121,IF('TAM Projet 1'!V121&gt;0,IF(AND(_EchFIXE,A130&gt;0),ROUND(('TAM Projet 1'!AD121-'TAM Projet 1'!U121)*A130/(1-((1+A130)^-'TAM Projet 1'!V121)),_NbDeci),ROUND('TAM Projet 1'!AD121/'TAM Projet 1'!V121,_NbDeci)),B129))</f>
        <v>768.98</v>
      </c>
      <c r="C130" s="10"/>
      <c r="D130" s="10"/>
      <c r="E130" s="10"/>
      <c r="F130" s="10"/>
      <c r="H130" s="29">
        <f>IF('TAM Projet 1'!AJ121&gt;0,IF(_TauxActuariel1,(('TAM Projet 1'!AJ121+1)^(1/_NbechAn1))-1,'TAM Projet 1'!AJ121/_NbechAn1),H129)</f>
        <v>8.3333333333333339E-4</v>
      </c>
      <c r="I130" s="28">
        <f>IF('TAM Projet 1'!AM121&gt;0,'TAM Projet 1'!AM121,IF('TAM Projet 1'!AL121&gt;0,IF(AND(_EchFIXE1,H130&gt;0),ROUND(('TAM Projet 1'!AT121-'TAM Projet 1'!AK121)*H130/(1-((1+H130)^-'TAM Projet 1'!AL121)),_NbDeci1),ROUND('TAM Projet 1'!AT121/'TAM Projet 1'!AL121,_NbDeci1)),I129))</f>
        <v>187406.04</v>
      </c>
      <c r="J130" s="10"/>
      <c r="K130" s="10"/>
      <c r="L130" s="10"/>
      <c r="M130" s="10"/>
      <c r="O130" s="186">
        <v>128</v>
      </c>
    </row>
    <row r="131" spans="1:15" x14ac:dyDescent="0.2">
      <c r="A131" s="29">
        <f>IF('TAM Projet 1'!T122&gt;0,IF(_TauxActuariel,(('TAM Projet 1'!T122+1)^(1/_NbEchAn))-1,'TAM Projet 1'!T122/_NbEchAn),A130)</f>
        <v>1.5499999999999999E-3</v>
      </c>
      <c r="B131" s="28">
        <f>IF('TAM Projet 1'!W122&gt;0,'TAM Projet 1'!W122,IF('TAM Projet 1'!V122&gt;0,IF(AND(_EchFIXE,A131&gt;0),ROUND(('TAM Projet 1'!AD122-'TAM Projet 1'!U122)*A131/(1-((1+A131)^-'TAM Projet 1'!V122)),_NbDeci),ROUND('TAM Projet 1'!AD122/'TAM Projet 1'!V122,_NbDeci)),B130))</f>
        <v>768.98</v>
      </c>
      <c r="C131" s="10"/>
      <c r="D131" s="10"/>
      <c r="E131" s="10"/>
      <c r="F131" s="10"/>
      <c r="H131" s="29">
        <f>IF('TAM Projet 1'!AJ122&gt;0,IF(_TauxActuariel1,(('TAM Projet 1'!AJ122+1)^(1/_NbechAn1))-1,'TAM Projet 1'!AJ122/_NbechAn1),H130)</f>
        <v>8.3333333333333339E-4</v>
      </c>
      <c r="I131" s="28">
        <f>IF('TAM Projet 1'!AM122&gt;0,'TAM Projet 1'!AM122,IF('TAM Projet 1'!AL122&gt;0,IF(AND(_EchFIXE1,H131&gt;0),ROUND(('TAM Projet 1'!AT122-'TAM Projet 1'!AK122)*H131/(1-((1+H131)^-'TAM Projet 1'!AL122)),_NbDeci1),ROUND('TAM Projet 1'!AT122/'TAM Projet 1'!AL122,_NbDeci1)),I130))</f>
        <v>187406.04</v>
      </c>
      <c r="J131" s="10"/>
      <c r="K131" s="10"/>
      <c r="L131" s="10"/>
      <c r="M131" s="10"/>
      <c r="O131" s="186">
        <v>129</v>
      </c>
    </row>
    <row r="132" spans="1:15" x14ac:dyDescent="0.2">
      <c r="A132" s="29">
        <f>IF('TAM Projet 1'!T123&gt;0,IF(_TauxActuariel,(('TAM Projet 1'!T123+1)^(1/_NbEchAn))-1,'TAM Projet 1'!T123/_NbEchAn),A131)</f>
        <v>1.5499999999999999E-3</v>
      </c>
      <c r="B132" s="28">
        <f>IF('TAM Projet 1'!W123&gt;0,'TAM Projet 1'!W123,IF('TAM Projet 1'!V123&gt;0,IF(AND(_EchFIXE,A132&gt;0),ROUND(('TAM Projet 1'!AD123-'TAM Projet 1'!U123)*A132/(1-((1+A132)^-'TAM Projet 1'!V123)),_NbDeci),ROUND('TAM Projet 1'!AD123/'TAM Projet 1'!V123,_NbDeci)),B131))</f>
        <v>768.98</v>
      </c>
      <c r="C132" s="10"/>
      <c r="D132" s="10"/>
      <c r="E132" s="10"/>
      <c r="F132" s="10"/>
      <c r="H132" s="29">
        <f>IF('TAM Projet 1'!AJ123&gt;0,IF(_TauxActuariel1,(('TAM Projet 1'!AJ123+1)^(1/_NbechAn1))-1,'TAM Projet 1'!AJ123/_NbechAn1),H131)</f>
        <v>8.3333333333333339E-4</v>
      </c>
      <c r="I132" s="28">
        <f>IF('TAM Projet 1'!AM123&gt;0,'TAM Projet 1'!AM123,IF('TAM Projet 1'!AL123&gt;0,IF(AND(_EchFIXE1,H132&gt;0),ROUND(('TAM Projet 1'!AT123-'TAM Projet 1'!AK123)*H132/(1-((1+H132)^-'TAM Projet 1'!AL123)),_NbDeci1),ROUND('TAM Projet 1'!AT123/'TAM Projet 1'!AL123,_NbDeci1)),I131))</f>
        <v>187406.04</v>
      </c>
      <c r="J132" s="10"/>
      <c r="K132" s="10"/>
      <c r="L132" s="10"/>
      <c r="M132" s="10"/>
      <c r="O132" s="186">
        <v>130</v>
      </c>
    </row>
    <row r="133" spans="1:15" x14ac:dyDescent="0.2">
      <c r="A133" s="29">
        <f>IF('TAM Projet 1'!T124&gt;0,IF(_TauxActuariel,(('TAM Projet 1'!T124+1)^(1/_NbEchAn))-1,'TAM Projet 1'!T124/_NbEchAn),A132)</f>
        <v>1.5499999999999999E-3</v>
      </c>
      <c r="B133" s="28">
        <f>IF('TAM Projet 1'!W124&gt;0,'TAM Projet 1'!W124,IF('TAM Projet 1'!V124&gt;0,IF(AND(_EchFIXE,A133&gt;0),ROUND(('TAM Projet 1'!AD124-'TAM Projet 1'!U124)*A133/(1-((1+A133)^-'TAM Projet 1'!V124)),_NbDeci),ROUND('TAM Projet 1'!AD124/'TAM Projet 1'!V124,_NbDeci)),B132))</f>
        <v>768.98</v>
      </c>
      <c r="C133" s="10"/>
      <c r="D133" s="10"/>
      <c r="E133" s="10"/>
      <c r="F133" s="10"/>
      <c r="H133" s="29">
        <f>IF('TAM Projet 1'!AJ124&gt;0,IF(_TauxActuariel1,(('TAM Projet 1'!AJ124+1)^(1/_NbechAn1))-1,'TAM Projet 1'!AJ124/_NbechAn1),H132)</f>
        <v>8.3333333333333339E-4</v>
      </c>
      <c r="I133" s="28">
        <f>IF('TAM Projet 1'!AM124&gt;0,'TAM Projet 1'!AM124,IF('TAM Projet 1'!AL124&gt;0,IF(AND(_EchFIXE1,H133&gt;0),ROUND(('TAM Projet 1'!AT124-'TAM Projet 1'!AK124)*H133/(1-((1+H133)^-'TAM Projet 1'!AL124)),_NbDeci1),ROUND('TAM Projet 1'!AT124/'TAM Projet 1'!AL124,_NbDeci1)),I132))</f>
        <v>187406.04</v>
      </c>
      <c r="J133" s="10"/>
      <c r="K133" s="10"/>
      <c r="L133" s="10"/>
      <c r="M133" s="10"/>
      <c r="O133" s="186">
        <v>131</v>
      </c>
    </row>
    <row r="134" spans="1:15" x14ac:dyDescent="0.2">
      <c r="A134" s="29">
        <f>IF('TAM Projet 1'!T125&gt;0,IF(_TauxActuariel,(('TAM Projet 1'!T125+1)^(1/_NbEchAn))-1,'TAM Projet 1'!T125/_NbEchAn),A133)</f>
        <v>1.5499999999999999E-3</v>
      </c>
      <c r="B134" s="28">
        <f>IF('TAM Projet 1'!W125&gt;0,'TAM Projet 1'!W125,IF('TAM Projet 1'!V125&gt;0,IF(AND(_EchFIXE,A134&gt;0),ROUND(('TAM Projet 1'!AD125-'TAM Projet 1'!U125)*A134/(1-((1+A134)^-'TAM Projet 1'!V125)),_NbDeci),ROUND('TAM Projet 1'!AD125/'TAM Projet 1'!V125,_NbDeci)),B133))</f>
        <v>768.98</v>
      </c>
      <c r="C134" s="10"/>
      <c r="D134" s="10"/>
      <c r="E134" s="10"/>
      <c r="F134" s="10"/>
      <c r="H134" s="29">
        <f>IF('TAM Projet 1'!AJ125&gt;0,IF(_TauxActuariel1,(('TAM Projet 1'!AJ125+1)^(1/_NbechAn1))-1,'TAM Projet 1'!AJ125/_NbechAn1),H133)</f>
        <v>8.3333333333333339E-4</v>
      </c>
      <c r="I134" s="28">
        <f>IF('TAM Projet 1'!AM125&gt;0,'TAM Projet 1'!AM125,IF('TAM Projet 1'!AL125&gt;0,IF(AND(_EchFIXE1,H134&gt;0),ROUND(('TAM Projet 1'!AT125-'TAM Projet 1'!AK125)*H134/(1-((1+H134)^-'TAM Projet 1'!AL125)),_NbDeci1),ROUND('TAM Projet 1'!AT125/'TAM Projet 1'!AL125,_NbDeci1)),I133))</f>
        <v>187406.04</v>
      </c>
      <c r="J134" s="10"/>
      <c r="K134" s="10"/>
      <c r="L134" s="10"/>
      <c r="M134" s="10"/>
      <c r="O134" s="186">
        <v>132</v>
      </c>
    </row>
    <row r="135" spans="1:15" x14ac:dyDescent="0.2">
      <c r="A135" s="29">
        <f>IF('TAM Projet 1'!T126&gt;0,IF(_TauxActuariel,(('TAM Projet 1'!T126+1)^(1/_NbEchAn))-1,'TAM Projet 1'!T126/_NbEchAn),A134)</f>
        <v>1.5499999999999999E-3</v>
      </c>
      <c r="B135" s="28">
        <f>IF('TAM Projet 1'!W126&gt;0,'TAM Projet 1'!W126,IF('TAM Projet 1'!V126&gt;0,IF(AND(_EchFIXE,A135&gt;0),ROUND(('TAM Projet 1'!AD126-'TAM Projet 1'!U126)*A135/(1-((1+A135)^-'TAM Projet 1'!V126)),_NbDeci),ROUND('TAM Projet 1'!AD126/'TAM Projet 1'!V126,_NbDeci)),B134))</f>
        <v>768.98</v>
      </c>
      <c r="C135" s="10"/>
      <c r="D135" s="10"/>
      <c r="E135" s="10"/>
      <c r="F135" s="10"/>
      <c r="H135" s="29">
        <f>IF('TAM Projet 1'!AJ126&gt;0,IF(_TauxActuariel1,(('TAM Projet 1'!AJ126+1)^(1/_NbechAn1))-1,'TAM Projet 1'!AJ126/_NbechAn1),H134)</f>
        <v>8.3333333333333339E-4</v>
      </c>
      <c r="I135" s="28">
        <f>IF('TAM Projet 1'!AM126&gt;0,'TAM Projet 1'!AM126,IF('TAM Projet 1'!AL126&gt;0,IF(AND(_EchFIXE1,H135&gt;0),ROUND(('TAM Projet 1'!AT126-'TAM Projet 1'!AK126)*H135/(1-((1+H135)^-'TAM Projet 1'!AL126)),_NbDeci1),ROUND('TAM Projet 1'!AT126/'TAM Projet 1'!AL126,_NbDeci1)),I134))</f>
        <v>187406.04</v>
      </c>
      <c r="J135" s="10"/>
      <c r="K135" s="10"/>
      <c r="L135" s="10"/>
      <c r="M135" s="10"/>
      <c r="O135" s="186">
        <v>133</v>
      </c>
    </row>
    <row r="136" spans="1:15" x14ac:dyDescent="0.2">
      <c r="A136" s="29">
        <f>IF('TAM Projet 1'!T127&gt;0,IF(_TauxActuariel,(('TAM Projet 1'!T127+1)^(1/_NbEchAn))-1,'TAM Projet 1'!T127/_NbEchAn),A135)</f>
        <v>1.5499999999999999E-3</v>
      </c>
      <c r="B136" s="28">
        <f>IF('TAM Projet 1'!W127&gt;0,'TAM Projet 1'!W127,IF('TAM Projet 1'!V127&gt;0,IF(AND(_EchFIXE,A136&gt;0),ROUND(('TAM Projet 1'!AD127-'TAM Projet 1'!U127)*A136/(1-((1+A136)^-'TAM Projet 1'!V127)),_NbDeci),ROUND('TAM Projet 1'!AD127/'TAM Projet 1'!V127,_NbDeci)),B135))</f>
        <v>768.98</v>
      </c>
      <c r="C136" s="10"/>
      <c r="D136" s="10"/>
      <c r="E136" s="10"/>
      <c r="F136" s="10"/>
      <c r="H136" s="29">
        <f>IF('TAM Projet 1'!AJ127&gt;0,IF(_TauxActuariel1,(('TAM Projet 1'!AJ127+1)^(1/_NbechAn1))-1,'TAM Projet 1'!AJ127/_NbechAn1),H135)</f>
        <v>8.3333333333333339E-4</v>
      </c>
      <c r="I136" s="28">
        <f>IF('TAM Projet 1'!AM127&gt;0,'TAM Projet 1'!AM127,IF('TAM Projet 1'!AL127&gt;0,IF(AND(_EchFIXE1,H136&gt;0),ROUND(('TAM Projet 1'!AT127-'TAM Projet 1'!AK127)*H136/(1-((1+H136)^-'TAM Projet 1'!AL127)),_NbDeci1),ROUND('TAM Projet 1'!AT127/'TAM Projet 1'!AL127,_NbDeci1)),I135))</f>
        <v>187406.04</v>
      </c>
      <c r="J136" s="10"/>
      <c r="K136" s="10"/>
      <c r="L136" s="10"/>
      <c r="M136" s="10"/>
      <c r="O136" s="186">
        <v>134</v>
      </c>
    </row>
    <row r="137" spans="1:15" x14ac:dyDescent="0.2">
      <c r="A137" s="29">
        <f>IF('TAM Projet 1'!T128&gt;0,IF(_TauxActuariel,(('TAM Projet 1'!T128+1)^(1/_NbEchAn))-1,'TAM Projet 1'!T128/_NbEchAn),A136)</f>
        <v>1.5499999999999999E-3</v>
      </c>
      <c r="B137" s="28">
        <f>IF('TAM Projet 1'!W128&gt;0,'TAM Projet 1'!W128,IF('TAM Projet 1'!V128&gt;0,IF(AND(_EchFIXE,A137&gt;0),ROUND(('TAM Projet 1'!AD128-'TAM Projet 1'!U128)*A137/(1-((1+A137)^-'TAM Projet 1'!V128)),_NbDeci),ROUND('TAM Projet 1'!AD128/'TAM Projet 1'!V128,_NbDeci)),B136))</f>
        <v>768.98</v>
      </c>
      <c r="C137" s="10"/>
      <c r="D137" s="10"/>
      <c r="E137" s="10"/>
      <c r="F137" s="10"/>
      <c r="H137" s="29">
        <f>IF('TAM Projet 1'!AJ128&gt;0,IF(_TauxActuariel1,(('TAM Projet 1'!AJ128+1)^(1/_NbechAn1))-1,'TAM Projet 1'!AJ128/_NbechAn1),H136)</f>
        <v>8.3333333333333339E-4</v>
      </c>
      <c r="I137" s="28">
        <f>IF('TAM Projet 1'!AM128&gt;0,'TAM Projet 1'!AM128,IF('TAM Projet 1'!AL128&gt;0,IF(AND(_EchFIXE1,H137&gt;0),ROUND(('TAM Projet 1'!AT128-'TAM Projet 1'!AK128)*H137/(1-((1+H137)^-'TAM Projet 1'!AL128)),_NbDeci1),ROUND('TAM Projet 1'!AT128/'TAM Projet 1'!AL128,_NbDeci1)),I136))</f>
        <v>187406.04</v>
      </c>
      <c r="J137" s="10"/>
      <c r="K137" s="10"/>
      <c r="L137" s="10"/>
      <c r="M137" s="10"/>
      <c r="O137" s="186">
        <v>135</v>
      </c>
    </row>
    <row r="138" spans="1:15" x14ac:dyDescent="0.2">
      <c r="A138" s="29">
        <f>IF('TAM Projet 1'!T129&gt;0,IF(_TauxActuariel,(('TAM Projet 1'!T129+1)^(1/_NbEchAn))-1,'TAM Projet 1'!T129/_NbEchAn),A137)</f>
        <v>1.5499999999999999E-3</v>
      </c>
      <c r="B138" s="28">
        <f>IF('TAM Projet 1'!W129&gt;0,'TAM Projet 1'!W129,IF('TAM Projet 1'!V129&gt;0,IF(AND(_EchFIXE,A138&gt;0),ROUND(('TAM Projet 1'!AD129-'TAM Projet 1'!U129)*A138/(1-((1+A138)^-'TAM Projet 1'!V129)),_NbDeci),ROUND('TAM Projet 1'!AD129/'TAM Projet 1'!V129,_NbDeci)),B137))</f>
        <v>768.98</v>
      </c>
      <c r="C138" s="10"/>
      <c r="D138" s="10"/>
      <c r="E138" s="10"/>
      <c r="F138" s="10"/>
      <c r="H138" s="29">
        <f>IF('TAM Projet 1'!AJ129&gt;0,IF(_TauxActuariel1,(('TAM Projet 1'!AJ129+1)^(1/_NbechAn1))-1,'TAM Projet 1'!AJ129/_NbechAn1),H137)</f>
        <v>8.3333333333333339E-4</v>
      </c>
      <c r="I138" s="28">
        <f>IF('TAM Projet 1'!AM129&gt;0,'TAM Projet 1'!AM129,IF('TAM Projet 1'!AL129&gt;0,IF(AND(_EchFIXE1,H138&gt;0),ROUND(('TAM Projet 1'!AT129-'TAM Projet 1'!AK129)*H138/(1-((1+H138)^-'TAM Projet 1'!AL129)),_NbDeci1),ROUND('TAM Projet 1'!AT129/'TAM Projet 1'!AL129,_NbDeci1)),I137))</f>
        <v>187406.04</v>
      </c>
      <c r="J138" s="10"/>
      <c r="K138" s="10"/>
      <c r="L138" s="10"/>
      <c r="M138" s="10"/>
      <c r="O138" s="186">
        <v>136</v>
      </c>
    </row>
    <row r="139" spans="1:15" x14ac:dyDescent="0.2">
      <c r="A139" s="29">
        <f>IF('TAM Projet 1'!T130&gt;0,IF(_TauxActuariel,(('TAM Projet 1'!T130+1)^(1/_NbEchAn))-1,'TAM Projet 1'!T130/_NbEchAn),A138)</f>
        <v>1.5499999999999999E-3</v>
      </c>
      <c r="B139" s="28">
        <f>IF('TAM Projet 1'!W130&gt;0,'TAM Projet 1'!W130,IF('TAM Projet 1'!V130&gt;0,IF(AND(_EchFIXE,A139&gt;0),ROUND(('TAM Projet 1'!AD130-'TAM Projet 1'!U130)*A139/(1-((1+A139)^-'TAM Projet 1'!V130)),_NbDeci),ROUND('TAM Projet 1'!AD130/'TAM Projet 1'!V130,_NbDeci)),B138))</f>
        <v>768.98</v>
      </c>
      <c r="C139" s="10"/>
      <c r="D139" s="10"/>
      <c r="E139" s="10"/>
      <c r="F139" s="10"/>
      <c r="H139" s="29">
        <f>IF('TAM Projet 1'!AJ130&gt;0,IF(_TauxActuariel1,(('TAM Projet 1'!AJ130+1)^(1/_NbechAn1))-1,'TAM Projet 1'!AJ130/_NbechAn1),H138)</f>
        <v>8.3333333333333339E-4</v>
      </c>
      <c r="I139" s="28">
        <f>IF('TAM Projet 1'!AM130&gt;0,'TAM Projet 1'!AM130,IF('TAM Projet 1'!AL130&gt;0,IF(AND(_EchFIXE1,H139&gt;0),ROUND(('TAM Projet 1'!AT130-'TAM Projet 1'!AK130)*H139/(1-((1+H139)^-'TAM Projet 1'!AL130)),_NbDeci1),ROUND('TAM Projet 1'!AT130/'TAM Projet 1'!AL130,_NbDeci1)),I138))</f>
        <v>187406.04</v>
      </c>
      <c r="J139" s="10"/>
      <c r="K139" s="10"/>
      <c r="L139" s="10"/>
      <c r="M139" s="10"/>
      <c r="O139" s="186">
        <v>137</v>
      </c>
    </row>
    <row r="140" spans="1:15" x14ac:dyDescent="0.2">
      <c r="A140" s="29">
        <f>IF('TAM Projet 1'!T131&gt;0,IF(_TauxActuariel,(('TAM Projet 1'!T131+1)^(1/_NbEchAn))-1,'TAM Projet 1'!T131/_NbEchAn),A139)</f>
        <v>1.5499999999999999E-3</v>
      </c>
      <c r="B140" s="28">
        <f>IF('TAM Projet 1'!W131&gt;0,'TAM Projet 1'!W131,IF('TAM Projet 1'!V131&gt;0,IF(AND(_EchFIXE,A140&gt;0),ROUND(('TAM Projet 1'!AD131-'TAM Projet 1'!U131)*A140/(1-((1+A140)^-'TAM Projet 1'!V131)),_NbDeci),ROUND('TAM Projet 1'!AD131/'TAM Projet 1'!V131,_NbDeci)),B139))</f>
        <v>768.98</v>
      </c>
      <c r="C140" s="10"/>
      <c r="D140" s="10"/>
      <c r="E140" s="10"/>
      <c r="F140" s="10"/>
      <c r="H140" s="29">
        <f>IF('TAM Projet 1'!AJ131&gt;0,IF(_TauxActuariel1,(('TAM Projet 1'!AJ131+1)^(1/_NbechAn1))-1,'TAM Projet 1'!AJ131/_NbechAn1),H139)</f>
        <v>8.3333333333333339E-4</v>
      </c>
      <c r="I140" s="28">
        <f>IF('TAM Projet 1'!AM131&gt;0,'TAM Projet 1'!AM131,IF('TAM Projet 1'!AL131&gt;0,IF(AND(_EchFIXE1,H140&gt;0),ROUND(('TAM Projet 1'!AT131-'TAM Projet 1'!AK131)*H140/(1-((1+H140)^-'TAM Projet 1'!AL131)),_NbDeci1),ROUND('TAM Projet 1'!AT131/'TAM Projet 1'!AL131,_NbDeci1)),I139))</f>
        <v>187406.04</v>
      </c>
      <c r="J140" s="10"/>
      <c r="K140" s="10"/>
      <c r="L140" s="10"/>
      <c r="M140" s="10"/>
      <c r="O140" s="186">
        <v>138</v>
      </c>
    </row>
    <row r="141" spans="1:15" x14ac:dyDescent="0.2">
      <c r="A141" s="29">
        <f>IF('TAM Projet 1'!T132&gt;0,IF(_TauxActuariel,(('TAM Projet 1'!T132+1)^(1/_NbEchAn))-1,'TAM Projet 1'!T132/_NbEchAn),A140)</f>
        <v>1.5499999999999999E-3</v>
      </c>
      <c r="B141" s="28">
        <f>IF('TAM Projet 1'!W132&gt;0,'TAM Projet 1'!W132,IF('TAM Projet 1'!V132&gt;0,IF(AND(_EchFIXE,A141&gt;0),ROUND(('TAM Projet 1'!AD132-'TAM Projet 1'!U132)*A141/(1-((1+A141)^-'TAM Projet 1'!V132)),_NbDeci),ROUND('TAM Projet 1'!AD132/'TAM Projet 1'!V132,_NbDeci)),B140))</f>
        <v>768.98</v>
      </c>
      <c r="C141" s="10"/>
      <c r="D141" s="10"/>
      <c r="E141" s="10"/>
      <c r="F141" s="10"/>
      <c r="H141" s="29">
        <f>IF('TAM Projet 1'!AJ132&gt;0,IF(_TauxActuariel1,(('TAM Projet 1'!AJ132+1)^(1/_NbechAn1))-1,'TAM Projet 1'!AJ132/_NbechAn1),H140)</f>
        <v>8.3333333333333339E-4</v>
      </c>
      <c r="I141" s="28">
        <f>IF('TAM Projet 1'!AM132&gt;0,'TAM Projet 1'!AM132,IF('TAM Projet 1'!AL132&gt;0,IF(AND(_EchFIXE1,H141&gt;0),ROUND(('TAM Projet 1'!AT132-'TAM Projet 1'!AK132)*H141/(1-((1+H141)^-'TAM Projet 1'!AL132)),_NbDeci1),ROUND('TAM Projet 1'!AT132/'TAM Projet 1'!AL132,_NbDeci1)),I140))</f>
        <v>187406.04</v>
      </c>
      <c r="J141" s="10"/>
      <c r="K141" s="10"/>
      <c r="L141" s="10"/>
      <c r="M141" s="10"/>
      <c r="O141" s="186">
        <v>139</v>
      </c>
    </row>
    <row r="142" spans="1:15" x14ac:dyDescent="0.2">
      <c r="A142" s="29">
        <f>IF('TAM Projet 1'!T133&gt;0,IF(_TauxActuariel,(('TAM Projet 1'!T133+1)^(1/_NbEchAn))-1,'TAM Projet 1'!T133/_NbEchAn),A141)</f>
        <v>1.5499999999999999E-3</v>
      </c>
      <c r="B142" s="28">
        <f>IF('TAM Projet 1'!W133&gt;0,'TAM Projet 1'!W133,IF('TAM Projet 1'!V133&gt;0,IF(AND(_EchFIXE,A142&gt;0),ROUND(('TAM Projet 1'!AD133-'TAM Projet 1'!U133)*A142/(1-((1+A142)^-'TAM Projet 1'!V133)),_NbDeci),ROUND('TAM Projet 1'!AD133/'TAM Projet 1'!V133,_NbDeci)),B141))</f>
        <v>768.98</v>
      </c>
      <c r="C142" s="10"/>
      <c r="D142" s="10"/>
      <c r="E142" s="10"/>
      <c r="F142" s="10"/>
      <c r="H142" s="29">
        <f>IF('TAM Projet 1'!AJ133&gt;0,IF(_TauxActuariel1,(('TAM Projet 1'!AJ133+1)^(1/_NbechAn1))-1,'TAM Projet 1'!AJ133/_NbechAn1),H141)</f>
        <v>8.3333333333333339E-4</v>
      </c>
      <c r="I142" s="28">
        <f>IF('TAM Projet 1'!AM133&gt;0,'TAM Projet 1'!AM133,IF('TAM Projet 1'!AL133&gt;0,IF(AND(_EchFIXE1,H142&gt;0),ROUND(('TAM Projet 1'!AT133-'TAM Projet 1'!AK133)*H142/(1-((1+H142)^-'TAM Projet 1'!AL133)),_NbDeci1),ROUND('TAM Projet 1'!AT133/'TAM Projet 1'!AL133,_NbDeci1)),I141))</f>
        <v>187406.04</v>
      </c>
      <c r="J142" s="10"/>
      <c r="K142" s="10"/>
      <c r="L142" s="10"/>
      <c r="M142" s="10"/>
      <c r="O142" s="186">
        <v>140</v>
      </c>
    </row>
    <row r="143" spans="1:15" x14ac:dyDescent="0.2">
      <c r="A143" s="29">
        <f>IF('TAM Projet 1'!T134&gt;0,IF(_TauxActuariel,(('TAM Projet 1'!T134+1)^(1/_NbEchAn))-1,'TAM Projet 1'!T134/_NbEchAn),A142)</f>
        <v>1.5499999999999999E-3</v>
      </c>
      <c r="B143" s="28">
        <f>IF('TAM Projet 1'!W134&gt;0,'TAM Projet 1'!W134,IF('TAM Projet 1'!V134&gt;0,IF(AND(_EchFIXE,A143&gt;0),ROUND(('TAM Projet 1'!AD134-'TAM Projet 1'!U134)*A143/(1-((1+A143)^-'TAM Projet 1'!V134)),_NbDeci),ROUND('TAM Projet 1'!AD134/'TAM Projet 1'!V134,_NbDeci)),B142))</f>
        <v>768.98</v>
      </c>
      <c r="C143" s="10"/>
      <c r="D143" s="10"/>
      <c r="E143" s="10"/>
      <c r="F143" s="10"/>
      <c r="H143" s="29">
        <f>IF('TAM Projet 1'!AJ134&gt;0,IF(_TauxActuariel1,(('TAM Projet 1'!AJ134+1)^(1/_NbechAn1))-1,'TAM Projet 1'!AJ134/_NbechAn1),H142)</f>
        <v>8.3333333333333339E-4</v>
      </c>
      <c r="I143" s="28">
        <f>IF('TAM Projet 1'!AM134&gt;0,'TAM Projet 1'!AM134,IF('TAM Projet 1'!AL134&gt;0,IF(AND(_EchFIXE1,H143&gt;0),ROUND(('TAM Projet 1'!AT134-'TAM Projet 1'!AK134)*H143/(1-((1+H143)^-'TAM Projet 1'!AL134)),_NbDeci1),ROUND('TAM Projet 1'!AT134/'TAM Projet 1'!AL134,_NbDeci1)),I142))</f>
        <v>187406.04</v>
      </c>
      <c r="J143" s="10"/>
      <c r="K143" s="10"/>
      <c r="L143" s="10"/>
      <c r="M143" s="10"/>
      <c r="O143" s="186">
        <v>141</v>
      </c>
    </row>
    <row r="144" spans="1:15" x14ac:dyDescent="0.2">
      <c r="A144" s="29">
        <f>IF('TAM Projet 1'!T135&gt;0,IF(_TauxActuariel,(('TAM Projet 1'!T135+1)^(1/_NbEchAn))-1,'TAM Projet 1'!T135/_NbEchAn),A143)</f>
        <v>1.5499999999999999E-3</v>
      </c>
      <c r="B144" s="28">
        <f>IF('TAM Projet 1'!W135&gt;0,'TAM Projet 1'!W135,IF('TAM Projet 1'!V135&gt;0,IF(AND(_EchFIXE,A144&gt;0),ROUND(('TAM Projet 1'!AD135-'TAM Projet 1'!U135)*A144/(1-((1+A144)^-'TAM Projet 1'!V135)),_NbDeci),ROUND('TAM Projet 1'!AD135/'TAM Projet 1'!V135,_NbDeci)),B143))</f>
        <v>768.98</v>
      </c>
      <c r="C144" s="10"/>
      <c r="D144" s="10"/>
      <c r="E144" s="10"/>
      <c r="F144" s="10"/>
      <c r="H144" s="29">
        <f>IF('TAM Projet 1'!AJ135&gt;0,IF(_TauxActuariel1,(('TAM Projet 1'!AJ135+1)^(1/_NbechAn1))-1,'TAM Projet 1'!AJ135/_NbechAn1),H143)</f>
        <v>8.3333333333333339E-4</v>
      </c>
      <c r="I144" s="28">
        <f>IF('TAM Projet 1'!AM135&gt;0,'TAM Projet 1'!AM135,IF('TAM Projet 1'!AL135&gt;0,IF(AND(_EchFIXE1,H144&gt;0),ROUND(('TAM Projet 1'!AT135-'TAM Projet 1'!AK135)*H144/(1-((1+H144)^-'TAM Projet 1'!AL135)),_NbDeci1),ROUND('TAM Projet 1'!AT135/'TAM Projet 1'!AL135,_NbDeci1)),I143))</f>
        <v>187406.04</v>
      </c>
      <c r="J144" s="10"/>
      <c r="K144" s="10"/>
      <c r="L144" s="10"/>
      <c r="M144" s="10"/>
      <c r="O144" s="186">
        <v>142</v>
      </c>
    </row>
    <row r="145" spans="1:15" x14ac:dyDescent="0.2">
      <c r="A145" s="29">
        <f>IF('TAM Projet 1'!T136&gt;0,IF(_TauxActuariel,(('TAM Projet 1'!T136+1)^(1/_NbEchAn))-1,'TAM Projet 1'!T136/_NbEchAn),A144)</f>
        <v>1.5499999999999999E-3</v>
      </c>
      <c r="B145" s="28">
        <f>IF('TAM Projet 1'!W136&gt;0,'TAM Projet 1'!W136,IF('TAM Projet 1'!V136&gt;0,IF(AND(_EchFIXE,A145&gt;0),ROUND(('TAM Projet 1'!AD136-'TAM Projet 1'!U136)*A145/(1-((1+A145)^-'TAM Projet 1'!V136)),_NbDeci),ROUND('TAM Projet 1'!AD136/'TAM Projet 1'!V136,_NbDeci)),B144))</f>
        <v>768.98</v>
      </c>
      <c r="C145" s="10"/>
      <c r="D145" s="10"/>
      <c r="E145" s="10"/>
      <c r="F145" s="10"/>
      <c r="H145" s="29">
        <f>IF('TAM Projet 1'!AJ136&gt;0,IF(_TauxActuariel1,(('TAM Projet 1'!AJ136+1)^(1/_NbechAn1))-1,'TAM Projet 1'!AJ136/_NbechAn1),H144)</f>
        <v>8.3333333333333339E-4</v>
      </c>
      <c r="I145" s="28">
        <f>IF('TAM Projet 1'!AM136&gt;0,'TAM Projet 1'!AM136,IF('TAM Projet 1'!AL136&gt;0,IF(AND(_EchFIXE1,H145&gt;0),ROUND(('TAM Projet 1'!AT136-'TAM Projet 1'!AK136)*H145/(1-((1+H145)^-'TAM Projet 1'!AL136)),_NbDeci1),ROUND('TAM Projet 1'!AT136/'TAM Projet 1'!AL136,_NbDeci1)),I144))</f>
        <v>187406.04</v>
      </c>
      <c r="J145" s="10"/>
      <c r="K145" s="10"/>
      <c r="L145" s="10"/>
      <c r="M145" s="10"/>
      <c r="O145" s="186">
        <v>143</v>
      </c>
    </row>
    <row r="146" spans="1:15" x14ac:dyDescent="0.2">
      <c r="A146" s="29">
        <f>IF('TAM Projet 1'!T137&gt;0,IF(_TauxActuariel,(('TAM Projet 1'!T137+1)^(1/_NbEchAn))-1,'TAM Projet 1'!T137/_NbEchAn),A145)</f>
        <v>1.5499999999999999E-3</v>
      </c>
      <c r="B146" s="28">
        <f>IF('TAM Projet 1'!W137&gt;0,'TAM Projet 1'!W137,IF('TAM Projet 1'!V137&gt;0,IF(AND(_EchFIXE,A146&gt;0),ROUND(('TAM Projet 1'!AD137-'TAM Projet 1'!U137)*A146/(1-((1+A146)^-'TAM Projet 1'!V137)),_NbDeci),ROUND('TAM Projet 1'!AD137/'TAM Projet 1'!V137,_NbDeci)),B145))</f>
        <v>768.98</v>
      </c>
      <c r="C146" s="10"/>
      <c r="D146" s="10"/>
      <c r="E146" s="10"/>
      <c r="F146" s="10"/>
      <c r="H146" s="29">
        <f>IF('TAM Projet 1'!AJ137&gt;0,IF(_TauxActuariel1,(('TAM Projet 1'!AJ137+1)^(1/_NbechAn1))-1,'TAM Projet 1'!AJ137/_NbechAn1),H145)</f>
        <v>8.3333333333333339E-4</v>
      </c>
      <c r="I146" s="28">
        <f>IF('TAM Projet 1'!AM137&gt;0,'TAM Projet 1'!AM137,IF('TAM Projet 1'!AL137&gt;0,IF(AND(_EchFIXE1,H146&gt;0),ROUND(('TAM Projet 1'!AT137-'TAM Projet 1'!AK137)*H146/(1-((1+H146)^-'TAM Projet 1'!AL137)),_NbDeci1),ROUND('TAM Projet 1'!AT137/'TAM Projet 1'!AL137,_NbDeci1)),I145))</f>
        <v>187406.04</v>
      </c>
      <c r="J146" s="10"/>
      <c r="K146" s="10"/>
      <c r="L146" s="10"/>
      <c r="M146" s="10"/>
      <c r="O146" s="186">
        <v>144</v>
      </c>
    </row>
    <row r="147" spans="1:15" x14ac:dyDescent="0.2">
      <c r="A147" s="29">
        <f>IF('TAM Projet 1'!T138&gt;0,IF(_TauxActuariel,(('TAM Projet 1'!T138+1)^(1/_NbEchAn))-1,'TAM Projet 1'!T138/_NbEchAn),A146)</f>
        <v>1.5499999999999999E-3</v>
      </c>
      <c r="B147" s="28">
        <f>IF('TAM Projet 1'!W138&gt;0,'TAM Projet 1'!W138,IF('TAM Projet 1'!V138&gt;0,IF(AND(_EchFIXE,A147&gt;0),ROUND(('TAM Projet 1'!AD138-'TAM Projet 1'!U138)*A147/(1-((1+A147)^-'TAM Projet 1'!V138)),_NbDeci),ROUND('TAM Projet 1'!AD138/'TAM Projet 1'!V138,_NbDeci)),B146))</f>
        <v>768.98</v>
      </c>
      <c r="C147" s="10"/>
      <c r="D147" s="10"/>
      <c r="E147" s="10"/>
      <c r="F147" s="10"/>
      <c r="H147" s="29">
        <f>IF('TAM Projet 1'!AJ138&gt;0,IF(_TauxActuariel1,(('TAM Projet 1'!AJ138+1)^(1/_NbechAn1))-1,'TAM Projet 1'!AJ138/_NbechAn1),H146)</f>
        <v>8.3333333333333339E-4</v>
      </c>
      <c r="I147" s="28">
        <f>IF('TAM Projet 1'!AM138&gt;0,'TAM Projet 1'!AM138,IF('TAM Projet 1'!AL138&gt;0,IF(AND(_EchFIXE1,H147&gt;0),ROUND(('TAM Projet 1'!AT138-'TAM Projet 1'!AK138)*H147/(1-((1+H147)^-'TAM Projet 1'!AL138)),_NbDeci1),ROUND('TAM Projet 1'!AT138/'TAM Projet 1'!AL138,_NbDeci1)),I146))</f>
        <v>187406.04</v>
      </c>
      <c r="J147" s="10"/>
      <c r="K147" s="10"/>
      <c r="L147" s="10"/>
      <c r="M147" s="10"/>
      <c r="O147" s="186">
        <v>145</v>
      </c>
    </row>
    <row r="148" spans="1:15" x14ac:dyDescent="0.2">
      <c r="A148" s="29">
        <f>IF('TAM Projet 1'!T139&gt;0,IF(_TauxActuariel,(('TAM Projet 1'!T139+1)^(1/_NbEchAn))-1,'TAM Projet 1'!T139/_NbEchAn),A147)</f>
        <v>1.5499999999999999E-3</v>
      </c>
      <c r="B148" s="28">
        <f>IF('TAM Projet 1'!W139&gt;0,'TAM Projet 1'!W139,IF('TAM Projet 1'!V139&gt;0,IF(AND(_EchFIXE,A148&gt;0),ROUND(('TAM Projet 1'!AD139-'TAM Projet 1'!U139)*A148/(1-((1+A148)^-'TAM Projet 1'!V139)),_NbDeci),ROUND('TAM Projet 1'!AD139/'TAM Projet 1'!V139,_NbDeci)),B147))</f>
        <v>768.98</v>
      </c>
      <c r="C148" s="10"/>
      <c r="D148" s="10"/>
      <c r="E148" s="10"/>
      <c r="F148" s="10"/>
      <c r="H148" s="29">
        <f>IF('TAM Projet 1'!AJ139&gt;0,IF(_TauxActuariel1,(('TAM Projet 1'!AJ139+1)^(1/_NbechAn1))-1,'TAM Projet 1'!AJ139/_NbechAn1),H147)</f>
        <v>8.3333333333333339E-4</v>
      </c>
      <c r="I148" s="28">
        <f>IF('TAM Projet 1'!AM139&gt;0,'TAM Projet 1'!AM139,IF('TAM Projet 1'!AL139&gt;0,IF(AND(_EchFIXE1,H148&gt;0),ROUND(('TAM Projet 1'!AT139-'TAM Projet 1'!AK139)*H148/(1-((1+H148)^-'TAM Projet 1'!AL139)),_NbDeci1),ROUND('TAM Projet 1'!AT139/'TAM Projet 1'!AL139,_NbDeci1)),I147))</f>
        <v>187406.04</v>
      </c>
      <c r="J148" s="10"/>
      <c r="K148" s="10"/>
      <c r="L148" s="10"/>
      <c r="M148" s="10"/>
      <c r="O148" s="186">
        <v>146</v>
      </c>
    </row>
    <row r="149" spans="1:15" x14ac:dyDescent="0.2">
      <c r="A149" s="29">
        <f>IF('TAM Projet 1'!T140&gt;0,IF(_TauxActuariel,(('TAM Projet 1'!T140+1)^(1/_NbEchAn))-1,'TAM Projet 1'!T140/_NbEchAn),A148)</f>
        <v>1.5499999999999999E-3</v>
      </c>
      <c r="B149" s="28">
        <f>IF('TAM Projet 1'!W140&gt;0,'TAM Projet 1'!W140,IF('TAM Projet 1'!V140&gt;0,IF(AND(_EchFIXE,A149&gt;0),ROUND(('TAM Projet 1'!AD140-'TAM Projet 1'!U140)*A149/(1-((1+A149)^-'TAM Projet 1'!V140)),_NbDeci),ROUND('TAM Projet 1'!AD140/'TAM Projet 1'!V140,_NbDeci)),B148))</f>
        <v>768.98</v>
      </c>
      <c r="C149" s="10"/>
      <c r="D149" s="10"/>
      <c r="E149" s="10"/>
      <c r="F149" s="10"/>
      <c r="H149" s="29">
        <f>IF('TAM Projet 1'!AJ140&gt;0,IF(_TauxActuariel1,(('TAM Projet 1'!AJ140+1)^(1/_NbechAn1))-1,'TAM Projet 1'!AJ140/_NbechAn1),H148)</f>
        <v>8.3333333333333339E-4</v>
      </c>
      <c r="I149" s="28">
        <f>IF('TAM Projet 1'!AM140&gt;0,'TAM Projet 1'!AM140,IF('TAM Projet 1'!AL140&gt;0,IF(AND(_EchFIXE1,H149&gt;0),ROUND(('TAM Projet 1'!AT140-'TAM Projet 1'!AK140)*H149/(1-((1+H149)^-'TAM Projet 1'!AL140)),_NbDeci1),ROUND('TAM Projet 1'!AT140/'TAM Projet 1'!AL140,_NbDeci1)),I148))</f>
        <v>187406.04</v>
      </c>
      <c r="J149" s="10"/>
      <c r="K149" s="10"/>
      <c r="L149" s="10"/>
      <c r="M149" s="10"/>
      <c r="O149" s="186">
        <v>147</v>
      </c>
    </row>
    <row r="150" spans="1:15" x14ac:dyDescent="0.2">
      <c r="A150" s="29">
        <f>IF('TAM Projet 1'!T141&gt;0,IF(_TauxActuariel,(('TAM Projet 1'!T141+1)^(1/_NbEchAn))-1,'TAM Projet 1'!T141/_NbEchAn),A149)</f>
        <v>1.5499999999999999E-3</v>
      </c>
      <c r="B150" s="28">
        <f>IF('TAM Projet 1'!W141&gt;0,'TAM Projet 1'!W141,IF('TAM Projet 1'!V141&gt;0,IF(AND(_EchFIXE,A150&gt;0),ROUND(('TAM Projet 1'!AD141-'TAM Projet 1'!U141)*A150/(1-((1+A150)^-'TAM Projet 1'!V141)),_NbDeci),ROUND('TAM Projet 1'!AD141/'TAM Projet 1'!V141,_NbDeci)),B149))</f>
        <v>768.98</v>
      </c>
      <c r="C150" s="10"/>
      <c r="D150" s="10"/>
      <c r="E150" s="10"/>
      <c r="F150" s="10"/>
      <c r="H150" s="29">
        <f>IF('TAM Projet 1'!AJ141&gt;0,IF(_TauxActuariel1,(('TAM Projet 1'!AJ141+1)^(1/_NbechAn1))-1,'TAM Projet 1'!AJ141/_NbechAn1),H149)</f>
        <v>8.3333333333333339E-4</v>
      </c>
      <c r="I150" s="28">
        <f>IF('TAM Projet 1'!AM141&gt;0,'TAM Projet 1'!AM141,IF('TAM Projet 1'!AL141&gt;0,IF(AND(_EchFIXE1,H150&gt;0),ROUND(('TAM Projet 1'!AT141-'TAM Projet 1'!AK141)*H150/(1-((1+H150)^-'TAM Projet 1'!AL141)),_NbDeci1),ROUND('TAM Projet 1'!AT141/'TAM Projet 1'!AL141,_NbDeci1)),I149))</f>
        <v>187406.04</v>
      </c>
      <c r="J150" s="10"/>
      <c r="K150" s="10"/>
      <c r="L150" s="10"/>
      <c r="M150" s="10"/>
      <c r="O150" s="186">
        <v>148</v>
      </c>
    </row>
    <row r="151" spans="1:15" x14ac:dyDescent="0.2">
      <c r="A151" s="29">
        <f>IF('TAM Projet 1'!T142&gt;0,IF(_TauxActuariel,(('TAM Projet 1'!T142+1)^(1/_NbEchAn))-1,'TAM Projet 1'!T142/_NbEchAn),A150)</f>
        <v>1.5499999999999999E-3</v>
      </c>
      <c r="B151" s="28">
        <f>IF('TAM Projet 1'!W142&gt;0,'TAM Projet 1'!W142,IF('TAM Projet 1'!V142&gt;0,IF(AND(_EchFIXE,A151&gt;0),ROUND(('TAM Projet 1'!AD142-'TAM Projet 1'!U142)*A151/(1-((1+A151)^-'TAM Projet 1'!V142)),_NbDeci),ROUND('TAM Projet 1'!AD142/'TAM Projet 1'!V142,_NbDeci)),B150))</f>
        <v>768.98</v>
      </c>
      <c r="C151" s="10"/>
      <c r="D151" s="10"/>
      <c r="E151" s="10"/>
      <c r="F151" s="10"/>
      <c r="H151" s="29">
        <f>IF('TAM Projet 1'!AJ142&gt;0,IF(_TauxActuariel1,(('TAM Projet 1'!AJ142+1)^(1/_NbechAn1))-1,'TAM Projet 1'!AJ142/_NbechAn1),H150)</f>
        <v>8.3333333333333339E-4</v>
      </c>
      <c r="I151" s="28">
        <f>IF('TAM Projet 1'!AM142&gt;0,'TAM Projet 1'!AM142,IF('TAM Projet 1'!AL142&gt;0,IF(AND(_EchFIXE1,H151&gt;0),ROUND(('TAM Projet 1'!AT142-'TAM Projet 1'!AK142)*H151/(1-((1+H151)^-'TAM Projet 1'!AL142)),_NbDeci1),ROUND('TAM Projet 1'!AT142/'TAM Projet 1'!AL142,_NbDeci1)),I150))</f>
        <v>187406.04</v>
      </c>
      <c r="J151" s="10"/>
      <c r="K151" s="10"/>
      <c r="L151" s="10"/>
      <c r="M151" s="10"/>
      <c r="O151" s="186">
        <v>149</v>
      </c>
    </row>
    <row r="152" spans="1:15" x14ac:dyDescent="0.2">
      <c r="A152" s="29">
        <f>IF('TAM Projet 1'!T143&gt;0,IF(_TauxActuariel,(('TAM Projet 1'!T143+1)^(1/_NbEchAn))-1,'TAM Projet 1'!T143/_NbEchAn),A151)</f>
        <v>1.5499999999999999E-3</v>
      </c>
      <c r="B152" s="28">
        <f>IF('TAM Projet 1'!W143&gt;0,'TAM Projet 1'!W143,IF('TAM Projet 1'!V143&gt;0,IF(AND(_EchFIXE,A152&gt;0),ROUND(('TAM Projet 1'!AD143-'TAM Projet 1'!U143)*A152/(1-((1+A152)^-'TAM Projet 1'!V143)),_NbDeci),ROUND('TAM Projet 1'!AD143/'TAM Projet 1'!V143,_NbDeci)),B151))</f>
        <v>768.98</v>
      </c>
      <c r="C152" s="10"/>
      <c r="D152" s="10"/>
      <c r="E152" s="10"/>
      <c r="F152" s="10"/>
      <c r="H152" s="29">
        <f>IF('TAM Projet 1'!AJ143&gt;0,IF(_TauxActuariel1,(('TAM Projet 1'!AJ143+1)^(1/_NbechAn1))-1,'TAM Projet 1'!AJ143/_NbechAn1),H151)</f>
        <v>8.3333333333333339E-4</v>
      </c>
      <c r="I152" s="28">
        <f>IF('TAM Projet 1'!AM143&gt;0,'TAM Projet 1'!AM143,IF('TAM Projet 1'!AL143&gt;0,IF(AND(_EchFIXE1,H152&gt;0),ROUND(('TAM Projet 1'!AT143-'TAM Projet 1'!AK143)*H152/(1-((1+H152)^-'TAM Projet 1'!AL143)),_NbDeci1),ROUND('TAM Projet 1'!AT143/'TAM Projet 1'!AL143,_NbDeci1)),I151))</f>
        <v>187406.04</v>
      </c>
      <c r="J152" s="10"/>
      <c r="K152" s="10"/>
      <c r="L152" s="10"/>
      <c r="M152" s="10"/>
      <c r="O152" s="186">
        <v>150</v>
      </c>
    </row>
    <row r="153" spans="1:15" x14ac:dyDescent="0.2">
      <c r="A153" s="29">
        <f>IF('TAM Projet 1'!T144&gt;0,IF(_TauxActuariel,(('TAM Projet 1'!T144+1)^(1/_NbEchAn))-1,'TAM Projet 1'!T144/_NbEchAn),A152)</f>
        <v>1.5499999999999999E-3</v>
      </c>
      <c r="B153" s="28">
        <f>IF('TAM Projet 1'!W144&gt;0,'TAM Projet 1'!W144,IF('TAM Projet 1'!V144&gt;0,IF(AND(_EchFIXE,A153&gt;0),ROUND(('TAM Projet 1'!AD144-'TAM Projet 1'!U144)*A153/(1-((1+A153)^-'TAM Projet 1'!V144)),_NbDeci),ROUND('TAM Projet 1'!AD144/'TAM Projet 1'!V144,_NbDeci)),B152))</f>
        <v>768.98</v>
      </c>
      <c r="C153" s="10"/>
      <c r="D153" s="10"/>
      <c r="E153" s="10"/>
      <c r="F153" s="10"/>
      <c r="H153" s="29">
        <f>IF('TAM Projet 1'!AJ144&gt;0,IF(_TauxActuariel1,(('TAM Projet 1'!AJ144+1)^(1/_NbechAn1))-1,'TAM Projet 1'!AJ144/_NbechAn1),H152)</f>
        <v>8.3333333333333339E-4</v>
      </c>
      <c r="I153" s="28">
        <f>IF('TAM Projet 1'!AM144&gt;0,'TAM Projet 1'!AM144,IF('TAM Projet 1'!AL144&gt;0,IF(AND(_EchFIXE1,H153&gt;0),ROUND(('TAM Projet 1'!AT144-'TAM Projet 1'!AK144)*H153/(1-((1+H153)^-'TAM Projet 1'!AL144)),_NbDeci1),ROUND('TAM Projet 1'!AT144/'TAM Projet 1'!AL144,_NbDeci1)),I152))</f>
        <v>187406.04</v>
      </c>
      <c r="J153" s="10"/>
      <c r="K153" s="10"/>
      <c r="L153" s="10"/>
      <c r="M153" s="10"/>
      <c r="O153" s="186">
        <v>151</v>
      </c>
    </row>
    <row r="154" spans="1:15" x14ac:dyDescent="0.2">
      <c r="A154" s="29">
        <f>IF('TAM Projet 1'!T145&gt;0,IF(_TauxActuariel,(('TAM Projet 1'!T145+1)^(1/_NbEchAn))-1,'TAM Projet 1'!T145/_NbEchAn),A153)</f>
        <v>1.5499999999999999E-3</v>
      </c>
      <c r="B154" s="28">
        <f>IF('TAM Projet 1'!W145&gt;0,'TAM Projet 1'!W145,IF('TAM Projet 1'!V145&gt;0,IF(AND(_EchFIXE,A154&gt;0),ROUND(('TAM Projet 1'!AD145-'TAM Projet 1'!U145)*A154/(1-((1+A154)^-'TAM Projet 1'!V145)),_NbDeci),ROUND('TAM Projet 1'!AD145/'TAM Projet 1'!V145,_NbDeci)),B153))</f>
        <v>768.98</v>
      </c>
      <c r="C154" s="10"/>
      <c r="D154" s="10"/>
      <c r="E154" s="10"/>
      <c r="F154" s="10"/>
      <c r="H154" s="29">
        <f>IF('TAM Projet 1'!AJ145&gt;0,IF(_TauxActuariel1,(('TAM Projet 1'!AJ145+1)^(1/_NbechAn1))-1,'TAM Projet 1'!AJ145/_NbechAn1),H153)</f>
        <v>8.3333333333333339E-4</v>
      </c>
      <c r="I154" s="28">
        <f>IF('TAM Projet 1'!AM145&gt;0,'TAM Projet 1'!AM145,IF('TAM Projet 1'!AL145&gt;0,IF(AND(_EchFIXE1,H154&gt;0),ROUND(('TAM Projet 1'!AT145-'TAM Projet 1'!AK145)*H154/(1-((1+H154)^-'TAM Projet 1'!AL145)),_NbDeci1),ROUND('TAM Projet 1'!AT145/'TAM Projet 1'!AL145,_NbDeci1)),I153))</f>
        <v>187406.04</v>
      </c>
      <c r="J154" s="10"/>
      <c r="K154" s="10"/>
      <c r="L154" s="10"/>
      <c r="M154" s="10"/>
      <c r="O154" s="186">
        <v>152</v>
      </c>
    </row>
    <row r="155" spans="1:15" x14ac:dyDescent="0.2">
      <c r="A155" s="29">
        <f>IF('TAM Projet 1'!T146&gt;0,IF(_TauxActuariel,(('TAM Projet 1'!T146+1)^(1/_NbEchAn))-1,'TAM Projet 1'!T146/_NbEchAn),A154)</f>
        <v>1.5499999999999999E-3</v>
      </c>
      <c r="B155" s="28">
        <f>IF('TAM Projet 1'!W146&gt;0,'TAM Projet 1'!W146,IF('TAM Projet 1'!V146&gt;0,IF(AND(_EchFIXE,A155&gt;0),ROUND(('TAM Projet 1'!AD146-'TAM Projet 1'!U146)*A155/(1-((1+A155)^-'TAM Projet 1'!V146)),_NbDeci),ROUND('TAM Projet 1'!AD146/'TAM Projet 1'!V146,_NbDeci)),B154))</f>
        <v>768.98</v>
      </c>
      <c r="C155" s="10"/>
      <c r="D155" s="10"/>
      <c r="E155" s="10"/>
      <c r="F155" s="10"/>
      <c r="H155" s="29">
        <f>IF('TAM Projet 1'!AJ146&gt;0,IF(_TauxActuariel1,(('TAM Projet 1'!AJ146+1)^(1/_NbechAn1))-1,'TAM Projet 1'!AJ146/_NbechAn1),H154)</f>
        <v>8.3333333333333339E-4</v>
      </c>
      <c r="I155" s="28">
        <f>IF('TAM Projet 1'!AM146&gt;0,'TAM Projet 1'!AM146,IF('TAM Projet 1'!AL146&gt;0,IF(AND(_EchFIXE1,H155&gt;0),ROUND(('TAM Projet 1'!AT146-'TAM Projet 1'!AK146)*H155/(1-((1+H155)^-'TAM Projet 1'!AL146)),_NbDeci1),ROUND('TAM Projet 1'!AT146/'TAM Projet 1'!AL146,_NbDeci1)),I154))</f>
        <v>187406.04</v>
      </c>
      <c r="J155" s="10"/>
      <c r="K155" s="10"/>
      <c r="L155" s="10"/>
      <c r="M155" s="10"/>
      <c r="O155" s="186">
        <v>153</v>
      </c>
    </row>
    <row r="156" spans="1:15" x14ac:dyDescent="0.2">
      <c r="A156" s="29">
        <f>IF('TAM Projet 1'!T147&gt;0,IF(_TauxActuariel,(('TAM Projet 1'!T147+1)^(1/_NbEchAn))-1,'TAM Projet 1'!T147/_NbEchAn),A155)</f>
        <v>1.5499999999999999E-3</v>
      </c>
      <c r="B156" s="28">
        <f>IF('TAM Projet 1'!W147&gt;0,'TAM Projet 1'!W147,IF('TAM Projet 1'!V147&gt;0,IF(AND(_EchFIXE,A156&gt;0),ROUND(('TAM Projet 1'!AD147-'TAM Projet 1'!U147)*A156/(1-((1+A156)^-'TAM Projet 1'!V147)),_NbDeci),ROUND('TAM Projet 1'!AD147/'TAM Projet 1'!V147,_NbDeci)),B155))</f>
        <v>768.98</v>
      </c>
      <c r="C156" s="10"/>
      <c r="D156" s="10"/>
      <c r="E156" s="10"/>
      <c r="F156" s="10"/>
      <c r="H156" s="29">
        <f>IF('TAM Projet 1'!AJ147&gt;0,IF(_TauxActuariel1,(('TAM Projet 1'!AJ147+1)^(1/_NbechAn1))-1,'TAM Projet 1'!AJ147/_NbechAn1),H155)</f>
        <v>8.3333333333333339E-4</v>
      </c>
      <c r="I156" s="28">
        <f>IF('TAM Projet 1'!AM147&gt;0,'TAM Projet 1'!AM147,IF('TAM Projet 1'!AL147&gt;0,IF(AND(_EchFIXE1,H156&gt;0),ROUND(('TAM Projet 1'!AT147-'TAM Projet 1'!AK147)*H156/(1-((1+H156)^-'TAM Projet 1'!AL147)),_NbDeci1),ROUND('TAM Projet 1'!AT147/'TAM Projet 1'!AL147,_NbDeci1)),I155))</f>
        <v>187406.04</v>
      </c>
      <c r="J156" s="10"/>
      <c r="K156" s="10"/>
      <c r="L156" s="10"/>
      <c r="M156" s="10"/>
      <c r="O156" s="186">
        <v>154</v>
      </c>
    </row>
    <row r="157" spans="1:15" x14ac:dyDescent="0.2">
      <c r="A157" s="29">
        <f>IF('TAM Projet 1'!T148&gt;0,IF(_TauxActuariel,(('TAM Projet 1'!T148+1)^(1/_NbEchAn))-1,'TAM Projet 1'!T148/_NbEchAn),A156)</f>
        <v>1.5499999999999999E-3</v>
      </c>
      <c r="B157" s="28">
        <f>IF('TAM Projet 1'!W148&gt;0,'TAM Projet 1'!W148,IF('TAM Projet 1'!V148&gt;0,IF(AND(_EchFIXE,A157&gt;0),ROUND(('TAM Projet 1'!AD148-'TAM Projet 1'!U148)*A157/(1-((1+A157)^-'TAM Projet 1'!V148)),_NbDeci),ROUND('TAM Projet 1'!AD148/'TAM Projet 1'!V148,_NbDeci)),B156))</f>
        <v>768.98</v>
      </c>
      <c r="C157" s="10"/>
      <c r="D157" s="10"/>
      <c r="E157" s="10"/>
      <c r="F157" s="10"/>
      <c r="H157" s="29">
        <f>IF('TAM Projet 1'!AJ148&gt;0,IF(_TauxActuariel1,(('TAM Projet 1'!AJ148+1)^(1/_NbechAn1))-1,'TAM Projet 1'!AJ148/_NbechAn1),H156)</f>
        <v>8.3333333333333339E-4</v>
      </c>
      <c r="I157" s="28">
        <f>IF('TAM Projet 1'!AM148&gt;0,'TAM Projet 1'!AM148,IF('TAM Projet 1'!AL148&gt;0,IF(AND(_EchFIXE1,H157&gt;0),ROUND(('TAM Projet 1'!AT148-'TAM Projet 1'!AK148)*H157/(1-((1+H157)^-'TAM Projet 1'!AL148)),_NbDeci1),ROUND('TAM Projet 1'!AT148/'TAM Projet 1'!AL148,_NbDeci1)),I156))</f>
        <v>187406.04</v>
      </c>
      <c r="J157" s="10"/>
      <c r="K157" s="10"/>
      <c r="L157" s="10"/>
      <c r="M157" s="10"/>
      <c r="O157" s="186">
        <v>155</v>
      </c>
    </row>
    <row r="158" spans="1:15" x14ac:dyDescent="0.2">
      <c r="A158" s="29">
        <f>IF('TAM Projet 1'!T149&gt;0,IF(_TauxActuariel,(('TAM Projet 1'!T149+1)^(1/_NbEchAn))-1,'TAM Projet 1'!T149/_NbEchAn),A157)</f>
        <v>1.5499999999999999E-3</v>
      </c>
      <c r="B158" s="28">
        <f>IF('TAM Projet 1'!W149&gt;0,'TAM Projet 1'!W149,IF('TAM Projet 1'!V149&gt;0,IF(AND(_EchFIXE,A158&gt;0),ROUND(('TAM Projet 1'!AD149-'TAM Projet 1'!U149)*A158/(1-((1+A158)^-'TAM Projet 1'!V149)),_NbDeci),ROUND('TAM Projet 1'!AD149/'TAM Projet 1'!V149,_NbDeci)),B157))</f>
        <v>768.98</v>
      </c>
      <c r="C158" s="10"/>
      <c r="D158" s="10"/>
      <c r="E158" s="10"/>
      <c r="F158" s="10"/>
      <c r="H158" s="29">
        <f>IF('TAM Projet 1'!AJ149&gt;0,IF(_TauxActuariel1,(('TAM Projet 1'!AJ149+1)^(1/_NbechAn1))-1,'TAM Projet 1'!AJ149/_NbechAn1),H157)</f>
        <v>8.3333333333333339E-4</v>
      </c>
      <c r="I158" s="28">
        <f>IF('TAM Projet 1'!AM149&gt;0,'TAM Projet 1'!AM149,IF('TAM Projet 1'!AL149&gt;0,IF(AND(_EchFIXE1,H158&gt;0),ROUND(('TAM Projet 1'!AT149-'TAM Projet 1'!AK149)*H158/(1-((1+H158)^-'TAM Projet 1'!AL149)),_NbDeci1),ROUND('TAM Projet 1'!AT149/'TAM Projet 1'!AL149,_NbDeci1)),I157))</f>
        <v>187406.04</v>
      </c>
      <c r="J158" s="10"/>
      <c r="K158" s="10"/>
      <c r="L158" s="10"/>
      <c r="M158" s="10"/>
      <c r="O158" s="186">
        <v>156</v>
      </c>
    </row>
    <row r="159" spans="1:15" x14ac:dyDescent="0.2">
      <c r="A159" s="29">
        <f>IF('TAM Projet 1'!T150&gt;0,IF(_TauxActuariel,(('TAM Projet 1'!T150+1)^(1/_NbEchAn))-1,'TAM Projet 1'!T150/_NbEchAn),A158)</f>
        <v>1.5499999999999999E-3</v>
      </c>
      <c r="B159" s="28">
        <f>IF('TAM Projet 1'!W150&gt;0,'TAM Projet 1'!W150,IF('TAM Projet 1'!V150&gt;0,IF(AND(_EchFIXE,A159&gt;0),ROUND(('TAM Projet 1'!AD150-'TAM Projet 1'!U150)*A159/(1-((1+A159)^-'TAM Projet 1'!V150)),_NbDeci),ROUND('TAM Projet 1'!AD150/'TAM Projet 1'!V150,_NbDeci)),B158))</f>
        <v>768.98</v>
      </c>
      <c r="C159" s="10"/>
      <c r="D159" s="10"/>
      <c r="E159" s="10"/>
      <c r="F159" s="10"/>
      <c r="H159" s="29">
        <f>IF('TAM Projet 1'!AJ150&gt;0,IF(_TauxActuariel1,(('TAM Projet 1'!AJ150+1)^(1/_NbechAn1))-1,'TAM Projet 1'!AJ150/_NbechAn1),H158)</f>
        <v>8.3333333333333339E-4</v>
      </c>
      <c r="I159" s="28">
        <f>IF('TAM Projet 1'!AM150&gt;0,'TAM Projet 1'!AM150,IF('TAM Projet 1'!AL150&gt;0,IF(AND(_EchFIXE1,H159&gt;0),ROUND(('TAM Projet 1'!AT150-'TAM Projet 1'!AK150)*H159/(1-((1+H159)^-'TAM Projet 1'!AL150)),_NbDeci1),ROUND('TAM Projet 1'!AT150/'TAM Projet 1'!AL150,_NbDeci1)),I158))</f>
        <v>187406.04</v>
      </c>
      <c r="J159" s="10"/>
      <c r="K159" s="10"/>
      <c r="L159" s="10"/>
      <c r="M159" s="10"/>
      <c r="O159" s="186">
        <v>157</v>
      </c>
    </row>
    <row r="160" spans="1:15" x14ac:dyDescent="0.2">
      <c r="A160" s="29">
        <f>IF('TAM Projet 1'!T151&gt;0,IF(_TauxActuariel,(('TAM Projet 1'!T151+1)^(1/_NbEchAn))-1,'TAM Projet 1'!T151/_NbEchAn),A159)</f>
        <v>1.5499999999999999E-3</v>
      </c>
      <c r="B160" s="28">
        <f>IF('TAM Projet 1'!W151&gt;0,'TAM Projet 1'!W151,IF('TAM Projet 1'!V151&gt;0,IF(AND(_EchFIXE,A160&gt;0),ROUND(('TAM Projet 1'!AD151-'TAM Projet 1'!U151)*A160/(1-((1+A160)^-'TAM Projet 1'!V151)),_NbDeci),ROUND('TAM Projet 1'!AD151/'TAM Projet 1'!V151,_NbDeci)),B159))</f>
        <v>768.98</v>
      </c>
      <c r="C160" s="10"/>
      <c r="D160" s="10"/>
      <c r="E160" s="10"/>
      <c r="F160" s="10"/>
      <c r="H160" s="29">
        <f>IF('TAM Projet 1'!AJ151&gt;0,IF(_TauxActuariel1,(('TAM Projet 1'!AJ151+1)^(1/_NbechAn1))-1,'TAM Projet 1'!AJ151/_NbechAn1),H159)</f>
        <v>8.3333333333333339E-4</v>
      </c>
      <c r="I160" s="28">
        <f>IF('TAM Projet 1'!AM151&gt;0,'TAM Projet 1'!AM151,IF('TAM Projet 1'!AL151&gt;0,IF(AND(_EchFIXE1,H160&gt;0),ROUND(('TAM Projet 1'!AT151-'TAM Projet 1'!AK151)*H160/(1-((1+H160)^-'TAM Projet 1'!AL151)),_NbDeci1),ROUND('TAM Projet 1'!AT151/'TAM Projet 1'!AL151,_NbDeci1)),I159))</f>
        <v>187406.04</v>
      </c>
      <c r="J160" s="10"/>
      <c r="K160" s="10"/>
      <c r="L160" s="10"/>
      <c r="M160" s="10"/>
      <c r="O160" s="186">
        <v>158</v>
      </c>
    </row>
    <row r="161" spans="1:15" x14ac:dyDescent="0.2">
      <c r="A161" s="29">
        <f>IF('TAM Projet 1'!T152&gt;0,IF(_TauxActuariel,(('TAM Projet 1'!T152+1)^(1/_NbEchAn))-1,'TAM Projet 1'!T152/_NbEchAn),A160)</f>
        <v>1.5499999999999999E-3</v>
      </c>
      <c r="B161" s="28">
        <f>IF('TAM Projet 1'!W152&gt;0,'TAM Projet 1'!W152,IF('TAM Projet 1'!V152&gt;0,IF(AND(_EchFIXE,A161&gt;0),ROUND(('TAM Projet 1'!AD152-'TAM Projet 1'!U152)*A161/(1-((1+A161)^-'TAM Projet 1'!V152)),_NbDeci),ROUND('TAM Projet 1'!AD152/'TAM Projet 1'!V152,_NbDeci)),B160))</f>
        <v>768.98</v>
      </c>
      <c r="C161" s="10"/>
      <c r="D161" s="10"/>
      <c r="E161" s="10"/>
      <c r="F161" s="10"/>
      <c r="H161" s="29">
        <f>IF('TAM Projet 1'!AJ152&gt;0,IF(_TauxActuariel1,(('TAM Projet 1'!AJ152+1)^(1/_NbechAn1))-1,'TAM Projet 1'!AJ152/_NbechAn1),H160)</f>
        <v>8.3333333333333339E-4</v>
      </c>
      <c r="I161" s="28">
        <f>IF('TAM Projet 1'!AM152&gt;0,'TAM Projet 1'!AM152,IF('TAM Projet 1'!AL152&gt;0,IF(AND(_EchFIXE1,H161&gt;0),ROUND(('TAM Projet 1'!AT152-'TAM Projet 1'!AK152)*H161/(1-((1+H161)^-'TAM Projet 1'!AL152)),_NbDeci1),ROUND('TAM Projet 1'!AT152/'TAM Projet 1'!AL152,_NbDeci1)),I160))</f>
        <v>187406.04</v>
      </c>
      <c r="J161" s="10"/>
      <c r="K161" s="10"/>
      <c r="L161" s="10"/>
      <c r="M161" s="10"/>
      <c r="O161" s="186">
        <v>159</v>
      </c>
    </row>
    <row r="162" spans="1:15" x14ac:dyDescent="0.2">
      <c r="A162" s="29">
        <f>IF('TAM Projet 1'!T153&gt;0,IF(_TauxActuariel,(('TAM Projet 1'!T153+1)^(1/_NbEchAn))-1,'TAM Projet 1'!T153/_NbEchAn),A161)</f>
        <v>1.5499999999999999E-3</v>
      </c>
      <c r="B162" s="28">
        <f>IF('TAM Projet 1'!W153&gt;0,'TAM Projet 1'!W153,IF('TAM Projet 1'!V153&gt;0,IF(AND(_EchFIXE,A162&gt;0),ROUND(('TAM Projet 1'!AD153-'TAM Projet 1'!U153)*A162/(1-((1+A162)^-'TAM Projet 1'!V153)),_NbDeci),ROUND('TAM Projet 1'!AD153/'TAM Projet 1'!V153,_NbDeci)),B161))</f>
        <v>768.98</v>
      </c>
      <c r="C162" s="10"/>
      <c r="D162" s="10"/>
      <c r="E162" s="10"/>
      <c r="F162" s="10"/>
      <c r="H162" s="29">
        <f>IF('TAM Projet 1'!AJ153&gt;0,IF(_TauxActuariel1,(('TAM Projet 1'!AJ153+1)^(1/_NbechAn1))-1,'TAM Projet 1'!AJ153/_NbechAn1),H161)</f>
        <v>8.3333333333333339E-4</v>
      </c>
      <c r="I162" s="28">
        <f>IF('TAM Projet 1'!AM153&gt;0,'TAM Projet 1'!AM153,IF('TAM Projet 1'!AL153&gt;0,IF(AND(_EchFIXE1,H162&gt;0),ROUND(('TAM Projet 1'!AT153-'TAM Projet 1'!AK153)*H162/(1-((1+H162)^-'TAM Projet 1'!AL153)),_NbDeci1),ROUND('TAM Projet 1'!AT153/'TAM Projet 1'!AL153,_NbDeci1)),I161))</f>
        <v>187406.04</v>
      </c>
      <c r="J162" s="10"/>
      <c r="K162" s="10"/>
      <c r="L162" s="10"/>
      <c r="M162" s="10"/>
      <c r="O162" s="186">
        <v>160</v>
      </c>
    </row>
    <row r="163" spans="1:15" x14ac:dyDescent="0.2">
      <c r="A163" s="29">
        <f>IF('TAM Projet 1'!T154&gt;0,IF(_TauxActuariel,(('TAM Projet 1'!T154+1)^(1/_NbEchAn))-1,'TAM Projet 1'!T154/_NbEchAn),A162)</f>
        <v>1.5499999999999999E-3</v>
      </c>
      <c r="B163" s="28">
        <f>IF('TAM Projet 1'!W154&gt;0,'TAM Projet 1'!W154,IF('TAM Projet 1'!V154&gt;0,IF(AND(_EchFIXE,A163&gt;0),ROUND(('TAM Projet 1'!AD154-'TAM Projet 1'!U154)*A163/(1-((1+A163)^-'TAM Projet 1'!V154)),_NbDeci),ROUND('TAM Projet 1'!AD154/'TAM Projet 1'!V154,_NbDeci)),B162))</f>
        <v>768.98</v>
      </c>
      <c r="C163" s="10"/>
      <c r="D163" s="10"/>
      <c r="E163" s="10"/>
      <c r="F163" s="10"/>
      <c r="H163" s="29">
        <f>IF('TAM Projet 1'!AJ154&gt;0,IF(_TauxActuariel1,(('TAM Projet 1'!AJ154+1)^(1/_NbechAn1))-1,'TAM Projet 1'!AJ154/_NbechAn1),H162)</f>
        <v>8.3333333333333339E-4</v>
      </c>
      <c r="I163" s="28">
        <f>IF('TAM Projet 1'!AM154&gt;0,'TAM Projet 1'!AM154,IF('TAM Projet 1'!AL154&gt;0,IF(AND(_EchFIXE1,H163&gt;0),ROUND(('TAM Projet 1'!AT154-'TAM Projet 1'!AK154)*H163/(1-((1+H163)^-'TAM Projet 1'!AL154)),_NbDeci1),ROUND('TAM Projet 1'!AT154/'TAM Projet 1'!AL154,_NbDeci1)),I162))</f>
        <v>187406.04</v>
      </c>
      <c r="J163" s="10"/>
      <c r="K163" s="10"/>
      <c r="L163" s="10"/>
      <c r="M163" s="10"/>
      <c r="O163" s="186">
        <v>161</v>
      </c>
    </row>
    <row r="164" spans="1:15" x14ac:dyDescent="0.2">
      <c r="A164" s="29">
        <f>IF('TAM Projet 1'!T155&gt;0,IF(_TauxActuariel,(('TAM Projet 1'!T155+1)^(1/_NbEchAn))-1,'TAM Projet 1'!T155/_NbEchAn),A163)</f>
        <v>1.5499999999999999E-3</v>
      </c>
      <c r="B164" s="28">
        <f>IF('TAM Projet 1'!W155&gt;0,'TAM Projet 1'!W155,IF('TAM Projet 1'!V155&gt;0,IF(AND(_EchFIXE,A164&gt;0),ROUND(('TAM Projet 1'!AD155-'TAM Projet 1'!U155)*A164/(1-((1+A164)^-'TAM Projet 1'!V155)),_NbDeci),ROUND('TAM Projet 1'!AD155/'TAM Projet 1'!V155,_NbDeci)),B163))</f>
        <v>768.98</v>
      </c>
      <c r="C164" s="10"/>
      <c r="D164" s="10"/>
      <c r="E164" s="10"/>
      <c r="F164" s="10"/>
      <c r="H164" s="29">
        <f>IF('TAM Projet 1'!AJ155&gt;0,IF(_TauxActuariel1,(('TAM Projet 1'!AJ155+1)^(1/_NbechAn1))-1,'TAM Projet 1'!AJ155/_NbechAn1),H163)</f>
        <v>8.3333333333333339E-4</v>
      </c>
      <c r="I164" s="28">
        <f>IF('TAM Projet 1'!AM155&gt;0,'TAM Projet 1'!AM155,IF('TAM Projet 1'!AL155&gt;0,IF(AND(_EchFIXE1,H164&gt;0),ROUND(('TAM Projet 1'!AT155-'TAM Projet 1'!AK155)*H164/(1-((1+H164)^-'TAM Projet 1'!AL155)),_NbDeci1),ROUND('TAM Projet 1'!AT155/'TAM Projet 1'!AL155,_NbDeci1)),I163))</f>
        <v>187406.04</v>
      </c>
      <c r="J164" s="10"/>
      <c r="K164" s="10"/>
      <c r="L164" s="10"/>
      <c r="M164" s="10"/>
      <c r="O164" s="186">
        <v>162</v>
      </c>
    </row>
    <row r="165" spans="1:15" x14ac:dyDescent="0.2">
      <c r="A165" s="29">
        <f>IF('TAM Projet 1'!T156&gt;0,IF(_TauxActuariel,(('TAM Projet 1'!T156+1)^(1/_NbEchAn))-1,'TAM Projet 1'!T156/_NbEchAn),A164)</f>
        <v>1.5499999999999999E-3</v>
      </c>
      <c r="B165" s="28">
        <f>IF('TAM Projet 1'!W156&gt;0,'TAM Projet 1'!W156,IF('TAM Projet 1'!V156&gt;0,IF(AND(_EchFIXE,A165&gt;0),ROUND(('TAM Projet 1'!AD156-'TAM Projet 1'!U156)*A165/(1-((1+A165)^-'TAM Projet 1'!V156)),_NbDeci),ROUND('TAM Projet 1'!AD156/'TAM Projet 1'!V156,_NbDeci)),B164))</f>
        <v>768.98</v>
      </c>
      <c r="C165" s="10"/>
      <c r="D165" s="10"/>
      <c r="E165" s="10"/>
      <c r="F165" s="10"/>
      <c r="H165" s="29">
        <f>IF('TAM Projet 1'!AJ156&gt;0,IF(_TauxActuariel1,(('TAM Projet 1'!AJ156+1)^(1/_NbechAn1))-1,'TAM Projet 1'!AJ156/_NbechAn1),H164)</f>
        <v>8.3333333333333339E-4</v>
      </c>
      <c r="I165" s="28">
        <f>IF('TAM Projet 1'!AM156&gt;0,'TAM Projet 1'!AM156,IF('TAM Projet 1'!AL156&gt;0,IF(AND(_EchFIXE1,H165&gt;0),ROUND(('TAM Projet 1'!AT156-'TAM Projet 1'!AK156)*H165/(1-((1+H165)^-'TAM Projet 1'!AL156)),_NbDeci1),ROUND('TAM Projet 1'!AT156/'TAM Projet 1'!AL156,_NbDeci1)),I164))</f>
        <v>187406.04</v>
      </c>
      <c r="J165" s="10"/>
      <c r="K165" s="10"/>
      <c r="L165" s="10"/>
      <c r="M165" s="10"/>
      <c r="O165" s="186">
        <v>163</v>
      </c>
    </row>
    <row r="166" spans="1:15" x14ac:dyDescent="0.2">
      <c r="A166" s="29">
        <f>IF('TAM Projet 1'!T157&gt;0,IF(_TauxActuariel,(('TAM Projet 1'!T157+1)^(1/_NbEchAn))-1,'TAM Projet 1'!T157/_NbEchAn),A165)</f>
        <v>1.5499999999999999E-3</v>
      </c>
      <c r="B166" s="28">
        <f>IF('TAM Projet 1'!W157&gt;0,'TAM Projet 1'!W157,IF('TAM Projet 1'!V157&gt;0,IF(AND(_EchFIXE,A166&gt;0),ROUND(('TAM Projet 1'!AD157-'TAM Projet 1'!U157)*A166/(1-((1+A166)^-'TAM Projet 1'!V157)),_NbDeci),ROUND('TAM Projet 1'!AD157/'TAM Projet 1'!V157,_NbDeci)),B165))</f>
        <v>768.98</v>
      </c>
      <c r="C166" s="10"/>
      <c r="D166" s="10"/>
      <c r="E166" s="10"/>
      <c r="F166" s="10"/>
      <c r="H166" s="29">
        <f>IF('TAM Projet 1'!AJ157&gt;0,IF(_TauxActuariel1,(('TAM Projet 1'!AJ157+1)^(1/_NbechAn1))-1,'TAM Projet 1'!AJ157/_NbechAn1),H165)</f>
        <v>8.3333333333333339E-4</v>
      </c>
      <c r="I166" s="28">
        <f>IF('TAM Projet 1'!AM157&gt;0,'TAM Projet 1'!AM157,IF('TAM Projet 1'!AL157&gt;0,IF(AND(_EchFIXE1,H166&gt;0),ROUND(('TAM Projet 1'!AT157-'TAM Projet 1'!AK157)*H166/(1-((1+H166)^-'TAM Projet 1'!AL157)),_NbDeci1),ROUND('TAM Projet 1'!AT157/'TAM Projet 1'!AL157,_NbDeci1)),I165))</f>
        <v>187406.04</v>
      </c>
      <c r="J166" s="10"/>
      <c r="K166" s="10"/>
      <c r="L166" s="10"/>
      <c r="M166" s="10"/>
      <c r="O166" s="186">
        <v>164</v>
      </c>
    </row>
    <row r="167" spans="1:15" x14ac:dyDescent="0.2">
      <c r="A167" s="29">
        <f>IF('TAM Projet 1'!T158&gt;0,IF(_TauxActuariel,(('TAM Projet 1'!T158+1)^(1/_NbEchAn))-1,'TAM Projet 1'!T158/_NbEchAn),A166)</f>
        <v>1.5499999999999999E-3</v>
      </c>
      <c r="B167" s="28">
        <f>IF('TAM Projet 1'!W158&gt;0,'TAM Projet 1'!W158,IF('TAM Projet 1'!V158&gt;0,IF(AND(_EchFIXE,A167&gt;0),ROUND(('TAM Projet 1'!AD158-'TAM Projet 1'!U158)*A167/(1-((1+A167)^-'TAM Projet 1'!V158)),_NbDeci),ROUND('TAM Projet 1'!AD158/'TAM Projet 1'!V158,_NbDeci)),B166))</f>
        <v>768.98</v>
      </c>
      <c r="C167" s="10"/>
      <c r="D167" s="10"/>
      <c r="E167" s="10"/>
      <c r="F167" s="10"/>
      <c r="H167" s="29">
        <f>IF('TAM Projet 1'!AJ158&gt;0,IF(_TauxActuariel1,(('TAM Projet 1'!AJ158+1)^(1/_NbechAn1))-1,'TAM Projet 1'!AJ158/_NbechAn1),H166)</f>
        <v>8.3333333333333339E-4</v>
      </c>
      <c r="I167" s="28">
        <f>IF('TAM Projet 1'!AM158&gt;0,'TAM Projet 1'!AM158,IF('TAM Projet 1'!AL158&gt;0,IF(AND(_EchFIXE1,H167&gt;0),ROUND(('TAM Projet 1'!AT158-'TAM Projet 1'!AK158)*H167/(1-((1+H167)^-'TAM Projet 1'!AL158)),_NbDeci1),ROUND('TAM Projet 1'!AT158/'TAM Projet 1'!AL158,_NbDeci1)),I166))</f>
        <v>187406.04</v>
      </c>
      <c r="J167" s="10"/>
      <c r="K167" s="10"/>
      <c r="L167" s="10"/>
      <c r="M167" s="10"/>
      <c r="O167" s="186">
        <v>165</v>
      </c>
    </row>
    <row r="168" spans="1:15" x14ac:dyDescent="0.2">
      <c r="A168" s="29">
        <f>IF('TAM Projet 1'!T159&gt;0,IF(_TauxActuariel,(('TAM Projet 1'!T159+1)^(1/_NbEchAn))-1,'TAM Projet 1'!T159/_NbEchAn),A167)</f>
        <v>1.5499999999999999E-3</v>
      </c>
      <c r="B168" s="28">
        <f>IF('TAM Projet 1'!W159&gt;0,'TAM Projet 1'!W159,IF('TAM Projet 1'!V159&gt;0,IF(AND(_EchFIXE,A168&gt;0),ROUND(('TAM Projet 1'!AD159-'TAM Projet 1'!U159)*A168/(1-((1+A168)^-'TAM Projet 1'!V159)),_NbDeci),ROUND('TAM Projet 1'!AD159/'TAM Projet 1'!V159,_NbDeci)),B167))</f>
        <v>768.98</v>
      </c>
      <c r="C168" s="10"/>
      <c r="D168" s="10"/>
      <c r="E168" s="10"/>
      <c r="F168" s="10"/>
      <c r="H168" s="29">
        <f>IF('TAM Projet 1'!AJ159&gt;0,IF(_TauxActuariel1,(('TAM Projet 1'!AJ159+1)^(1/_NbechAn1))-1,'TAM Projet 1'!AJ159/_NbechAn1),H167)</f>
        <v>8.3333333333333339E-4</v>
      </c>
      <c r="I168" s="28">
        <f>IF('TAM Projet 1'!AM159&gt;0,'TAM Projet 1'!AM159,IF('TAM Projet 1'!AL159&gt;0,IF(AND(_EchFIXE1,H168&gt;0),ROUND(('TAM Projet 1'!AT159-'TAM Projet 1'!AK159)*H168/(1-((1+H168)^-'TAM Projet 1'!AL159)),_NbDeci1),ROUND('TAM Projet 1'!AT159/'TAM Projet 1'!AL159,_NbDeci1)),I167))</f>
        <v>187406.04</v>
      </c>
      <c r="J168" s="10"/>
      <c r="K168" s="10"/>
      <c r="L168" s="10"/>
      <c r="M168" s="10"/>
      <c r="O168" s="186">
        <v>166</v>
      </c>
    </row>
    <row r="169" spans="1:15" x14ac:dyDescent="0.2">
      <c r="A169" s="29">
        <f>IF('TAM Projet 1'!T160&gt;0,IF(_TauxActuariel,(('TAM Projet 1'!T160+1)^(1/_NbEchAn))-1,'TAM Projet 1'!T160/_NbEchAn),A168)</f>
        <v>1.5499999999999999E-3</v>
      </c>
      <c r="B169" s="28">
        <f>IF('TAM Projet 1'!W160&gt;0,'TAM Projet 1'!W160,IF('TAM Projet 1'!V160&gt;0,IF(AND(_EchFIXE,A169&gt;0),ROUND(('TAM Projet 1'!AD160-'TAM Projet 1'!U160)*A169/(1-((1+A169)^-'TAM Projet 1'!V160)),_NbDeci),ROUND('TAM Projet 1'!AD160/'TAM Projet 1'!V160,_NbDeci)),B168))</f>
        <v>768.98</v>
      </c>
      <c r="C169" s="10"/>
      <c r="D169" s="10"/>
      <c r="E169" s="10"/>
      <c r="F169" s="10"/>
      <c r="H169" s="29">
        <f>IF('TAM Projet 1'!AJ160&gt;0,IF(_TauxActuariel1,(('TAM Projet 1'!AJ160+1)^(1/_NbechAn1))-1,'TAM Projet 1'!AJ160/_NbechAn1),H168)</f>
        <v>8.3333333333333339E-4</v>
      </c>
      <c r="I169" s="28">
        <f>IF('TAM Projet 1'!AM160&gt;0,'TAM Projet 1'!AM160,IF('TAM Projet 1'!AL160&gt;0,IF(AND(_EchFIXE1,H169&gt;0),ROUND(('TAM Projet 1'!AT160-'TAM Projet 1'!AK160)*H169/(1-((1+H169)^-'TAM Projet 1'!AL160)),_NbDeci1),ROUND('TAM Projet 1'!AT160/'TAM Projet 1'!AL160,_NbDeci1)),I168))</f>
        <v>187406.04</v>
      </c>
      <c r="J169" s="10"/>
      <c r="K169" s="10"/>
      <c r="L169" s="10"/>
      <c r="M169" s="10"/>
      <c r="O169" s="186">
        <v>167</v>
      </c>
    </row>
    <row r="170" spans="1:15" x14ac:dyDescent="0.2">
      <c r="A170" s="29">
        <f>IF('TAM Projet 1'!T161&gt;0,IF(_TauxActuariel,(('TAM Projet 1'!T161+1)^(1/_NbEchAn))-1,'TAM Projet 1'!T161/_NbEchAn),A169)</f>
        <v>1.5499999999999999E-3</v>
      </c>
      <c r="B170" s="28">
        <f>IF('TAM Projet 1'!W161&gt;0,'TAM Projet 1'!W161,IF('TAM Projet 1'!V161&gt;0,IF(AND(_EchFIXE,A170&gt;0),ROUND(('TAM Projet 1'!AD161-'TAM Projet 1'!U161)*A170/(1-((1+A170)^-'TAM Projet 1'!V161)),_NbDeci),ROUND('TAM Projet 1'!AD161/'TAM Projet 1'!V161,_NbDeci)),B169))</f>
        <v>768.98</v>
      </c>
      <c r="C170" s="10"/>
      <c r="D170" s="10"/>
      <c r="E170" s="10"/>
      <c r="F170" s="10"/>
      <c r="H170" s="29">
        <f>IF('TAM Projet 1'!AJ161&gt;0,IF(_TauxActuariel1,(('TAM Projet 1'!AJ161+1)^(1/_NbechAn1))-1,'TAM Projet 1'!AJ161/_NbechAn1),H169)</f>
        <v>8.3333333333333339E-4</v>
      </c>
      <c r="I170" s="28">
        <f>IF('TAM Projet 1'!AM161&gt;0,'TAM Projet 1'!AM161,IF('TAM Projet 1'!AL161&gt;0,IF(AND(_EchFIXE1,H170&gt;0),ROUND(('TAM Projet 1'!AT161-'TAM Projet 1'!AK161)*H170/(1-((1+H170)^-'TAM Projet 1'!AL161)),_NbDeci1),ROUND('TAM Projet 1'!AT161/'TAM Projet 1'!AL161,_NbDeci1)),I169))</f>
        <v>187406.04</v>
      </c>
      <c r="J170" s="10"/>
      <c r="K170" s="10"/>
      <c r="L170" s="10"/>
      <c r="M170" s="10"/>
      <c r="O170" s="186">
        <v>168</v>
      </c>
    </row>
    <row r="171" spans="1:15" x14ac:dyDescent="0.2">
      <c r="A171" s="29">
        <f>IF('TAM Projet 1'!T162&gt;0,IF(_TauxActuariel,(('TAM Projet 1'!T162+1)^(1/_NbEchAn))-1,'TAM Projet 1'!T162/_NbEchAn),A170)</f>
        <v>1.5499999999999999E-3</v>
      </c>
      <c r="B171" s="28">
        <f>IF('TAM Projet 1'!W162&gt;0,'TAM Projet 1'!W162,IF('TAM Projet 1'!V162&gt;0,IF(AND(_EchFIXE,A171&gt;0),ROUND(('TAM Projet 1'!AD162-'TAM Projet 1'!U162)*A171/(1-((1+A171)^-'TAM Projet 1'!V162)),_NbDeci),ROUND('TAM Projet 1'!AD162/'TAM Projet 1'!V162,_NbDeci)),B170))</f>
        <v>768.98</v>
      </c>
      <c r="C171" s="10"/>
      <c r="D171" s="10"/>
      <c r="E171" s="10"/>
      <c r="F171" s="10"/>
      <c r="H171" s="29">
        <f>IF('TAM Projet 1'!AJ162&gt;0,IF(_TauxActuariel1,(('TAM Projet 1'!AJ162+1)^(1/_NbechAn1))-1,'TAM Projet 1'!AJ162/_NbechAn1),H170)</f>
        <v>8.3333333333333339E-4</v>
      </c>
      <c r="I171" s="28">
        <f>IF('TAM Projet 1'!AM162&gt;0,'TAM Projet 1'!AM162,IF('TAM Projet 1'!AL162&gt;0,IF(AND(_EchFIXE1,H171&gt;0),ROUND(('TAM Projet 1'!AT162-'TAM Projet 1'!AK162)*H171/(1-((1+H171)^-'TAM Projet 1'!AL162)),_NbDeci1),ROUND('TAM Projet 1'!AT162/'TAM Projet 1'!AL162,_NbDeci1)),I170))</f>
        <v>187406.04</v>
      </c>
      <c r="J171" s="10"/>
      <c r="K171" s="10"/>
      <c r="L171" s="10"/>
      <c r="M171" s="10"/>
      <c r="O171" s="186">
        <v>169</v>
      </c>
    </row>
    <row r="172" spans="1:15" x14ac:dyDescent="0.2">
      <c r="A172" s="29">
        <f>IF('TAM Projet 1'!T163&gt;0,IF(_TauxActuariel,(('TAM Projet 1'!T163+1)^(1/_NbEchAn))-1,'TAM Projet 1'!T163/_NbEchAn),A171)</f>
        <v>1.5499999999999999E-3</v>
      </c>
      <c r="B172" s="28">
        <f>IF('TAM Projet 1'!W163&gt;0,'TAM Projet 1'!W163,IF('TAM Projet 1'!V163&gt;0,IF(AND(_EchFIXE,A172&gt;0),ROUND(('TAM Projet 1'!AD163-'TAM Projet 1'!U163)*A172/(1-((1+A172)^-'TAM Projet 1'!V163)),_NbDeci),ROUND('TAM Projet 1'!AD163/'TAM Projet 1'!V163,_NbDeci)),B171))</f>
        <v>768.98</v>
      </c>
      <c r="C172" s="10"/>
      <c r="D172" s="10"/>
      <c r="E172" s="10"/>
      <c r="F172" s="10"/>
      <c r="H172" s="29">
        <f>IF('TAM Projet 1'!AJ163&gt;0,IF(_TauxActuariel1,(('TAM Projet 1'!AJ163+1)^(1/_NbechAn1))-1,'TAM Projet 1'!AJ163/_NbechAn1),H171)</f>
        <v>8.3333333333333339E-4</v>
      </c>
      <c r="I172" s="28">
        <f>IF('TAM Projet 1'!AM163&gt;0,'TAM Projet 1'!AM163,IF('TAM Projet 1'!AL163&gt;0,IF(AND(_EchFIXE1,H172&gt;0),ROUND(('TAM Projet 1'!AT163-'TAM Projet 1'!AK163)*H172/(1-((1+H172)^-'TAM Projet 1'!AL163)),_NbDeci1),ROUND('TAM Projet 1'!AT163/'TAM Projet 1'!AL163,_NbDeci1)),I171))</f>
        <v>187406.04</v>
      </c>
      <c r="J172" s="10"/>
      <c r="K172" s="10"/>
      <c r="L172" s="10"/>
      <c r="M172" s="10"/>
      <c r="O172" s="186">
        <v>170</v>
      </c>
    </row>
    <row r="173" spans="1:15" x14ac:dyDescent="0.2">
      <c r="A173" s="29">
        <f>IF('TAM Projet 1'!T164&gt;0,IF(_TauxActuariel,(('TAM Projet 1'!T164+1)^(1/_NbEchAn))-1,'TAM Projet 1'!T164/_NbEchAn),A172)</f>
        <v>1.5499999999999999E-3</v>
      </c>
      <c r="B173" s="28">
        <f>IF('TAM Projet 1'!W164&gt;0,'TAM Projet 1'!W164,IF('TAM Projet 1'!V164&gt;0,IF(AND(_EchFIXE,A173&gt;0),ROUND(('TAM Projet 1'!AD164-'TAM Projet 1'!U164)*A173/(1-((1+A173)^-'TAM Projet 1'!V164)),_NbDeci),ROUND('TAM Projet 1'!AD164/'TAM Projet 1'!V164,_NbDeci)),B172))</f>
        <v>768.98</v>
      </c>
      <c r="C173" s="10"/>
      <c r="D173" s="10"/>
      <c r="E173" s="10"/>
      <c r="F173" s="10"/>
      <c r="H173" s="29">
        <f>IF('TAM Projet 1'!AJ164&gt;0,IF(_TauxActuariel1,(('TAM Projet 1'!AJ164+1)^(1/_NbechAn1))-1,'TAM Projet 1'!AJ164/_NbechAn1),H172)</f>
        <v>8.3333333333333339E-4</v>
      </c>
      <c r="I173" s="28">
        <f>IF('TAM Projet 1'!AM164&gt;0,'TAM Projet 1'!AM164,IF('TAM Projet 1'!AL164&gt;0,IF(AND(_EchFIXE1,H173&gt;0),ROUND(('TAM Projet 1'!AT164-'TAM Projet 1'!AK164)*H173/(1-((1+H173)^-'TAM Projet 1'!AL164)),_NbDeci1),ROUND('TAM Projet 1'!AT164/'TAM Projet 1'!AL164,_NbDeci1)),I172))</f>
        <v>187406.04</v>
      </c>
      <c r="J173" s="10"/>
      <c r="K173" s="10"/>
      <c r="L173" s="10"/>
      <c r="M173" s="10"/>
      <c r="O173" s="186">
        <v>171</v>
      </c>
    </row>
    <row r="174" spans="1:15" x14ac:dyDescent="0.2">
      <c r="A174" s="29">
        <f>IF('TAM Projet 1'!T165&gt;0,IF(_TauxActuariel,(('TAM Projet 1'!T165+1)^(1/_NbEchAn))-1,'TAM Projet 1'!T165/_NbEchAn),A173)</f>
        <v>1.5499999999999999E-3</v>
      </c>
      <c r="B174" s="28">
        <f>IF('TAM Projet 1'!W165&gt;0,'TAM Projet 1'!W165,IF('TAM Projet 1'!V165&gt;0,IF(AND(_EchFIXE,A174&gt;0),ROUND(('TAM Projet 1'!AD165-'TAM Projet 1'!U165)*A174/(1-((1+A174)^-'TAM Projet 1'!V165)),_NbDeci),ROUND('TAM Projet 1'!AD165/'TAM Projet 1'!V165,_NbDeci)),B173))</f>
        <v>768.98</v>
      </c>
      <c r="C174" s="10"/>
      <c r="D174" s="10"/>
      <c r="E174" s="10"/>
      <c r="F174" s="10"/>
      <c r="H174" s="29">
        <f>IF('TAM Projet 1'!AJ165&gt;0,IF(_TauxActuariel1,(('TAM Projet 1'!AJ165+1)^(1/_NbechAn1))-1,'TAM Projet 1'!AJ165/_NbechAn1),H173)</f>
        <v>8.3333333333333339E-4</v>
      </c>
      <c r="I174" s="28">
        <f>IF('TAM Projet 1'!AM165&gt;0,'TAM Projet 1'!AM165,IF('TAM Projet 1'!AL165&gt;0,IF(AND(_EchFIXE1,H174&gt;0),ROUND(('TAM Projet 1'!AT165-'TAM Projet 1'!AK165)*H174/(1-((1+H174)^-'TAM Projet 1'!AL165)),_NbDeci1),ROUND('TAM Projet 1'!AT165/'TAM Projet 1'!AL165,_NbDeci1)),I173))</f>
        <v>187406.04</v>
      </c>
      <c r="J174" s="10"/>
      <c r="K174" s="10"/>
      <c r="L174" s="10"/>
      <c r="M174" s="10"/>
      <c r="O174" s="186">
        <v>172</v>
      </c>
    </row>
    <row r="175" spans="1:15" x14ac:dyDescent="0.2">
      <c r="A175" s="29">
        <f>IF('TAM Projet 1'!T166&gt;0,IF(_TauxActuariel,(('TAM Projet 1'!T166+1)^(1/_NbEchAn))-1,'TAM Projet 1'!T166/_NbEchAn),A174)</f>
        <v>1.5499999999999999E-3</v>
      </c>
      <c r="B175" s="28">
        <f>IF('TAM Projet 1'!W166&gt;0,'TAM Projet 1'!W166,IF('TAM Projet 1'!V166&gt;0,IF(AND(_EchFIXE,A175&gt;0),ROUND(('TAM Projet 1'!AD166-'TAM Projet 1'!U166)*A175/(1-((1+A175)^-'TAM Projet 1'!V166)),_NbDeci),ROUND('TAM Projet 1'!AD166/'TAM Projet 1'!V166,_NbDeci)),B174))</f>
        <v>768.98</v>
      </c>
      <c r="C175" s="10"/>
      <c r="D175" s="10"/>
      <c r="E175" s="10"/>
      <c r="F175" s="10"/>
      <c r="H175" s="29">
        <f>IF('TAM Projet 1'!AJ166&gt;0,IF(_TauxActuariel1,(('TAM Projet 1'!AJ166+1)^(1/_NbechAn1))-1,'TAM Projet 1'!AJ166/_NbechAn1),H174)</f>
        <v>8.3333333333333339E-4</v>
      </c>
      <c r="I175" s="28">
        <f>IF('TAM Projet 1'!AM166&gt;0,'TAM Projet 1'!AM166,IF('TAM Projet 1'!AL166&gt;0,IF(AND(_EchFIXE1,H175&gt;0),ROUND(('TAM Projet 1'!AT166-'TAM Projet 1'!AK166)*H175/(1-((1+H175)^-'TAM Projet 1'!AL166)),_NbDeci1),ROUND('TAM Projet 1'!AT166/'TAM Projet 1'!AL166,_NbDeci1)),I174))</f>
        <v>187406.04</v>
      </c>
      <c r="J175" s="10"/>
      <c r="K175" s="10"/>
      <c r="L175" s="10"/>
      <c r="M175" s="10"/>
      <c r="O175" s="186">
        <v>173</v>
      </c>
    </row>
    <row r="176" spans="1:15" x14ac:dyDescent="0.2">
      <c r="A176" s="29">
        <f>IF('TAM Projet 1'!T167&gt;0,IF(_TauxActuariel,(('TAM Projet 1'!T167+1)^(1/_NbEchAn))-1,'TAM Projet 1'!T167/_NbEchAn),A175)</f>
        <v>1.5499999999999999E-3</v>
      </c>
      <c r="B176" s="28">
        <f>IF('TAM Projet 1'!W167&gt;0,'TAM Projet 1'!W167,IF('TAM Projet 1'!V167&gt;0,IF(AND(_EchFIXE,A176&gt;0),ROUND(('TAM Projet 1'!AD167-'TAM Projet 1'!U167)*A176/(1-((1+A176)^-'TAM Projet 1'!V167)),_NbDeci),ROUND('TAM Projet 1'!AD167/'TAM Projet 1'!V167,_NbDeci)),B175))</f>
        <v>768.98</v>
      </c>
      <c r="C176" s="10"/>
      <c r="D176" s="10"/>
      <c r="E176" s="10"/>
      <c r="F176" s="10"/>
      <c r="H176" s="29">
        <f>IF('TAM Projet 1'!AJ167&gt;0,IF(_TauxActuariel1,(('TAM Projet 1'!AJ167+1)^(1/_NbechAn1))-1,'TAM Projet 1'!AJ167/_NbechAn1),H175)</f>
        <v>8.3333333333333339E-4</v>
      </c>
      <c r="I176" s="28">
        <f>IF('TAM Projet 1'!AM167&gt;0,'TAM Projet 1'!AM167,IF('TAM Projet 1'!AL167&gt;0,IF(AND(_EchFIXE1,H176&gt;0),ROUND(('TAM Projet 1'!AT167-'TAM Projet 1'!AK167)*H176/(1-((1+H176)^-'TAM Projet 1'!AL167)),_NbDeci1),ROUND('TAM Projet 1'!AT167/'TAM Projet 1'!AL167,_NbDeci1)),I175))</f>
        <v>187406.04</v>
      </c>
      <c r="J176" s="10"/>
      <c r="K176" s="10"/>
      <c r="L176" s="10"/>
      <c r="M176" s="10"/>
      <c r="O176" s="186">
        <v>174</v>
      </c>
    </row>
    <row r="177" spans="1:15" x14ac:dyDescent="0.2">
      <c r="A177" s="29">
        <f>IF('TAM Projet 1'!T168&gt;0,IF(_TauxActuariel,(('TAM Projet 1'!T168+1)^(1/_NbEchAn))-1,'TAM Projet 1'!T168/_NbEchAn),A176)</f>
        <v>1.5499999999999999E-3</v>
      </c>
      <c r="B177" s="28">
        <f>IF('TAM Projet 1'!W168&gt;0,'TAM Projet 1'!W168,IF('TAM Projet 1'!V168&gt;0,IF(AND(_EchFIXE,A177&gt;0),ROUND(('TAM Projet 1'!AD168-'TAM Projet 1'!U168)*A177/(1-((1+A177)^-'TAM Projet 1'!V168)),_NbDeci),ROUND('TAM Projet 1'!AD168/'TAM Projet 1'!V168,_NbDeci)),B176))</f>
        <v>768.98</v>
      </c>
      <c r="C177" s="10"/>
      <c r="D177" s="10"/>
      <c r="E177" s="10"/>
      <c r="F177" s="10"/>
      <c r="H177" s="29">
        <f>IF('TAM Projet 1'!AJ168&gt;0,IF(_TauxActuariel1,(('TAM Projet 1'!AJ168+1)^(1/_NbechAn1))-1,'TAM Projet 1'!AJ168/_NbechAn1),H176)</f>
        <v>8.3333333333333339E-4</v>
      </c>
      <c r="I177" s="28">
        <f>IF('TAM Projet 1'!AM168&gt;0,'TAM Projet 1'!AM168,IF('TAM Projet 1'!AL168&gt;0,IF(AND(_EchFIXE1,H177&gt;0),ROUND(('TAM Projet 1'!AT168-'TAM Projet 1'!AK168)*H177/(1-((1+H177)^-'TAM Projet 1'!AL168)),_NbDeci1),ROUND('TAM Projet 1'!AT168/'TAM Projet 1'!AL168,_NbDeci1)),I176))</f>
        <v>187406.04</v>
      </c>
      <c r="J177" s="10"/>
      <c r="K177" s="10"/>
      <c r="L177" s="10"/>
      <c r="M177" s="10"/>
      <c r="O177" s="186">
        <v>175</v>
      </c>
    </row>
    <row r="178" spans="1:15" x14ac:dyDescent="0.2">
      <c r="A178" s="29">
        <f>IF('TAM Projet 1'!T169&gt;0,IF(_TauxActuariel,(('TAM Projet 1'!T169+1)^(1/_NbEchAn))-1,'TAM Projet 1'!T169/_NbEchAn),A177)</f>
        <v>1.5499999999999999E-3</v>
      </c>
      <c r="B178" s="28">
        <f>IF('TAM Projet 1'!W169&gt;0,'TAM Projet 1'!W169,IF('TAM Projet 1'!V169&gt;0,IF(AND(_EchFIXE,A178&gt;0),ROUND(('TAM Projet 1'!AD169-'TAM Projet 1'!U169)*A178/(1-((1+A178)^-'TAM Projet 1'!V169)),_NbDeci),ROUND('TAM Projet 1'!AD169/'TAM Projet 1'!V169,_NbDeci)),B177))</f>
        <v>768.98</v>
      </c>
      <c r="C178" s="10"/>
      <c r="D178" s="10"/>
      <c r="E178" s="10"/>
      <c r="F178" s="10"/>
      <c r="H178" s="29">
        <f>IF('TAM Projet 1'!AJ169&gt;0,IF(_TauxActuariel1,(('TAM Projet 1'!AJ169+1)^(1/_NbechAn1))-1,'TAM Projet 1'!AJ169/_NbechAn1),H177)</f>
        <v>8.3333333333333339E-4</v>
      </c>
      <c r="I178" s="28">
        <f>IF('TAM Projet 1'!AM169&gt;0,'TAM Projet 1'!AM169,IF('TAM Projet 1'!AL169&gt;0,IF(AND(_EchFIXE1,H178&gt;0),ROUND(('TAM Projet 1'!AT169-'TAM Projet 1'!AK169)*H178/(1-((1+H178)^-'TAM Projet 1'!AL169)),_NbDeci1),ROUND('TAM Projet 1'!AT169/'TAM Projet 1'!AL169,_NbDeci1)),I177))</f>
        <v>187406.04</v>
      </c>
      <c r="J178" s="10"/>
      <c r="K178" s="10"/>
      <c r="L178" s="10"/>
      <c r="M178" s="10"/>
      <c r="O178" s="186">
        <v>176</v>
      </c>
    </row>
    <row r="179" spans="1:15" x14ac:dyDescent="0.2">
      <c r="A179" s="29">
        <f>IF('TAM Projet 1'!T170&gt;0,IF(_TauxActuariel,(('TAM Projet 1'!T170+1)^(1/_NbEchAn))-1,'TAM Projet 1'!T170/_NbEchAn),A178)</f>
        <v>1.5499999999999999E-3</v>
      </c>
      <c r="B179" s="28">
        <f>IF('TAM Projet 1'!W170&gt;0,'TAM Projet 1'!W170,IF('TAM Projet 1'!V170&gt;0,IF(AND(_EchFIXE,A179&gt;0),ROUND(('TAM Projet 1'!AD170-'TAM Projet 1'!U170)*A179/(1-((1+A179)^-'TAM Projet 1'!V170)),_NbDeci),ROUND('TAM Projet 1'!AD170/'TAM Projet 1'!V170,_NbDeci)),B178))</f>
        <v>768.98</v>
      </c>
      <c r="C179" s="10"/>
      <c r="D179" s="10"/>
      <c r="E179" s="10"/>
      <c r="F179" s="10"/>
      <c r="H179" s="29">
        <f>IF('TAM Projet 1'!AJ170&gt;0,IF(_TauxActuariel1,(('TAM Projet 1'!AJ170+1)^(1/_NbechAn1))-1,'TAM Projet 1'!AJ170/_NbechAn1),H178)</f>
        <v>8.3333333333333339E-4</v>
      </c>
      <c r="I179" s="28">
        <f>IF('TAM Projet 1'!AM170&gt;0,'TAM Projet 1'!AM170,IF('TAM Projet 1'!AL170&gt;0,IF(AND(_EchFIXE1,H179&gt;0),ROUND(('TAM Projet 1'!AT170-'TAM Projet 1'!AK170)*H179/(1-((1+H179)^-'TAM Projet 1'!AL170)),_NbDeci1),ROUND('TAM Projet 1'!AT170/'TAM Projet 1'!AL170,_NbDeci1)),I178))</f>
        <v>187406.04</v>
      </c>
      <c r="J179" s="10"/>
      <c r="K179" s="10"/>
      <c r="L179" s="10"/>
      <c r="M179" s="10"/>
      <c r="O179" s="186">
        <v>177</v>
      </c>
    </row>
    <row r="180" spans="1:15" x14ac:dyDescent="0.2">
      <c r="A180" s="29">
        <f>IF('TAM Projet 1'!T171&gt;0,IF(_TauxActuariel,(('TAM Projet 1'!T171+1)^(1/_NbEchAn))-1,'TAM Projet 1'!T171/_NbEchAn),A179)</f>
        <v>1.5499999999999999E-3</v>
      </c>
      <c r="B180" s="28">
        <f>IF('TAM Projet 1'!W171&gt;0,'TAM Projet 1'!W171,IF('TAM Projet 1'!V171&gt;0,IF(AND(_EchFIXE,A180&gt;0),ROUND(('TAM Projet 1'!AD171-'TAM Projet 1'!U171)*A180/(1-((1+A180)^-'TAM Projet 1'!V171)),_NbDeci),ROUND('TAM Projet 1'!AD171/'TAM Projet 1'!V171,_NbDeci)),B179))</f>
        <v>768.98</v>
      </c>
      <c r="C180" s="10"/>
      <c r="D180" s="10"/>
      <c r="E180" s="10"/>
      <c r="F180" s="10"/>
      <c r="H180" s="29">
        <f>IF('TAM Projet 1'!AJ171&gt;0,IF(_TauxActuariel1,(('TAM Projet 1'!AJ171+1)^(1/_NbechAn1))-1,'TAM Projet 1'!AJ171/_NbechAn1),H179)</f>
        <v>8.3333333333333339E-4</v>
      </c>
      <c r="I180" s="28">
        <f>IF('TAM Projet 1'!AM171&gt;0,'TAM Projet 1'!AM171,IF('TAM Projet 1'!AL171&gt;0,IF(AND(_EchFIXE1,H180&gt;0),ROUND(('TAM Projet 1'!AT171-'TAM Projet 1'!AK171)*H180/(1-((1+H180)^-'TAM Projet 1'!AL171)),_NbDeci1),ROUND('TAM Projet 1'!AT171/'TAM Projet 1'!AL171,_NbDeci1)),I179))</f>
        <v>187406.04</v>
      </c>
      <c r="J180" s="10"/>
      <c r="K180" s="10"/>
      <c r="L180" s="10"/>
      <c r="M180" s="10"/>
      <c r="O180" s="186">
        <v>178</v>
      </c>
    </row>
    <row r="181" spans="1:15" x14ac:dyDescent="0.2">
      <c r="A181" s="29">
        <f>IF('TAM Projet 1'!T172&gt;0,IF(_TauxActuariel,(('TAM Projet 1'!T172+1)^(1/_NbEchAn))-1,'TAM Projet 1'!T172/_NbEchAn),A180)</f>
        <v>1.5499999999999999E-3</v>
      </c>
      <c r="B181" s="28">
        <f>IF('TAM Projet 1'!W172&gt;0,'TAM Projet 1'!W172,IF('TAM Projet 1'!V172&gt;0,IF(AND(_EchFIXE,A181&gt;0),ROUND(('TAM Projet 1'!AD172-'TAM Projet 1'!U172)*A181/(1-((1+A181)^-'TAM Projet 1'!V172)),_NbDeci),ROUND('TAM Projet 1'!AD172/'TAM Projet 1'!V172,_NbDeci)),B180))</f>
        <v>768.98</v>
      </c>
      <c r="C181" s="10"/>
      <c r="D181" s="10"/>
      <c r="E181" s="10"/>
      <c r="F181" s="10"/>
      <c r="H181" s="29">
        <f>IF('TAM Projet 1'!AJ172&gt;0,IF(_TauxActuariel1,(('TAM Projet 1'!AJ172+1)^(1/_NbechAn1))-1,'TAM Projet 1'!AJ172/_NbechAn1),H180)</f>
        <v>8.3333333333333339E-4</v>
      </c>
      <c r="I181" s="28">
        <f>IF('TAM Projet 1'!AM172&gt;0,'TAM Projet 1'!AM172,IF('TAM Projet 1'!AL172&gt;0,IF(AND(_EchFIXE1,H181&gt;0),ROUND(('TAM Projet 1'!AT172-'TAM Projet 1'!AK172)*H181/(1-((1+H181)^-'TAM Projet 1'!AL172)),_NbDeci1),ROUND('TAM Projet 1'!AT172/'TAM Projet 1'!AL172,_NbDeci1)),I180))</f>
        <v>187406.04</v>
      </c>
      <c r="J181" s="10"/>
      <c r="K181" s="10"/>
      <c r="L181" s="10"/>
      <c r="M181" s="10"/>
      <c r="O181" s="186">
        <v>179</v>
      </c>
    </row>
    <row r="182" spans="1:15" x14ac:dyDescent="0.2">
      <c r="A182" s="29">
        <f>IF('TAM Projet 1'!T173&gt;0,IF(_TauxActuariel,(('TAM Projet 1'!T173+1)^(1/_NbEchAn))-1,'TAM Projet 1'!T173/_NbEchAn),A181)</f>
        <v>1.5499999999999999E-3</v>
      </c>
      <c r="B182" s="28">
        <f>IF('TAM Projet 1'!W173&gt;0,'TAM Projet 1'!W173,IF('TAM Projet 1'!V173&gt;0,IF(AND(_EchFIXE,A182&gt;0),ROUND(('TAM Projet 1'!AD173-'TAM Projet 1'!U173)*A182/(1-((1+A182)^-'TAM Projet 1'!V173)),_NbDeci),ROUND('TAM Projet 1'!AD173/'TAM Projet 1'!V173,_NbDeci)),B181))</f>
        <v>768.98</v>
      </c>
      <c r="C182" s="10"/>
      <c r="D182" s="10"/>
      <c r="E182" s="10"/>
      <c r="F182" s="10"/>
      <c r="H182" s="29">
        <f>IF('TAM Projet 1'!AJ173&gt;0,IF(_TauxActuariel1,(('TAM Projet 1'!AJ173+1)^(1/_NbechAn1))-1,'TAM Projet 1'!AJ173/_NbechAn1),H181)</f>
        <v>8.3333333333333339E-4</v>
      </c>
      <c r="I182" s="28">
        <f>IF('TAM Projet 1'!AM173&gt;0,'TAM Projet 1'!AM173,IF('TAM Projet 1'!AL173&gt;0,IF(AND(_EchFIXE1,H182&gt;0),ROUND(('TAM Projet 1'!AT173-'TAM Projet 1'!AK173)*H182/(1-((1+H182)^-'TAM Projet 1'!AL173)),_NbDeci1),ROUND('TAM Projet 1'!AT173/'TAM Projet 1'!AL173,_NbDeci1)),I181))</f>
        <v>187406.04</v>
      </c>
      <c r="J182" s="10"/>
      <c r="K182" s="10"/>
      <c r="L182" s="10"/>
      <c r="M182" s="10"/>
      <c r="O182" s="186">
        <v>180</v>
      </c>
    </row>
    <row r="183" spans="1:15" x14ac:dyDescent="0.2">
      <c r="A183" s="29">
        <f>IF('TAM Projet 1'!T174&gt;0,IF(_TauxActuariel,(('TAM Projet 1'!T174+1)^(1/_NbEchAn))-1,'TAM Projet 1'!T174/_NbEchAn),A182)</f>
        <v>1.5499999999999999E-3</v>
      </c>
      <c r="B183" s="28">
        <f>IF('TAM Projet 1'!W174&gt;0,'TAM Projet 1'!W174,IF('TAM Projet 1'!V174&gt;0,IF(AND(_EchFIXE,A183&gt;0),ROUND(('TAM Projet 1'!AD174-'TAM Projet 1'!U174)*A183/(1-((1+A183)^-'TAM Projet 1'!V174)),_NbDeci),ROUND('TAM Projet 1'!AD174/'TAM Projet 1'!V174,_NbDeci)),B182))</f>
        <v>768.98</v>
      </c>
      <c r="C183" s="10"/>
      <c r="D183" s="10"/>
      <c r="E183" s="10"/>
      <c r="F183" s="10"/>
      <c r="H183" s="29">
        <f>IF('TAM Projet 1'!AJ174&gt;0,IF(_TauxActuariel1,(('TAM Projet 1'!AJ174+1)^(1/_NbechAn1))-1,'TAM Projet 1'!AJ174/_NbechAn1),H182)</f>
        <v>8.3333333333333339E-4</v>
      </c>
      <c r="I183" s="28">
        <f>IF('TAM Projet 1'!AM174&gt;0,'TAM Projet 1'!AM174,IF('TAM Projet 1'!AL174&gt;0,IF(AND(_EchFIXE1,H183&gt;0),ROUND(('TAM Projet 1'!AT174-'TAM Projet 1'!AK174)*H183/(1-((1+H183)^-'TAM Projet 1'!AL174)),_NbDeci1),ROUND('TAM Projet 1'!AT174/'TAM Projet 1'!AL174,_NbDeci1)),I182))</f>
        <v>187406.04</v>
      </c>
      <c r="J183" s="10"/>
      <c r="K183" s="10"/>
      <c r="L183" s="10"/>
      <c r="M183" s="10"/>
      <c r="O183" s="186">
        <v>181</v>
      </c>
    </row>
    <row r="184" spans="1:15" x14ac:dyDescent="0.2">
      <c r="A184" s="29">
        <f>IF('TAM Projet 1'!T175&gt;0,IF(_TauxActuariel,(('TAM Projet 1'!T175+1)^(1/_NbEchAn))-1,'TAM Projet 1'!T175/_NbEchAn),A183)</f>
        <v>1.5499999999999999E-3</v>
      </c>
      <c r="B184" s="28">
        <f>IF('TAM Projet 1'!W175&gt;0,'TAM Projet 1'!W175,IF('TAM Projet 1'!V175&gt;0,IF(AND(_EchFIXE,A184&gt;0),ROUND(('TAM Projet 1'!AD175-'TAM Projet 1'!U175)*A184/(1-((1+A184)^-'TAM Projet 1'!V175)),_NbDeci),ROUND('TAM Projet 1'!AD175/'TAM Projet 1'!V175,_NbDeci)),B183))</f>
        <v>768.98</v>
      </c>
      <c r="C184" s="10"/>
      <c r="D184" s="10"/>
      <c r="E184" s="10"/>
      <c r="F184" s="10"/>
      <c r="H184" s="29">
        <f>IF('TAM Projet 1'!AJ175&gt;0,IF(_TauxActuariel1,(('TAM Projet 1'!AJ175+1)^(1/_NbechAn1))-1,'TAM Projet 1'!AJ175/_NbechAn1),H183)</f>
        <v>8.3333333333333339E-4</v>
      </c>
      <c r="I184" s="28">
        <f>IF('TAM Projet 1'!AM175&gt;0,'TAM Projet 1'!AM175,IF('TAM Projet 1'!AL175&gt;0,IF(AND(_EchFIXE1,H184&gt;0),ROUND(('TAM Projet 1'!AT175-'TAM Projet 1'!AK175)*H184/(1-((1+H184)^-'TAM Projet 1'!AL175)),_NbDeci1),ROUND('TAM Projet 1'!AT175/'TAM Projet 1'!AL175,_NbDeci1)),I183))</f>
        <v>187406.04</v>
      </c>
      <c r="J184" s="10"/>
      <c r="K184" s="10"/>
      <c r="L184" s="10"/>
      <c r="M184" s="10"/>
      <c r="O184" s="186">
        <v>182</v>
      </c>
    </row>
    <row r="185" spans="1:15" x14ac:dyDescent="0.2">
      <c r="A185" s="29">
        <f>IF('TAM Projet 1'!T176&gt;0,IF(_TauxActuariel,(('TAM Projet 1'!T176+1)^(1/_NbEchAn))-1,'TAM Projet 1'!T176/_NbEchAn),A184)</f>
        <v>1.5499999999999999E-3</v>
      </c>
      <c r="B185" s="28">
        <f>IF('TAM Projet 1'!W176&gt;0,'TAM Projet 1'!W176,IF('TAM Projet 1'!V176&gt;0,IF(AND(_EchFIXE,A185&gt;0),ROUND(('TAM Projet 1'!AD176-'TAM Projet 1'!U176)*A185/(1-((1+A185)^-'TAM Projet 1'!V176)),_NbDeci),ROUND('TAM Projet 1'!AD176/'TAM Projet 1'!V176,_NbDeci)),B184))</f>
        <v>768.98</v>
      </c>
      <c r="C185" s="10"/>
      <c r="D185" s="10"/>
      <c r="E185" s="10"/>
      <c r="F185" s="10"/>
      <c r="H185" s="29">
        <f>IF('TAM Projet 1'!AJ176&gt;0,IF(_TauxActuariel1,(('TAM Projet 1'!AJ176+1)^(1/_NbechAn1))-1,'TAM Projet 1'!AJ176/_NbechAn1),H184)</f>
        <v>8.3333333333333339E-4</v>
      </c>
      <c r="I185" s="28">
        <f>IF('TAM Projet 1'!AM176&gt;0,'TAM Projet 1'!AM176,IF('TAM Projet 1'!AL176&gt;0,IF(AND(_EchFIXE1,H185&gt;0),ROUND(('TAM Projet 1'!AT176-'TAM Projet 1'!AK176)*H185/(1-((1+H185)^-'TAM Projet 1'!AL176)),_NbDeci1),ROUND('TAM Projet 1'!AT176/'TAM Projet 1'!AL176,_NbDeci1)),I184))</f>
        <v>187406.04</v>
      </c>
      <c r="J185" s="10"/>
      <c r="K185" s="10"/>
      <c r="L185" s="10"/>
      <c r="M185" s="10"/>
      <c r="O185" s="186">
        <v>183</v>
      </c>
    </row>
    <row r="186" spans="1:15" x14ac:dyDescent="0.2">
      <c r="A186" s="29">
        <f>IF('TAM Projet 1'!T177&gt;0,IF(_TauxActuariel,(('TAM Projet 1'!T177+1)^(1/_NbEchAn))-1,'TAM Projet 1'!T177/_NbEchAn),A185)</f>
        <v>1.5499999999999999E-3</v>
      </c>
      <c r="B186" s="28">
        <f>IF('TAM Projet 1'!W177&gt;0,'TAM Projet 1'!W177,IF('TAM Projet 1'!V177&gt;0,IF(AND(_EchFIXE,A186&gt;0),ROUND(('TAM Projet 1'!AD177-'TAM Projet 1'!U177)*A186/(1-((1+A186)^-'TAM Projet 1'!V177)),_NbDeci),ROUND('TAM Projet 1'!AD177/'TAM Projet 1'!V177,_NbDeci)),B185))</f>
        <v>768.98</v>
      </c>
      <c r="C186" s="10"/>
      <c r="D186" s="10"/>
      <c r="E186" s="10"/>
      <c r="F186" s="10"/>
      <c r="H186" s="29">
        <f>IF('TAM Projet 1'!AJ177&gt;0,IF(_TauxActuariel1,(('TAM Projet 1'!AJ177+1)^(1/_NbechAn1))-1,'TAM Projet 1'!AJ177/_NbechAn1),H185)</f>
        <v>8.3333333333333339E-4</v>
      </c>
      <c r="I186" s="28">
        <f>IF('TAM Projet 1'!AM177&gt;0,'TAM Projet 1'!AM177,IF('TAM Projet 1'!AL177&gt;0,IF(AND(_EchFIXE1,H186&gt;0),ROUND(('TAM Projet 1'!AT177-'TAM Projet 1'!AK177)*H186/(1-((1+H186)^-'TAM Projet 1'!AL177)),_NbDeci1),ROUND('TAM Projet 1'!AT177/'TAM Projet 1'!AL177,_NbDeci1)),I185))</f>
        <v>187406.04</v>
      </c>
      <c r="J186" s="10"/>
      <c r="K186" s="10"/>
      <c r="L186" s="10"/>
      <c r="M186" s="10"/>
      <c r="O186" s="186">
        <v>184</v>
      </c>
    </row>
    <row r="187" spans="1:15" x14ac:dyDescent="0.2">
      <c r="A187" s="29">
        <f>IF('TAM Projet 1'!T178&gt;0,IF(_TauxActuariel,(('TAM Projet 1'!T178+1)^(1/_NbEchAn))-1,'TAM Projet 1'!T178/_NbEchAn),A186)</f>
        <v>1.5499999999999999E-3</v>
      </c>
      <c r="B187" s="28">
        <f>IF('TAM Projet 1'!W178&gt;0,'TAM Projet 1'!W178,IF('TAM Projet 1'!V178&gt;0,IF(AND(_EchFIXE,A187&gt;0),ROUND(('TAM Projet 1'!AD178-'TAM Projet 1'!U178)*A187/(1-((1+A187)^-'TAM Projet 1'!V178)),_NbDeci),ROUND('TAM Projet 1'!AD178/'TAM Projet 1'!V178,_NbDeci)),B186))</f>
        <v>768.98</v>
      </c>
      <c r="C187" s="10"/>
      <c r="D187" s="10"/>
      <c r="E187" s="10"/>
      <c r="F187" s="10"/>
      <c r="H187" s="29">
        <f>IF('TAM Projet 1'!AJ178&gt;0,IF(_TauxActuariel1,(('TAM Projet 1'!AJ178+1)^(1/_NbechAn1))-1,'TAM Projet 1'!AJ178/_NbechAn1),H186)</f>
        <v>8.3333333333333339E-4</v>
      </c>
      <c r="I187" s="28">
        <f>IF('TAM Projet 1'!AM178&gt;0,'TAM Projet 1'!AM178,IF('TAM Projet 1'!AL178&gt;0,IF(AND(_EchFIXE1,H187&gt;0),ROUND(('TAM Projet 1'!AT178-'TAM Projet 1'!AK178)*H187/(1-((1+H187)^-'TAM Projet 1'!AL178)),_NbDeci1),ROUND('TAM Projet 1'!AT178/'TAM Projet 1'!AL178,_NbDeci1)),I186))</f>
        <v>187406.04</v>
      </c>
      <c r="J187" s="10"/>
      <c r="K187" s="10"/>
      <c r="L187" s="10"/>
      <c r="M187" s="10"/>
      <c r="O187" s="186">
        <v>185</v>
      </c>
    </row>
    <row r="188" spans="1:15" x14ac:dyDescent="0.2">
      <c r="A188" s="29">
        <f>IF('TAM Projet 1'!T179&gt;0,IF(_TauxActuariel,(('TAM Projet 1'!T179+1)^(1/_NbEchAn))-1,'TAM Projet 1'!T179/_NbEchAn),A187)</f>
        <v>1.5499999999999999E-3</v>
      </c>
      <c r="B188" s="28">
        <f>IF('TAM Projet 1'!W179&gt;0,'TAM Projet 1'!W179,IF('TAM Projet 1'!V179&gt;0,IF(AND(_EchFIXE,A188&gt;0),ROUND(('TAM Projet 1'!AD179-'TAM Projet 1'!U179)*A188/(1-((1+A188)^-'TAM Projet 1'!V179)),_NbDeci),ROUND('TAM Projet 1'!AD179/'TAM Projet 1'!V179,_NbDeci)),B187))</f>
        <v>768.98</v>
      </c>
      <c r="C188" s="10"/>
      <c r="D188" s="10"/>
      <c r="E188" s="10"/>
      <c r="F188" s="10"/>
      <c r="H188" s="29">
        <f>IF('TAM Projet 1'!AJ179&gt;0,IF(_TauxActuariel1,(('TAM Projet 1'!AJ179+1)^(1/_NbechAn1))-1,'TAM Projet 1'!AJ179/_NbechAn1),H187)</f>
        <v>8.3333333333333339E-4</v>
      </c>
      <c r="I188" s="28">
        <f>IF('TAM Projet 1'!AM179&gt;0,'TAM Projet 1'!AM179,IF('TAM Projet 1'!AL179&gt;0,IF(AND(_EchFIXE1,H188&gt;0),ROUND(('TAM Projet 1'!AT179-'TAM Projet 1'!AK179)*H188/(1-((1+H188)^-'TAM Projet 1'!AL179)),_NbDeci1),ROUND('TAM Projet 1'!AT179/'TAM Projet 1'!AL179,_NbDeci1)),I187))</f>
        <v>187406.04</v>
      </c>
      <c r="J188" s="10"/>
      <c r="K188" s="10"/>
      <c r="L188" s="10"/>
      <c r="M188" s="10"/>
      <c r="O188" s="186">
        <v>186</v>
      </c>
    </row>
    <row r="189" spans="1:15" x14ac:dyDescent="0.2">
      <c r="A189" s="29">
        <f>IF('TAM Projet 1'!T180&gt;0,IF(_TauxActuariel,(('TAM Projet 1'!T180+1)^(1/_NbEchAn))-1,'TAM Projet 1'!T180/_NbEchAn),A188)</f>
        <v>1.5499999999999999E-3</v>
      </c>
      <c r="B189" s="28">
        <f>IF('TAM Projet 1'!W180&gt;0,'TAM Projet 1'!W180,IF('TAM Projet 1'!V180&gt;0,IF(AND(_EchFIXE,A189&gt;0),ROUND(('TAM Projet 1'!AD180-'TAM Projet 1'!U180)*A189/(1-((1+A189)^-'TAM Projet 1'!V180)),_NbDeci),ROUND('TAM Projet 1'!AD180/'TAM Projet 1'!V180,_NbDeci)),B188))</f>
        <v>768.98</v>
      </c>
      <c r="C189" s="10"/>
      <c r="D189" s="10"/>
      <c r="E189" s="10"/>
      <c r="F189" s="10"/>
      <c r="H189" s="29">
        <f>IF('TAM Projet 1'!AJ180&gt;0,IF(_TauxActuariel1,(('TAM Projet 1'!AJ180+1)^(1/_NbechAn1))-1,'TAM Projet 1'!AJ180/_NbechAn1),H188)</f>
        <v>8.3333333333333339E-4</v>
      </c>
      <c r="I189" s="28">
        <f>IF('TAM Projet 1'!AM180&gt;0,'TAM Projet 1'!AM180,IF('TAM Projet 1'!AL180&gt;0,IF(AND(_EchFIXE1,H189&gt;0),ROUND(('TAM Projet 1'!AT180-'TAM Projet 1'!AK180)*H189/(1-((1+H189)^-'TAM Projet 1'!AL180)),_NbDeci1),ROUND('TAM Projet 1'!AT180/'TAM Projet 1'!AL180,_NbDeci1)),I188))</f>
        <v>187406.04</v>
      </c>
      <c r="J189" s="10"/>
      <c r="K189" s="10"/>
      <c r="L189" s="10"/>
      <c r="M189" s="10"/>
      <c r="O189" s="186">
        <v>187</v>
      </c>
    </row>
    <row r="190" spans="1:15" x14ac:dyDescent="0.2">
      <c r="A190" s="29">
        <f>IF('TAM Projet 1'!T181&gt;0,IF(_TauxActuariel,(('TAM Projet 1'!T181+1)^(1/_NbEchAn))-1,'TAM Projet 1'!T181/_NbEchAn),A189)</f>
        <v>1.5499999999999999E-3</v>
      </c>
      <c r="B190" s="28">
        <f>IF('TAM Projet 1'!W181&gt;0,'TAM Projet 1'!W181,IF('TAM Projet 1'!V181&gt;0,IF(AND(_EchFIXE,A190&gt;0),ROUND(('TAM Projet 1'!AD181-'TAM Projet 1'!U181)*A190/(1-((1+A190)^-'TAM Projet 1'!V181)),_NbDeci),ROUND('TAM Projet 1'!AD181/'TAM Projet 1'!V181,_NbDeci)),B189))</f>
        <v>768.98</v>
      </c>
      <c r="C190" s="10"/>
      <c r="D190" s="10"/>
      <c r="E190" s="10"/>
      <c r="F190" s="10"/>
      <c r="H190" s="29">
        <f>IF('TAM Projet 1'!AJ181&gt;0,IF(_TauxActuariel1,(('TAM Projet 1'!AJ181+1)^(1/_NbechAn1))-1,'TAM Projet 1'!AJ181/_NbechAn1),H189)</f>
        <v>8.3333333333333339E-4</v>
      </c>
      <c r="I190" s="28">
        <f>IF('TAM Projet 1'!AM181&gt;0,'TAM Projet 1'!AM181,IF('TAM Projet 1'!AL181&gt;0,IF(AND(_EchFIXE1,H190&gt;0),ROUND(('TAM Projet 1'!AT181-'TAM Projet 1'!AK181)*H190/(1-((1+H190)^-'TAM Projet 1'!AL181)),_NbDeci1),ROUND('TAM Projet 1'!AT181/'TAM Projet 1'!AL181,_NbDeci1)),I189))</f>
        <v>187406.04</v>
      </c>
      <c r="J190" s="10"/>
      <c r="K190" s="10"/>
      <c r="L190" s="10"/>
      <c r="M190" s="10"/>
      <c r="O190" s="186">
        <v>188</v>
      </c>
    </row>
    <row r="191" spans="1:15" x14ac:dyDescent="0.2">
      <c r="A191" s="29">
        <f>IF('TAM Projet 1'!T182&gt;0,IF(_TauxActuariel,(('TAM Projet 1'!T182+1)^(1/_NbEchAn))-1,'TAM Projet 1'!T182/_NbEchAn),A190)</f>
        <v>1.5499999999999999E-3</v>
      </c>
      <c r="B191" s="28">
        <f>IF('TAM Projet 1'!W182&gt;0,'TAM Projet 1'!W182,IF('TAM Projet 1'!V182&gt;0,IF(AND(_EchFIXE,A191&gt;0),ROUND(('TAM Projet 1'!AD182-'TAM Projet 1'!U182)*A191/(1-((1+A191)^-'TAM Projet 1'!V182)),_NbDeci),ROUND('TAM Projet 1'!AD182/'TAM Projet 1'!V182,_NbDeci)),B190))</f>
        <v>768.98</v>
      </c>
      <c r="C191" s="10"/>
      <c r="D191" s="10"/>
      <c r="E191" s="10"/>
      <c r="F191" s="10"/>
      <c r="H191" s="29">
        <f>IF('TAM Projet 1'!AJ182&gt;0,IF(_TauxActuariel1,(('TAM Projet 1'!AJ182+1)^(1/_NbechAn1))-1,'TAM Projet 1'!AJ182/_NbechAn1),H190)</f>
        <v>8.3333333333333339E-4</v>
      </c>
      <c r="I191" s="28">
        <f>IF('TAM Projet 1'!AM182&gt;0,'TAM Projet 1'!AM182,IF('TAM Projet 1'!AL182&gt;0,IF(AND(_EchFIXE1,H191&gt;0),ROUND(('TAM Projet 1'!AT182-'TAM Projet 1'!AK182)*H191/(1-((1+H191)^-'TAM Projet 1'!AL182)),_NbDeci1),ROUND('TAM Projet 1'!AT182/'TAM Projet 1'!AL182,_NbDeci1)),I190))</f>
        <v>187406.04</v>
      </c>
      <c r="J191" s="10"/>
      <c r="K191" s="10"/>
      <c r="L191" s="10"/>
      <c r="M191" s="10"/>
      <c r="O191" s="186">
        <v>189</v>
      </c>
    </row>
    <row r="192" spans="1:15" x14ac:dyDescent="0.2">
      <c r="A192" s="29">
        <f>IF('TAM Projet 1'!T183&gt;0,IF(_TauxActuariel,(('TAM Projet 1'!T183+1)^(1/_NbEchAn))-1,'TAM Projet 1'!T183/_NbEchAn),A191)</f>
        <v>1.5499999999999999E-3</v>
      </c>
      <c r="B192" s="28">
        <f>IF('TAM Projet 1'!W183&gt;0,'TAM Projet 1'!W183,IF('TAM Projet 1'!V183&gt;0,IF(AND(_EchFIXE,A192&gt;0),ROUND(('TAM Projet 1'!AD183-'TAM Projet 1'!U183)*A192/(1-((1+A192)^-'TAM Projet 1'!V183)),_NbDeci),ROUND('TAM Projet 1'!AD183/'TAM Projet 1'!V183,_NbDeci)),B191))</f>
        <v>768.98</v>
      </c>
      <c r="C192" s="10"/>
      <c r="D192" s="10"/>
      <c r="E192" s="10"/>
      <c r="F192" s="10"/>
      <c r="H192" s="29">
        <f>IF('TAM Projet 1'!AJ183&gt;0,IF(_TauxActuariel1,(('TAM Projet 1'!AJ183+1)^(1/_NbechAn1))-1,'TAM Projet 1'!AJ183/_NbechAn1),H191)</f>
        <v>8.3333333333333339E-4</v>
      </c>
      <c r="I192" s="28">
        <f>IF('TAM Projet 1'!AM183&gt;0,'TAM Projet 1'!AM183,IF('TAM Projet 1'!AL183&gt;0,IF(AND(_EchFIXE1,H192&gt;0),ROUND(('TAM Projet 1'!AT183-'TAM Projet 1'!AK183)*H192/(1-((1+H192)^-'TAM Projet 1'!AL183)),_NbDeci1),ROUND('TAM Projet 1'!AT183/'TAM Projet 1'!AL183,_NbDeci1)),I191))</f>
        <v>187406.04</v>
      </c>
      <c r="J192" s="10"/>
      <c r="K192" s="10"/>
      <c r="L192" s="10"/>
      <c r="M192" s="10"/>
      <c r="O192" s="186">
        <v>190</v>
      </c>
    </row>
    <row r="193" spans="1:15" x14ac:dyDescent="0.2">
      <c r="A193" s="29">
        <f>IF('TAM Projet 1'!T184&gt;0,IF(_TauxActuariel,(('TAM Projet 1'!T184+1)^(1/_NbEchAn))-1,'TAM Projet 1'!T184/_NbEchAn),A192)</f>
        <v>1.5499999999999999E-3</v>
      </c>
      <c r="B193" s="28">
        <f>IF('TAM Projet 1'!W184&gt;0,'TAM Projet 1'!W184,IF('TAM Projet 1'!V184&gt;0,IF(AND(_EchFIXE,A193&gt;0),ROUND(('TAM Projet 1'!AD184-'TAM Projet 1'!U184)*A193/(1-((1+A193)^-'TAM Projet 1'!V184)),_NbDeci),ROUND('TAM Projet 1'!AD184/'TAM Projet 1'!V184,_NbDeci)),B192))</f>
        <v>768.98</v>
      </c>
      <c r="C193" s="10"/>
      <c r="D193" s="10"/>
      <c r="E193" s="10"/>
      <c r="F193" s="10"/>
      <c r="H193" s="29">
        <f>IF('TAM Projet 1'!AJ184&gt;0,IF(_TauxActuariel1,(('TAM Projet 1'!AJ184+1)^(1/_NbechAn1))-1,'TAM Projet 1'!AJ184/_NbechAn1),H192)</f>
        <v>8.3333333333333339E-4</v>
      </c>
      <c r="I193" s="28">
        <f>IF('TAM Projet 1'!AM184&gt;0,'TAM Projet 1'!AM184,IF('TAM Projet 1'!AL184&gt;0,IF(AND(_EchFIXE1,H193&gt;0),ROUND(('TAM Projet 1'!AT184-'TAM Projet 1'!AK184)*H193/(1-((1+H193)^-'TAM Projet 1'!AL184)),_NbDeci1),ROUND('TAM Projet 1'!AT184/'TAM Projet 1'!AL184,_NbDeci1)),I192))</f>
        <v>187406.04</v>
      </c>
      <c r="J193" s="10"/>
      <c r="K193" s="10"/>
      <c r="L193" s="10"/>
      <c r="M193" s="10"/>
      <c r="O193" s="186">
        <v>191</v>
      </c>
    </row>
    <row r="194" spans="1:15" x14ac:dyDescent="0.2">
      <c r="A194" s="29">
        <f>IF('TAM Projet 1'!T185&gt;0,IF(_TauxActuariel,(('TAM Projet 1'!T185+1)^(1/_NbEchAn))-1,'TAM Projet 1'!T185/_NbEchAn),A193)</f>
        <v>1.5499999999999999E-3</v>
      </c>
      <c r="B194" s="28">
        <f>IF('TAM Projet 1'!W185&gt;0,'TAM Projet 1'!W185,IF('TAM Projet 1'!V185&gt;0,IF(AND(_EchFIXE,A194&gt;0),ROUND(('TAM Projet 1'!AD185-'TAM Projet 1'!U185)*A194/(1-((1+A194)^-'TAM Projet 1'!V185)),_NbDeci),ROUND('TAM Projet 1'!AD185/'TAM Projet 1'!V185,_NbDeci)),B193))</f>
        <v>768.98</v>
      </c>
      <c r="C194" s="10"/>
      <c r="D194" s="10"/>
      <c r="E194" s="10"/>
      <c r="F194" s="10"/>
      <c r="H194" s="29">
        <f>IF('TAM Projet 1'!AJ185&gt;0,IF(_TauxActuariel1,(('TAM Projet 1'!AJ185+1)^(1/_NbechAn1))-1,'TAM Projet 1'!AJ185/_NbechAn1),H193)</f>
        <v>8.3333333333333339E-4</v>
      </c>
      <c r="I194" s="28">
        <f>IF('TAM Projet 1'!AM185&gt;0,'TAM Projet 1'!AM185,IF('TAM Projet 1'!AL185&gt;0,IF(AND(_EchFIXE1,H194&gt;0),ROUND(('TAM Projet 1'!AT185-'TAM Projet 1'!AK185)*H194/(1-((1+H194)^-'TAM Projet 1'!AL185)),_NbDeci1),ROUND('TAM Projet 1'!AT185/'TAM Projet 1'!AL185,_NbDeci1)),I193))</f>
        <v>187406.04</v>
      </c>
      <c r="J194" s="10"/>
      <c r="K194" s="10"/>
      <c r="L194" s="10"/>
      <c r="M194" s="10"/>
      <c r="O194" s="186">
        <v>192</v>
      </c>
    </row>
    <row r="195" spans="1:15" x14ac:dyDescent="0.2">
      <c r="A195" s="29">
        <f>IF('TAM Projet 1'!T186&gt;0,IF(_TauxActuariel,(('TAM Projet 1'!T186+1)^(1/_NbEchAn))-1,'TAM Projet 1'!T186/_NbEchAn),A194)</f>
        <v>1.5499999999999999E-3</v>
      </c>
      <c r="B195" s="28">
        <f>IF('TAM Projet 1'!W186&gt;0,'TAM Projet 1'!W186,IF('TAM Projet 1'!V186&gt;0,IF(AND(_EchFIXE,A195&gt;0),ROUND(('TAM Projet 1'!AD186-'TAM Projet 1'!U186)*A195/(1-((1+A195)^-'TAM Projet 1'!V186)),_NbDeci),ROUND('TAM Projet 1'!AD186/'TAM Projet 1'!V186,_NbDeci)),B194))</f>
        <v>768.98</v>
      </c>
      <c r="C195" s="10"/>
      <c r="D195" s="10"/>
      <c r="E195" s="10"/>
      <c r="F195" s="10"/>
      <c r="H195" s="29">
        <f>IF('TAM Projet 1'!AJ186&gt;0,IF(_TauxActuariel1,(('TAM Projet 1'!AJ186+1)^(1/_NbechAn1))-1,'TAM Projet 1'!AJ186/_NbechAn1),H194)</f>
        <v>8.3333333333333339E-4</v>
      </c>
      <c r="I195" s="28">
        <f>IF('TAM Projet 1'!AM186&gt;0,'TAM Projet 1'!AM186,IF('TAM Projet 1'!AL186&gt;0,IF(AND(_EchFIXE1,H195&gt;0),ROUND(('TAM Projet 1'!AT186-'TAM Projet 1'!AK186)*H195/(1-((1+H195)^-'TAM Projet 1'!AL186)),_NbDeci1),ROUND('TAM Projet 1'!AT186/'TAM Projet 1'!AL186,_NbDeci1)),I194))</f>
        <v>187406.04</v>
      </c>
      <c r="J195" s="10"/>
      <c r="K195" s="10"/>
      <c r="L195" s="10"/>
      <c r="M195" s="10"/>
      <c r="O195" s="186">
        <v>193</v>
      </c>
    </row>
    <row r="196" spans="1:15" x14ac:dyDescent="0.2">
      <c r="A196" s="29">
        <f>IF('TAM Projet 1'!T187&gt;0,IF(_TauxActuariel,(('TAM Projet 1'!T187+1)^(1/_NbEchAn))-1,'TAM Projet 1'!T187/_NbEchAn),A195)</f>
        <v>1.5499999999999999E-3</v>
      </c>
      <c r="B196" s="28">
        <f>IF('TAM Projet 1'!W187&gt;0,'TAM Projet 1'!W187,IF('TAM Projet 1'!V187&gt;0,IF(AND(_EchFIXE,A196&gt;0),ROUND(('TAM Projet 1'!AD187-'TAM Projet 1'!U187)*A196/(1-((1+A196)^-'TAM Projet 1'!V187)),_NbDeci),ROUND('TAM Projet 1'!AD187/'TAM Projet 1'!V187,_NbDeci)),B195))</f>
        <v>768.98</v>
      </c>
      <c r="C196" s="10"/>
      <c r="D196" s="10"/>
      <c r="E196" s="10"/>
      <c r="F196" s="10"/>
      <c r="H196" s="29">
        <f>IF('TAM Projet 1'!AJ187&gt;0,IF(_TauxActuariel1,(('TAM Projet 1'!AJ187+1)^(1/_NbechAn1))-1,'TAM Projet 1'!AJ187/_NbechAn1),H195)</f>
        <v>8.3333333333333339E-4</v>
      </c>
      <c r="I196" s="28">
        <f>IF('TAM Projet 1'!AM187&gt;0,'TAM Projet 1'!AM187,IF('TAM Projet 1'!AL187&gt;0,IF(AND(_EchFIXE1,H196&gt;0),ROUND(('TAM Projet 1'!AT187-'TAM Projet 1'!AK187)*H196/(1-((1+H196)^-'TAM Projet 1'!AL187)),_NbDeci1),ROUND('TAM Projet 1'!AT187/'TAM Projet 1'!AL187,_NbDeci1)),I195))</f>
        <v>187406.04</v>
      </c>
      <c r="J196" s="10"/>
      <c r="K196" s="10"/>
      <c r="L196" s="10"/>
      <c r="M196" s="10"/>
      <c r="O196" s="186">
        <v>194</v>
      </c>
    </row>
    <row r="197" spans="1:15" x14ac:dyDescent="0.2">
      <c r="A197" s="29">
        <f>IF('TAM Projet 1'!T188&gt;0,IF(_TauxActuariel,(('TAM Projet 1'!T188+1)^(1/_NbEchAn))-1,'TAM Projet 1'!T188/_NbEchAn),A196)</f>
        <v>1.5499999999999999E-3</v>
      </c>
      <c r="B197" s="28">
        <f>IF('TAM Projet 1'!W188&gt;0,'TAM Projet 1'!W188,IF('TAM Projet 1'!V188&gt;0,IF(AND(_EchFIXE,A197&gt;0),ROUND(('TAM Projet 1'!AD188-'TAM Projet 1'!U188)*A197/(1-((1+A197)^-'TAM Projet 1'!V188)),_NbDeci),ROUND('TAM Projet 1'!AD188/'TAM Projet 1'!V188,_NbDeci)),B196))</f>
        <v>768.98</v>
      </c>
      <c r="C197" s="10"/>
      <c r="D197" s="10"/>
      <c r="E197" s="10"/>
      <c r="F197" s="10"/>
      <c r="H197" s="29">
        <f>IF('TAM Projet 1'!AJ188&gt;0,IF(_TauxActuariel1,(('TAM Projet 1'!AJ188+1)^(1/_NbechAn1))-1,'TAM Projet 1'!AJ188/_NbechAn1),H196)</f>
        <v>8.3333333333333339E-4</v>
      </c>
      <c r="I197" s="28">
        <f>IF('TAM Projet 1'!AM188&gt;0,'TAM Projet 1'!AM188,IF('TAM Projet 1'!AL188&gt;0,IF(AND(_EchFIXE1,H197&gt;0),ROUND(('TAM Projet 1'!AT188-'TAM Projet 1'!AK188)*H197/(1-((1+H197)^-'TAM Projet 1'!AL188)),_NbDeci1),ROUND('TAM Projet 1'!AT188/'TAM Projet 1'!AL188,_NbDeci1)),I196))</f>
        <v>187406.04</v>
      </c>
      <c r="J197" s="10"/>
      <c r="K197" s="10"/>
      <c r="L197" s="10"/>
      <c r="M197" s="10"/>
      <c r="O197" s="186">
        <v>195</v>
      </c>
    </row>
    <row r="198" spans="1:15" x14ac:dyDescent="0.2">
      <c r="A198" s="29">
        <f>IF('TAM Projet 1'!T189&gt;0,IF(_TauxActuariel,(('TAM Projet 1'!T189+1)^(1/_NbEchAn))-1,'TAM Projet 1'!T189/_NbEchAn),A197)</f>
        <v>1.5499999999999999E-3</v>
      </c>
      <c r="B198" s="28">
        <f>IF('TAM Projet 1'!W189&gt;0,'TAM Projet 1'!W189,IF('TAM Projet 1'!V189&gt;0,IF(AND(_EchFIXE,A198&gt;0),ROUND(('TAM Projet 1'!AD189-'TAM Projet 1'!U189)*A198/(1-((1+A198)^-'TAM Projet 1'!V189)),_NbDeci),ROUND('TAM Projet 1'!AD189/'TAM Projet 1'!V189,_NbDeci)),B197))</f>
        <v>768.98</v>
      </c>
      <c r="C198" s="10"/>
      <c r="D198" s="10"/>
      <c r="E198" s="10"/>
      <c r="F198" s="10"/>
      <c r="H198" s="29">
        <f>IF('TAM Projet 1'!AJ189&gt;0,IF(_TauxActuariel1,(('TAM Projet 1'!AJ189+1)^(1/_NbechAn1))-1,'TAM Projet 1'!AJ189/_NbechAn1),H197)</f>
        <v>8.3333333333333339E-4</v>
      </c>
      <c r="I198" s="28">
        <f>IF('TAM Projet 1'!AM189&gt;0,'TAM Projet 1'!AM189,IF('TAM Projet 1'!AL189&gt;0,IF(AND(_EchFIXE1,H198&gt;0),ROUND(('TAM Projet 1'!AT189-'TAM Projet 1'!AK189)*H198/(1-((1+H198)^-'TAM Projet 1'!AL189)),_NbDeci1),ROUND('TAM Projet 1'!AT189/'TAM Projet 1'!AL189,_NbDeci1)),I197))</f>
        <v>187406.04</v>
      </c>
      <c r="J198" s="10"/>
      <c r="K198" s="10"/>
      <c r="L198" s="10"/>
      <c r="M198" s="10"/>
      <c r="O198" s="186">
        <v>196</v>
      </c>
    </row>
    <row r="199" spans="1:15" x14ac:dyDescent="0.2">
      <c r="A199" s="29">
        <f>IF('TAM Projet 1'!T190&gt;0,IF(_TauxActuariel,(('TAM Projet 1'!T190+1)^(1/_NbEchAn))-1,'TAM Projet 1'!T190/_NbEchAn),A198)</f>
        <v>1.5499999999999999E-3</v>
      </c>
      <c r="B199" s="28">
        <f>IF('TAM Projet 1'!W190&gt;0,'TAM Projet 1'!W190,IF('TAM Projet 1'!V190&gt;0,IF(AND(_EchFIXE,A199&gt;0),ROUND(('TAM Projet 1'!AD190-'TAM Projet 1'!U190)*A199/(1-((1+A199)^-'TAM Projet 1'!V190)),_NbDeci),ROUND('TAM Projet 1'!AD190/'TAM Projet 1'!V190,_NbDeci)),B198))</f>
        <v>768.98</v>
      </c>
      <c r="C199" s="10"/>
      <c r="D199" s="10"/>
      <c r="E199" s="10"/>
      <c r="F199" s="10"/>
      <c r="H199" s="29">
        <f>IF('TAM Projet 1'!AJ190&gt;0,IF(_TauxActuariel1,(('TAM Projet 1'!AJ190+1)^(1/_NbechAn1))-1,'TAM Projet 1'!AJ190/_NbechAn1),H198)</f>
        <v>8.3333333333333339E-4</v>
      </c>
      <c r="I199" s="28">
        <f>IF('TAM Projet 1'!AM190&gt;0,'TAM Projet 1'!AM190,IF('TAM Projet 1'!AL190&gt;0,IF(AND(_EchFIXE1,H199&gt;0),ROUND(('TAM Projet 1'!AT190-'TAM Projet 1'!AK190)*H199/(1-((1+H199)^-'TAM Projet 1'!AL190)),_NbDeci1),ROUND('TAM Projet 1'!AT190/'TAM Projet 1'!AL190,_NbDeci1)),I198))</f>
        <v>187406.04</v>
      </c>
      <c r="J199" s="10"/>
      <c r="K199" s="10"/>
      <c r="L199" s="10"/>
      <c r="M199" s="10"/>
      <c r="O199" s="186">
        <v>197</v>
      </c>
    </row>
    <row r="200" spans="1:15" x14ac:dyDescent="0.2">
      <c r="A200" s="29">
        <f>IF('TAM Projet 1'!T191&gt;0,IF(_TauxActuariel,(('TAM Projet 1'!T191+1)^(1/_NbEchAn))-1,'TAM Projet 1'!T191/_NbEchAn),A199)</f>
        <v>1.5499999999999999E-3</v>
      </c>
      <c r="B200" s="28">
        <f>IF('TAM Projet 1'!W191&gt;0,'TAM Projet 1'!W191,IF('TAM Projet 1'!V191&gt;0,IF(AND(_EchFIXE,A200&gt;0),ROUND(('TAM Projet 1'!AD191-'TAM Projet 1'!U191)*A200/(1-((1+A200)^-'TAM Projet 1'!V191)),_NbDeci),ROUND('TAM Projet 1'!AD191/'TAM Projet 1'!V191,_NbDeci)),B199))</f>
        <v>768.98</v>
      </c>
      <c r="C200" s="10"/>
      <c r="D200" s="10"/>
      <c r="E200" s="10"/>
      <c r="F200" s="10"/>
      <c r="H200" s="29">
        <f>IF('TAM Projet 1'!AJ191&gt;0,IF(_TauxActuariel1,(('TAM Projet 1'!AJ191+1)^(1/_NbechAn1))-1,'TAM Projet 1'!AJ191/_NbechAn1),H199)</f>
        <v>8.3333333333333339E-4</v>
      </c>
      <c r="I200" s="28">
        <f>IF('TAM Projet 1'!AM191&gt;0,'TAM Projet 1'!AM191,IF('TAM Projet 1'!AL191&gt;0,IF(AND(_EchFIXE1,H200&gt;0),ROUND(('TAM Projet 1'!AT191-'TAM Projet 1'!AK191)*H200/(1-((1+H200)^-'TAM Projet 1'!AL191)),_NbDeci1),ROUND('TAM Projet 1'!AT191/'TAM Projet 1'!AL191,_NbDeci1)),I199))</f>
        <v>187406.04</v>
      </c>
      <c r="J200" s="10"/>
      <c r="K200" s="10"/>
      <c r="L200" s="10"/>
      <c r="M200" s="10"/>
      <c r="O200" s="186">
        <v>198</v>
      </c>
    </row>
    <row r="201" spans="1:15" x14ac:dyDescent="0.2">
      <c r="A201" s="29">
        <f>IF('TAM Projet 1'!T192&gt;0,IF(_TauxActuariel,(('TAM Projet 1'!T192+1)^(1/_NbEchAn))-1,'TAM Projet 1'!T192/_NbEchAn),A200)</f>
        <v>1.5499999999999999E-3</v>
      </c>
      <c r="B201" s="28">
        <f>IF('TAM Projet 1'!W192&gt;0,'TAM Projet 1'!W192,IF('TAM Projet 1'!V192&gt;0,IF(AND(_EchFIXE,A201&gt;0),ROUND(('TAM Projet 1'!AD192-'TAM Projet 1'!U192)*A201/(1-((1+A201)^-'TAM Projet 1'!V192)),_NbDeci),ROUND('TAM Projet 1'!AD192/'TAM Projet 1'!V192,_NbDeci)),B200))</f>
        <v>768.98</v>
      </c>
      <c r="C201" s="10"/>
      <c r="D201" s="10"/>
      <c r="E201" s="10"/>
      <c r="F201" s="10"/>
      <c r="H201" s="29">
        <f>IF('TAM Projet 1'!AJ192&gt;0,IF(_TauxActuariel1,(('TAM Projet 1'!AJ192+1)^(1/_NbechAn1))-1,'TAM Projet 1'!AJ192/_NbechAn1),H200)</f>
        <v>8.3333333333333339E-4</v>
      </c>
      <c r="I201" s="28">
        <f>IF('TAM Projet 1'!AM192&gt;0,'TAM Projet 1'!AM192,IF('TAM Projet 1'!AL192&gt;0,IF(AND(_EchFIXE1,H201&gt;0),ROUND(('TAM Projet 1'!AT192-'TAM Projet 1'!AK192)*H201/(1-((1+H201)^-'TAM Projet 1'!AL192)),_NbDeci1),ROUND('TAM Projet 1'!AT192/'TAM Projet 1'!AL192,_NbDeci1)),I200))</f>
        <v>187406.04</v>
      </c>
      <c r="J201" s="10"/>
      <c r="K201" s="10"/>
      <c r="L201" s="10"/>
      <c r="M201" s="10"/>
      <c r="O201" s="186">
        <v>199</v>
      </c>
    </row>
    <row r="202" spans="1:15" x14ac:dyDescent="0.2">
      <c r="A202" s="29">
        <f>IF('TAM Projet 1'!T193&gt;0,IF(_TauxActuariel,(('TAM Projet 1'!T193+1)^(1/_NbEchAn))-1,'TAM Projet 1'!T193/_NbEchAn),A201)</f>
        <v>1.5499999999999999E-3</v>
      </c>
      <c r="B202" s="28">
        <f>IF('TAM Projet 1'!W193&gt;0,'TAM Projet 1'!W193,IF('TAM Projet 1'!V193&gt;0,IF(AND(_EchFIXE,A202&gt;0),ROUND(('TAM Projet 1'!AD193-'TAM Projet 1'!U193)*A202/(1-((1+A202)^-'TAM Projet 1'!V193)),_NbDeci),ROUND('TAM Projet 1'!AD193/'TAM Projet 1'!V193,_NbDeci)),B201))</f>
        <v>768.98</v>
      </c>
      <c r="C202" s="10"/>
      <c r="D202" s="10"/>
      <c r="E202" s="10"/>
      <c r="F202" s="10"/>
      <c r="H202" s="29">
        <f>IF('TAM Projet 1'!AJ193&gt;0,IF(_TauxActuariel1,(('TAM Projet 1'!AJ193+1)^(1/_NbechAn1))-1,'TAM Projet 1'!AJ193/_NbechAn1),H201)</f>
        <v>8.3333333333333339E-4</v>
      </c>
      <c r="I202" s="28">
        <f>IF('TAM Projet 1'!AM193&gt;0,'TAM Projet 1'!AM193,IF('TAM Projet 1'!AL193&gt;0,IF(AND(_EchFIXE1,H202&gt;0),ROUND(('TAM Projet 1'!AT193-'TAM Projet 1'!AK193)*H202/(1-((1+H202)^-'TAM Projet 1'!AL193)),_NbDeci1),ROUND('TAM Projet 1'!AT193/'TAM Projet 1'!AL193,_NbDeci1)),I201))</f>
        <v>187406.04</v>
      </c>
      <c r="J202" s="10"/>
      <c r="K202" s="10"/>
      <c r="L202" s="10"/>
      <c r="M202" s="10"/>
      <c r="O202" s="186">
        <v>200</v>
      </c>
    </row>
    <row r="203" spans="1:15" x14ac:dyDescent="0.2">
      <c r="A203" s="29">
        <f>IF('TAM Projet 1'!T194&gt;0,IF(_TauxActuariel,(('TAM Projet 1'!T194+1)^(1/_NbEchAn))-1,'TAM Projet 1'!T194/_NbEchAn),A202)</f>
        <v>1.5499999999999999E-3</v>
      </c>
      <c r="B203" s="28">
        <f>IF('TAM Projet 1'!W194&gt;0,'TAM Projet 1'!W194,IF('TAM Projet 1'!V194&gt;0,IF(AND(_EchFIXE,A203&gt;0),ROUND(('TAM Projet 1'!AD194-'TAM Projet 1'!U194)*A203/(1-((1+A203)^-'TAM Projet 1'!V194)),_NbDeci),ROUND('TAM Projet 1'!AD194/'TAM Projet 1'!V194,_NbDeci)),B202))</f>
        <v>768.98</v>
      </c>
      <c r="C203" s="10"/>
      <c r="D203" s="10"/>
      <c r="E203" s="10"/>
      <c r="F203" s="10"/>
      <c r="H203" s="29">
        <f>IF('TAM Projet 1'!AJ194&gt;0,IF(_TauxActuariel1,(('TAM Projet 1'!AJ194+1)^(1/_NbechAn1))-1,'TAM Projet 1'!AJ194/_NbechAn1),H202)</f>
        <v>8.3333333333333339E-4</v>
      </c>
      <c r="I203" s="28">
        <f>IF('TAM Projet 1'!AM194&gt;0,'TAM Projet 1'!AM194,IF('TAM Projet 1'!AL194&gt;0,IF(AND(_EchFIXE1,H203&gt;0),ROUND(('TAM Projet 1'!AT194-'TAM Projet 1'!AK194)*H203/(1-((1+H203)^-'TAM Projet 1'!AL194)),_NbDeci1),ROUND('TAM Projet 1'!AT194/'TAM Projet 1'!AL194,_NbDeci1)),I202))</f>
        <v>187406.04</v>
      </c>
      <c r="J203" s="10"/>
      <c r="K203" s="10"/>
      <c r="L203" s="10"/>
      <c r="M203" s="10"/>
      <c r="O203" s="186">
        <v>201</v>
      </c>
    </row>
    <row r="204" spans="1:15" x14ac:dyDescent="0.2">
      <c r="A204" s="29">
        <f>IF('TAM Projet 1'!T195&gt;0,IF(_TauxActuariel,(('TAM Projet 1'!T195+1)^(1/_NbEchAn))-1,'TAM Projet 1'!T195/_NbEchAn),A203)</f>
        <v>1.5499999999999999E-3</v>
      </c>
      <c r="B204" s="28">
        <f>IF('TAM Projet 1'!W195&gt;0,'TAM Projet 1'!W195,IF('TAM Projet 1'!V195&gt;0,IF(AND(_EchFIXE,A204&gt;0),ROUND(('TAM Projet 1'!AD195-'TAM Projet 1'!U195)*A204/(1-((1+A204)^-'TAM Projet 1'!V195)),_NbDeci),ROUND('TAM Projet 1'!AD195/'TAM Projet 1'!V195,_NbDeci)),B203))</f>
        <v>768.98</v>
      </c>
      <c r="C204" s="10"/>
      <c r="D204" s="10"/>
      <c r="E204" s="10"/>
      <c r="F204" s="10"/>
      <c r="H204" s="29">
        <f>IF('TAM Projet 1'!AJ195&gt;0,IF(_TauxActuariel1,(('TAM Projet 1'!AJ195+1)^(1/_NbechAn1))-1,'TAM Projet 1'!AJ195/_NbechAn1),H203)</f>
        <v>8.3333333333333339E-4</v>
      </c>
      <c r="I204" s="28">
        <f>IF('TAM Projet 1'!AM195&gt;0,'TAM Projet 1'!AM195,IF('TAM Projet 1'!AL195&gt;0,IF(AND(_EchFIXE1,H204&gt;0),ROUND(('TAM Projet 1'!AT195-'TAM Projet 1'!AK195)*H204/(1-((1+H204)^-'TAM Projet 1'!AL195)),_NbDeci1),ROUND('TAM Projet 1'!AT195/'TAM Projet 1'!AL195,_NbDeci1)),I203))</f>
        <v>187406.04</v>
      </c>
      <c r="J204" s="10"/>
      <c r="K204" s="10"/>
      <c r="L204" s="10"/>
      <c r="M204" s="10"/>
      <c r="O204" s="186">
        <v>202</v>
      </c>
    </row>
    <row r="205" spans="1:15" x14ac:dyDescent="0.2">
      <c r="A205" s="29">
        <f>IF('TAM Projet 1'!T196&gt;0,IF(_TauxActuariel,(('TAM Projet 1'!T196+1)^(1/_NbEchAn))-1,'TAM Projet 1'!T196/_NbEchAn),A204)</f>
        <v>1.5499999999999999E-3</v>
      </c>
      <c r="B205" s="28">
        <f>IF('TAM Projet 1'!W196&gt;0,'TAM Projet 1'!W196,IF('TAM Projet 1'!V196&gt;0,IF(AND(_EchFIXE,A205&gt;0),ROUND(('TAM Projet 1'!AD196-'TAM Projet 1'!U196)*A205/(1-((1+A205)^-'TAM Projet 1'!V196)),_NbDeci),ROUND('TAM Projet 1'!AD196/'TAM Projet 1'!V196,_NbDeci)),B204))</f>
        <v>768.98</v>
      </c>
      <c r="C205" s="10"/>
      <c r="D205" s="10"/>
      <c r="E205" s="10"/>
      <c r="F205" s="10"/>
      <c r="H205" s="29">
        <f>IF('TAM Projet 1'!AJ196&gt;0,IF(_TauxActuariel1,(('TAM Projet 1'!AJ196+1)^(1/_NbechAn1))-1,'TAM Projet 1'!AJ196/_NbechAn1),H204)</f>
        <v>8.3333333333333339E-4</v>
      </c>
      <c r="I205" s="28">
        <f>IF('TAM Projet 1'!AM196&gt;0,'TAM Projet 1'!AM196,IF('TAM Projet 1'!AL196&gt;0,IF(AND(_EchFIXE1,H205&gt;0),ROUND(('TAM Projet 1'!AT196-'TAM Projet 1'!AK196)*H205/(1-((1+H205)^-'TAM Projet 1'!AL196)),_NbDeci1),ROUND('TAM Projet 1'!AT196/'TAM Projet 1'!AL196,_NbDeci1)),I204))</f>
        <v>187406.04</v>
      </c>
      <c r="J205" s="10"/>
      <c r="K205" s="10"/>
      <c r="L205" s="10"/>
      <c r="M205" s="10"/>
      <c r="O205" s="186">
        <v>203</v>
      </c>
    </row>
    <row r="206" spans="1:15" x14ac:dyDescent="0.2">
      <c r="A206" s="29">
        <f>IF('TAM Projet 1'!T197&gt;0,IF(_TauxActuariel,(('TAM Projet 1'!T197+1)^(1/_NbEchAn))-1,'TAM Projet 1'!T197/_NbEchAn),A205)</f>
        <v>1.5499999999999999E-3</v>
      </c>
      <c r="B206" s="28">
        <f>IF('TAM Projet 1'!W197&gt;0,'TAM Projet 1'!W197,IF('TAM Projet 1'!V197&gt;0,IF(AND(_EchFIXE,A206&gt;0),ROUND(('TAM Projet 1'!AD197-'TAM Projet 1'!U197)*A206/(1-((1+A206)^-'TAM Projet 1'!V197)),_NbDeci),ROUND('TAM Projet 1'!AD197/'TAM Projet 1'!V197,_NbDeci)),B205))</f>
        <v>768.98</v>
      </c>
      <c r="C206" s="10"/>
      <c r="D206" s="10"/>
      <c r="E206" s="10"/>
      <c r="F206" s="10"/>
      <c r="H206" s="29">
        <f>IF('TAM Projet 1'!AJ197&gt;0,IF(_TauxActuariel1,(('TAM Projet 1'!AJ197+1)^(1/_NbechAn1))-1,'TAM Projet 1'!AJ197/_NbechAn1),H205)</f>
        <v>8.3333333333333339E-4</v>
      </c>
      <c r="I206" s="28">
        <f>IF('TAM Projet 1'!AM197&gt;0,'TAM Projet 1'!AM197,IF('TAM Projet 1'!AL197&gt;0,IF(AND(_EchFIXE1,H206&gt;0),ROUND(('TAM Projet 1'!AT197-'TAM Projet 1'!AK197)*H206/(1-((1+H206)^-'TAM Projet 1'!AL197)),_NbDeci1),ROUND('TAM Projet 1'!AT197/'TAM Projet 1'!AL197,_NbDeci1)),I205))</f>
        <v>187406.04</v>
      </c>
      <c r="J206" s="10"/>
      <c r="K206" s="10"/>
      <c r="L206" s="10"/>
      <c r="M206" s="10"/>
      <c r="O206" s="186">
        <v>204</v>
      </c>
    </row>
    <row r="207" spans="1:15" x14ac:dyDescent="0.2">
      <c r="A207" s="29">
        <f>IF('TAM Projet 1'!T198&gt;0,IF(_TauxActuariel,(('TAM Projet 1'!T198+1)^(1/_NbEchAn))-1,'TAM Projet 1'!T198/_NbEchAn),A206)</f>
        <v>1.5499999999999999E-3</v>
      </c>
      <c r="B207" s="28">
        <f>IF('TAM Projet 1'!W198&gt;0,'TAM Projet 1'!W198,IF('TAM Projet 1'!V198&gt;0,IF(AND(_EchFIXE,A207&gt;0),ROUND(('TAM Projet 1'!AD198-'TAM Projet 1'!U198)*A207/(1-((1+A207)^-'TAM Projet 1'!V198)),_NbDeci),ROUND('TAM Projet 1'!AD198/'TAM Projet 1'!V198,_NbDeci)),B206))</f>
        <v>768.98</v>
      </c>
      <c r="C207" s="10"/>
      <c r="D207" s="10"/>
      <c r="E207" s="10"/>
      <c r="F207" s="10"/>
      <c r="H207" s="29">
        <f>IF('TAM Projet 1'!AJ198&gt;0,IF(_TauxActuariel1,(('TAM Projet 1'!AJ198+1)^(1/_NbechAn1))-1,'TAM Projet 1'!AJ198/_NbechAn1),H206)</f>
        <v>8.3333333333333339E-4</v>
      </c>
      <c r="I207" s="28">
        <f>IF('TAM Projet 1'!AM198&gt;0,'TAM Projet 1'!AM198,IF('TAM Projet 1'!AL198&gt;0,IF(AND(_EchFIXE1,H207&gt;0),ROUND(('TAM Projet 1'!AT198-'TAM Projet 1'!AK198)*H207/(1-((1+H207)^-'TAM Projet 1'!AL198)),_NbDeci1),ROUND('TAM Projet 1'!AT198/'TAM Projet 1'!AL198,_NbDeci1)),I206))</f>
        <v>187406.04</v>
      </c>
      <c r="J207" s="10"/>
      <c r="K207" s="10"/>
      <c r="L207" s="10"/>
      <c r="M207" s="10"/>
      <c r="O207" s="186">
        <v>205</v>
      </c>
    </row>
    <row r="208" spans="1:15" x14ac:dyDescent="0.2">
      <c r="A208" s="29">
        <f>IF('TAM Projet 1'!T199&gt;0,IF(_TauxActuariel,(('TAM Projet 1'!T199+1)^(1/_NbEchAn))-1,'TAM Projet 1'!T199/_NbEchAn),A207)</f>
        <v>1.5499999999999999E-3</v>
      </c>
      <c r="B208" s="28">
        <f>IF('TAM Projet 1'!W199&gt;0,'TAM Projet 1'!W199,IF('TAM Projet 1'!V199&gt;0,IF(AND(_EchFIXE,A208&gt;0),ROUND(('TAM Projet 1'!AD199-'TAM Projet 1'!U199)*A208/(1-((1+A208)^-'TAM Projet 1'!V199)),_NbDeci),ROUND('TAM Projet 1'!AD199/'TAM Projet 1'!V199,_NbDeci)),B207))</f>
        <v>768.98</v>
      </c>
      <c r="C208" s="10"/>
      <c r="D208" s="10"/>
      <c r="E208" s="10"/>
      <c r="F208" s="10"/>
      <c r="H208" s="29">
        <f>IF('TAM Projet 1'!AJ199&gt;0,IF(_TauxActuariel1,(('TAM Projet 1'!AJ199+1)^(1/_NbechAn1))-1,'TAM Projet 1'!AJ199/_NbechAn1),H207)</f>
        <v>8.3333333333333339E-4</v>
      </c>
      <c r="I208" s="28">
        <f>IF('TAM Projet 1'!AM199&gt;0,'TAM Projet 1'!AM199,IF('TAM Projet 1'!AL199&gt;0,IF(AND(_EchFIXE1,H208&gt;0),ROUND(('TAM Projet 1'!AT199-'TAM Projet 1'!AK199)*H208/(1-((1+H208)^-'TAM Projet 1'!AL199)),_NbDeci1),ROUND('TAM Projet 1'!AT199/'TAM Projet 1'!AL199,_NbDeci1)),I207))</f>
        <v>187406.04</v>
      </c>
      <c r="J208" s="10"/>
      <c r="K208" s="10"/>
      <c r="L208" s="10"/>
      <c r="M208" s="10"/>
      <c r="O208" s="186">
        <v>206</v>
      </c>
    </row>
    <row r="209" spans="1:15" x14ac:dyDescent="0.2">
      <c r="A209" s="29">
        <f>IF('TAM Projet 1'!T200&gt;0,IF(_TauxActuariel,(('TAM Projet 1'!T200+1)^(1/_NbEchAn))-1,'TAM Projet 1'!T200/_NbEchAn),A208)</f>
        <v>1.5499999999999999E-3</v>
      </c>
      <c r="B209" s="28">
        <f>IF('TAM Projet 1'!W200&gt;0,'TAM Projet 1'!W200,IF('TAM Projet 1'!V200&gt;0,IF(AND(_EchFIXE,A209&gt;0),ROUND(('TAM Projet 1'!AD200-'TAM Projet 1'!U200)*A209/(1-((1+A209)^-'TAM Projet 1'!V200)),_NbDeci),ROUND('TAM Projet 1'!AD200/'TAM Projet 1'!V200,_NbDeci)),B208))</f>
        <v>768.98</v>
      </c>
      <c r="C209" s="10"/>
      <c r="D209" s="10"/>
      <c r="E209" s="10"/>
      <c r="F209" s="10"/>
      <c r="H209" s="29">
        <f>IF('TAM Projet 1'!AJ200&gt;0,IF(_TauxActuariel1,(('TAM Projet 1'!AJ200+1)^(1/_NbechAn1))-1,'TAM Projet 1'!AJ200/_NbechAn1),H208)</f>
        <v>8.3333333333333339E-4</v>
      </c>
      <c r="I209" s="28">
        <f>IF('TAM Projet 1'!AM200&gt;0,'TAM Projet 1'!AM200,IF('TAM Projet 1'!AL200&gt;0,IF(AND(_EchFIXE1,H209&gt;0),ROUND(('TAM Projet 1'!AT200-'TAM Projet 1'!AK200)*H209/(1-((1+H209)^-'TAM Projet 1'!AL200)),_NbDeci1),ROUND('TAM Projet 1'!AT200/'TAM Projet 1'!AL200,_NbDeci1)),I208))</f>
        <v>187406.04</v>
      </c>
      <c r="J209" s="10"/>
      <c r="K209" s="10"/>
      <c r="L209" s="10"/>
      <c r="M209" s="10"/>
      <c r="O209" s="186">
        <v>207</v>
      </c>
    </row>
    <row r="210" spans="1:15" x14ac:dyDescent="0.2">
      <c r="A210" s="29">
        <f>IF('TAM Projet 1'!T201&gt;0,IF(_TauxActuariel,(('TAM Projet 1'!T201+1)^(1/_NbEchAn))-1,'TAM Projet 1'!T201/_NbEchAn),A209)</f>
        <v>1.5499999999999999E-3</v>
      </c>
      <c r="B210" s="28">
        <f>IF('TAM Projet 1'!W201&gt;0,'TAM Projet 1'!W201,IF('TAM Projet 1'!V201&gt;0,IF(AND(_EchFIXE,A210&gt;0),ROUND(('TAM Projet 1'!AD201-'TAM Projet 1'!U201)*A210/(1-((1+A210)^-'TAM Projet 1'!V201)),_NbDeci),ROUND('TAM Projet 1'!AD201/'TAM Projet 1'!V201,_NbDeci)),B209))</f>
        <v>768.98</v>
      </c>
      <c r="C210" s="10"/>
      <c r="D210" s="10"/>
      <c r="E210" s="10"/>
      <c r="F210" s="10"/>
      <c r="H210" s="29">
        <f>IF('TAM Projet 1'!AJ201&gt;0,IF(_TauxActuariel1,(('TAM Projet 1'!AJ201+1)^(1/_NbechAn1))-1,'TAM Projet 1'!AJ201/_NbechAn1),H209)</f>
        <v>8.3333333333333339E-4</v>
      </c>
      <c r="I210" s="28">
        <f>IF('TAM Projet 1'!AM201&gt;0,'TAM Projet 1'!AM201,IF('TAM Projet 1'!AL201&gt;0,IF(AND(_EchFIXE1,H210&gt;0),ROUND(('TAM Projet 1'!AT201-'TAM Projet 1'!AK201)*H210/(1-((1+H210)^-'TAM Projet 1'!AL201)),_NbDeci1),ROUND('TAM Projet 1'!AT201/'TAM Projet 1'!AL201,_NbDeci1)),I209))</f>
        <v>187406.04</v>
      </c>
      <c r="J210" s="10"/>
      <c r="K210" s="10"/>
      <c r="L210" s="10"/>
      <c r="M210" s="10"/>
      <c r="O210" s="186">
        <v>208</v>
      </c>
    </row>
    <row r="211" spans="1:15" x14ac:dyDescent="0.2">
      <c r="A211" s="29">
        <f>IF('TAM Projet 1'!T202&gt;0,IF(_TauxActuariel,(('TAM Projet 1'!T202+1)^(1/_NbEchAn))-1,'TAM Projet 1'!T202/_NbEchAn),A210)</f>
        <v>1.5499999999999999E-3</v>
      </c>
      <c r="B211" s="28">
        <f>IF('TAM Projet 1'!W202&gt;0,'TAM Projet 1'!W202,IF('TAM Projet 1'!V202&gt;0,IF(AND(_EchFIXE,A211&gt;0),ROUND(('TAM Projet 1'!AD202-'TAM Projet 1'!U202)*A211/(1-((1+A211)^-'TAM Projet 1'!V202)),_NbDeci),ROUND('TAM Projet 1'!AD202/'TAM Projet 1'!V202,_NbDeci)),B210))</f>
        <v>768.98</v>
      </c>
      <c r="C211" s="10"/>
      <c r="D211" s="10"/>
      <c r="E211" s="10"/>
      <c r="F211" s="10"/>
      <c r="H211" s="29">
        <f>IF('TAM Projet 1'!AJ202&gt;0,IF(_TauxActuariel1,(('TAM Projet 1'!AJ202+1)^(1/_NbechAn1))-1,'TAM Projet 1'!AJ202/_NbechAn1),H210)</f>
        <v>8.3333333333333339E-4</v>
      </c>
      <c r="I211" s="28">
        <f>IF('TAM Projet 1'!AM202&gt;0,'TAM Projet 1'!AM202,IF('TAM Projet 1'!AL202&gt;0,IF(AND(_EchFIXE1,H211&gt;0),ROUND(('TAM Projet 1'!AT202-'TAM Projet 1'!AK202)*H211/(1-((1+H211)^-'TAM Projet 1'!AL202)),_NbDeci1),ROUND('TAM Projet 1'!AT202/'TAM Projet 1'!AL202,_NbDeci1)),I210))</f>
        <v>187406.04</v>
      </c>
      <c r="J211" s="10"/>
      <c r="K211" s="10"/>
      <c r="L211" s="10"/>
      <c r="M211" s="10"/>
      <c r="O211" s="186">
        <v>209</v>
      </c>
    </row>
    <row r="212" spans="1:15" x14ac:dyDescent="0.2">
      <c r="A212" s="29">
        <f>IF('TAM Projet 1'!T203&gt;0,IF(_TauxActuariel,(('TAM Projet 1'!T203+1)^(1/_NbEchAn))-1,'TAM Projet 1'!T203/_NbEchAn),A211)</f>
        <v>1.5499999999999999E-3</v>
      </c>
      <c r="B212" s="28">
        <f>IF('TAM Projet 1'!W203&gt;0,'TAM Projet 1'!W203,IF('TAM Projet 1'!V203&gt;0,IF(AND(_EchFIXE,A212&gt;0),ROUND(('TAM Projet 1'!AD203-'TAM Projet 1'!U203)*A212/(1-((1+A212)^-'TAM Projet 1'!V203)),_NbDeci),ROUND('TAM Projet 1'!AD203/'TAM Projet 1'!V203,_NbDeci)),B211))</f>
        <v>768.98</v>
      </c>
      <c r="C212" s="10"/>
      <c r="D212" s="10"/>
      <c r="E212" s="10"/>
      <c r="F212" s="10"/>
      <c r="H212" s="29">
        <f>IF('TAM Projet 1'!AJ203&gt;0,IF(_TauxActuariel1,(('TAM Projet 1'!AJ203+1)^(1/_NbechAn1))-1,'TAM Projet 1'!AJ203/_NbechAn1),H211)</f>
        <v>8.3333333333333339E-4</v>
      </c>
      <c r="I212" s="28">
        <f>IF('TAM Projet 1'!AM203&gt;0,'TAM Projet 1'!AM203,IF('TAM Projet 1'!AL203&gt;0,IF(AND(_EchFIXE1,H212&gt;0),ROUND(('TAM Projet 1'!AT203-'TAM Projet 1'!AK203)*H212/(1-((1+H212)^-'TAM Projet 1'!AL203)),_NbDeci1),ROUND('TAM Projet 1'!AT203/'TAM Projet 1'!AL203,_NbDeci1)),I211))</f>
        <v>187406.04</v>
      </c>
      <c r="J212" s="10"/>
      <c r="K212" s="10"/>
      <c r="L212" s="10"/>
      <c r="M212" s="10"/>
      <c r="O212" s="186">
        <v>210</v>
      </c>
    </row>
    <row r="213" spans="1:15" x14ac:dyDescent="0.2">
      <c r="A213" s="29">
        <f>IF('TAM Projet 1'!T204&gt;0,IF(_TauxActuariel,(('TAM Projet 1'!T204+1)^(1/_NbEchAn))-1,'TAM Projet 1'!T204/_NbEchAn),A212)</f>
        <v>1.5499999999999999E-3</v>
      </c>
      <c r="B213" s="28">
        <f>IF('TAM Projet 1'!W204&gt;0,'TAM Projet 1'!W204,IF('TAM Projet 1'!V204&gt;0,IF(AND(_EchFIXE,A213&gt;0),ROUND(('TAM Projet 1'!AD204-'TAM Projet 1'!U204)*A213/(1-((1+A213)^-'TAM Projet 1'!V204)),_NbDeci),ROUND('TAM Projet 1'!AD204/'TAM Projet 1'!V204,_NbDeci)),B212))</f>
        <v>768.98</v>
      </c>
      <c r="C213" s="10"/>
      <c r="D213" s="10"/>
      <c r="E213" s="10"/>
      <c r="F213" s="10"/>
      <c r="H213" s="29">
        <f>IF('TAM Projet 1'!AJ204&gt;0,IF(_TauxActuariel1,(('TAM Projet 1'!AJ204+1)^(1/_NbechAn1))-1,'TAM Projet 1'!AJ204/_NbechAn1),H212)</f>
        <v>8.3333333333333339E-4</v>
      </c>
      <c r="I213" s="28">
        <f>IF('TAM Projet 1'!AM204&gt;0,'TAM Projet 1'!AM204,IF('TAM Projet 1'!AL204&gt;0,IF(AND(_EchFIXE1,H213&gt;0),ROUND(('TAM Projet 1'!AT204-'TAM Projet 1'!AK204)*H213/(1-((1+H213)^-'TAM Projet 1'!AL204)),_NbDeci1),ROUND('TAM Projet 1'!AT204/'TAM Projet 1'!AL204,_NbDeci1)),I212))</f>
        <v>187406.04</v>
      </c>
      <c r="J213" s="10"/>
      <c r="K213" s="10"/>
      <c r="L213" s="10"/>
      <c r="M213" s="10"/>
      <c r="O213" s="186">
        <v>211</v>
      </c>
    </row>
    <row r="214" spans="1:15" x14ac:dyDescent="0.2">
      <c r="A214" s="29">
        <f>IF('TAM Projet 1'!T205&gt;0,IF(_TauxActuariel,(('TAM Projet 1'!T205+1)^(1/_NbEchAn))-1,'TAM Projet 1'!T205/_NbEchAn),A213)</f>
        <v>1.5499999999999999E-3</v>
      </c>
      <c r="B214" s="28">
        <f>IF('TAM Projet 1'!W205&gt;0,'TAM Projet 1'!W205,IF('TAM Projet 1'!V205&gt;0,IF(AND(_EchFIXE,A214&gt;0),ROUND(('TAM Projet 1'!AD205-'TAM Projet 1'!U205)*A214/(1-((1+A214)^-'TAM Projet 1'!V205)),_NbDeci),ROUND('TAM Projet 1'!AD205/'TAM Projet 1'!V205,_NbDeci)),B213))</f>
        <v>768.98</v>
      </c>
      <c r="C214" s="10"/>
      <c r="D214" s="10"/>
      <c r="E214" s="10"/>
      <c r="F214" s="10"/>
      <c r="H214" s="29">
        <f>IF('TAM Projet 1'!AJ205&gt;0,IF(_TauxActuariel1,(('TAM Projet 1'!AJ205+1)^(1/_NbechAn1))-1,'TAM Projet 1'!AJ205/_NbechAn1),H213)</f>
        <v>8.3333333333333339E-4</v>
      </c>
      <c r="I214" s="28">
        <f>IF('TAM Projet 1'!AM205&gt;0,'TAM Projet 1'!AM205,IF('TAM Projet 1'!AL205&gt;0,IF(AND(_EchFIXE1,H214&gt;0),ROUND(('TAM Projet 1'!AT205-'TAM Projet 1'!AK205)*H214/(1-((1+H214)^-'TAM Projet 1'!AL205)),_NbDeci1),ROUND('TAM Projet 1'!AT205/'TAM Projet 1'!AL205,_NbDeci1)),I213))</f>
        <v>187406.04</v>
      </c>
      <c r="J214" s="10"/>
      <c r="K214" s="10"/>
      <c r="L214" s="10"/>
      <c r="M214" s="10"/>
      <c r="O214" s="186">
        <v>212</v>
      </c>
    </row>
    <row r="215" spans="1:15" x14ac:dyDescent="0.2">
      <c r="A215" s="29">
        <f>IF('TAM Projet 1'!T206&gt;0,IF(_TauxActuariel,(('TAM Projet 1'!T206+1)^(1/_NbEchAn))-1,'TAM Projet 1'!T206/_NbEchAn),A214)</f>
        <v>1.5499999999999999E-3</v>
      </c>
      <c r="B215" s="28">
        <f>IF('TAM Projet 1'!W206&gt;0,'TAM Projet 1'!W206,IF('TAM Projet 1'!V206&gt;0,IF(AND(_EchFIXE,A215&gt;0),ROUND(('TAM Projet 1'!AD206-'TAM Projet 1'!U206)*A215/(1-((1+A215)^-'TAM Projet 1'!V206)),_NbDeci),ROUND('TAM Projet 1'!AD206/'TAM Projet 1'!V206,_NbDeci)),B214))</f>
        <v>768.98</v>
      </c>
      <c r="C215" s="10"/>
      <c r="D215" s="10"/>
      <c r="E215" s="10"/>
      <c r="F215" s="10"/>
      <c r="H215" s="29">
        <f>IF('TAM Projet 1'!AJ206&gt;0,IF(_TauxActuariel1,(('TAM Projet 1'!AJ206+1)^(1/_NbechAn1))-1,'TAM Projet 1'!AJ206/_NbechAn1),H214)</f>
        <v>8.3333333333333339E-4</v>
      </c>
      <c r="I215" s="28">
        <f>IF('TAM Projet 1'!AM206&gt;0,'TAM Projet 1'!AM206,IF('TAM Projet 1'!AL206&gt;0,IF(AND(_EchFIXE1,H215&gt;0),ROUND(('TAM Projet 1'!AT206-'TAM Projet 1'!AK206)*H215/(1-((1+H215)^-'TAM Projet 1'!AL206)),_NbDeci1),ROUND('TAM Projet 1'!AT206/'TAM Projet 1'!AL206,_NbDeci1)),I214))</f>
        <v>187406.04</v>
      </c>
      <c r="J215" s="10"/>
      <c r="K215" s="10"/>
      <c r="L215" s="10"/>
      <c r="M215" s="10"/>
      <c r="O215" s="186">
        <v>213</v>
      </c>
    </row>
    <row r="216" spans="1:15" x14ac:dyDescent="0.2">
      <c r="A216" s="29">
        <f>IF('TAM Projet 1'!T207&gt;0,IF(_TauxActuariel,(('TAM Projet 1'!T207+1)^(1/_NbEchAn))-1,'TAM Projet 1'!T207/_NbEchAn),A215)</f>
        <v>1.5499999999999999E-3</v>
      </c>
      <c r="B216" s="28">
        <f>IF('TAM Projet 1'!W207&gt;0,'TAM Projet 1'!W207,IF('TAM Projet 1'!V207&gt;0,IF(AND(_EchFIXE,A216&gt;0),ROUND(('TAM Projet 1'!AD207-'TAM Projet 1'!U207)*A216/(1-((1+A216)^-'TAM Projet 1'!V207)),_NbDeci),ROUND('TAM Projet 1'!AD207/'TAM Projet 1'!V207,_NbDeci)),B215))</f>
        <v>768.98</v>
      </c>
      <c r="C216" s="10"/>
      <c r="D216" s="10"/>
      <c r="E216" s="10"/>
      <c r="F216" s="10"/>
      <c r="H216" s="29">
        <f>IF('TAM Projet 1'!AJ207&gt;0,IF(_TauxActuariel1,(('TAM Projet 1'!AJ207+1)^(1/_NbechAn1))-1,'TAM Projet 1'!AJ207/_NbechAn1),H215)</f>
        <v>8.3333333333333339E-4</v>
      </c>
      <c r="I216" s="28">
        <f>IF('TAM Projet 1'!AM207&gt;0,'TAM Projet 1'!AM207,IF('TAM Projet 1'!AL207&gt;0,IF(AND(_EchFIXE1,H216&gt;0),ROUND(('TAM Projet 1'!AT207-'TAM Projet 1'!AK207)*H216/(1-((1+H216)^-'TAM Projet 1'!AL207)),_NbDeci1),ROUND('TAM Projet 1'!AT207/'TAM Projet 1'!AL207,_NbDeci1)),I215))</f>
        <v>187406.04</v>
      </c>
      <c r="J216" s="10"/>
      <c r="K216" s="10"/>
      <c r="L216" s="10"/>
      <c r="M216" s="10"/>
      <c r="O216" s="186">
        <v>214</v>
      </c>
    </row>
    <row r="217" spans="1:15" x14ac:dyDescent="0.2">
      <c r="A217" s="29">
        <f>IF('TAM Projet 1'!T208&gt;0,IF(_TauxActuariel,(('TAM Projet 1'!T208+1)^(1/_NbEchAn))-1,'TAM Projet 1'!T208/_NbEchAn),A216)</f>
        <v>1.5499999999999999E-3</v>
      </c>
      <c r="B217" s="28">
        <f>IF('TAM Projet 1'!W208&gt;0,'TAM Projet 1'!W208,IF('TAM Projet 1'!V208&gt;0,IF(AND(_EchFIXE,A217&gt;0),ROUND(('TAM Projet 1'!AD208-'TAM Projet 1'!U208)*A217/(1-((1+A217)^-'TAM Projet 1'!V208)),_NbDeci),ROUND('TAM Projet 1'!AD208/'TAM Projet 1'!V208,_NbDeci)),B216))</f>
        <v>768.98</v>
      </c>
      <c r="C217" s="10"/>
      <c r="D217" s="10"/>
      <c r="E217" s="10"/>
      <c r="F217" s="10"/>
      <c r="H217" s="29">
        <f>IF('TAM Projet 1'!AJ208&gt;0,IF(_TauxActuariel1,(('TAM Projet 1'!AJ208+1)^(1/_NbechAn1))-1,'TAM Projet 1'!AJ208/_NbechAn1),H216)</f>
        <v>8.3333333333333339E-4</v>
      </c>
      <c r="I217" s="28">
        <f>IF('TAM Projet 1'!AM208&gt;0,'TAM Projet 1'!AM208,IF('TAM Projet 1'!AL208&gt;0,IF(AND(_EchFIXE1,H217&gt;0),ROUND(('TAM Projet 1'!AT208-'TAM Projet 1'!AK208)*H217/(1-((1+H217)^-'TAM Projet 1'!AL208)),_NbDeci1),ROUND('TAM Projet 1'!AT208/'TAM Projet 1'!AL208,_NbDeci1)),I216))</f>
        <v>187406.04</v>
      </c>
      <c r="J217" s="10"/>
      <c r="K217" s="10"/>
      <c r="L217" s="10"/>
      <c r="M217" s="10"/>
      <c r="O217" s="186">
        <v>215</v>
      </c>
    </row>
    <row r="218" spans="1:15" x14ac:dyDescent="0.2">
      <c r="A218" s="29">
        <f>IF('TAM Projet 1'!T209&gt;0,IF(_TauxActuariel,(('TAM Projet 1'!T209+1)^(1/_NbEchAn))-1,'TAM Projet 1'!T209/_NbEchAn),A217)</f>
        <v>1.5499999999999999E-3</v>
      </c>
      <c r="B218" s="28">
        <f>IF('TAM Projet 1'!W209&gt;0,'TAM Projet 1'!W209,IF('TAM Projet 1'!V209&gt;0,IF(AND(_EchFIXE,A218&gt;0),ROUND(('TAM Projet 1'!AD209-'TAM Projet 1'!U209)*A218/(1-((1+A218)^-'TAM Projet 1'!V209)),_NbDeci),ROUND('TAM Projet 1'!AD209/'TAM Projet 1'!V209,_NbDeci)),B217))</f>
        <v>768.98</v>
      </c>
      <c r="C218" s="10"/>
      <c r="D218" s="10"/>
      <c r="E218" s="10"/>
      <c r="F218" s="10"/>
      <c r="H218" s="29">
        <f>IF('TAM Projet 1'!AJ209&gt;0,IF(_TauxActuariel1,(('TAM Projet 1'!AJ209+1)^(1/_NbechAn1))-1,'TAM Projet 1'!AJ209/_NbechAn1),H217)</f>
        <v>8.3333333333333339E-4</v>
      </c>
      <c r="I218" s="28">
        <f>IF('TAM Projet 1'!AM209&gt;0,'TAM Projet 1'!AM209,IF('TAM Projet 1'!AL209&gt;0,IF(AND(_EchFIXE1,H218&gt;0),ROUND(('TAM Projet 1'!AT209-'TAM Projet 1'!AK209)*H218/(1-((1+H218)^-'TAM Projet 1'!AL209)),_NbDeci1),ROUND('TAM Projet 1'!AT209/'TAM Projet 1'!AL209,_NbDeci1)),I217))</f>
        <v>187406.04</v>
      </c>
      <c r="J218" s="10"/>
      <c r="K218" s="10"/>
      <c r="L218" s="10"/>
      <c r="M218" s="10"/>
      <c r="O218" s="186">
        <v>216</v>
      </c>
    </row>
    <row r="219" spans="1:15" x14ac:dyDescent="0.2">
      <c r="A219" s="29">
        <f>IF('TAM Projet 1'!T210&gt;0,IF(_TauxActuariel,(('TAM Projet 1'!T210+1)^(1/_NbEchAn))-1,'TAM Projet 1'!T210/_NbEchAn),A218)</f>
        <v>1.5499999999999999E-3</v>
      </c>
      <c r="B219" s="28">
        <f>IF('TAM Projet 1'!W210&gt;0,'TAM Projet 1'!W210,IF('TAM Projet 1'!V210&gt;0,IF(AND(_EchFIXE,A219&gt;0),ROUND(('TAM Projet 1'!AD210-'TAM Projet 1'!U210)*A219/(1-((1+A219)^-'TAM Projet 1'!V210)),_NbDeci),ROUND('TAM Projet 1'!AD210/'TAM Projet 1'!V210,_NbDeci)),B218))</f>
        <v>768.98</v>
      </c>
      <c r="C219" s="10"/>
      <c r="D219" s="10"/>
      <c r="E219" s="10"/>
      <c r="F219" s="10"/>
      <c r="H219" s="29">
        <f>IF('TAM Projet 1'!AJ210&gt;0,IF(_TauxActuariel1,(('TAM Projet 1'!AJ210+1)^(1/_NbechAn1))-1,'TAM Projet 1'!AJ210/_NbechAn1),H218)</f>
        <v>8.3333333333333339E-4</v>
      </c>
      <c r="I219" s="28">
        <f>IF('TAM Projet 1'!AM210&gt;0,'TAM Projet 1'!AM210,IF('TAM Projet 1'!AL210&gt;0,IF(AND(_EchFIXE1,H219&gt;0),ROUND(('TAM Projet 1'!AT210-'TAM Projet 1'!AK210)*H219/(1-((1+H219)^-'TAM Projet 1'!AL210)),_NbDeci1),ROUND('TAM Projet 1'!AT210/'TAM Projet 1'!AL210,_NbDeci1)),I218))</f>
        <v>187406.04</v>
      </c>
      <c r="J219" s="10"/>
      <c r="K219" s="10"/>
      <c r="L219" s="10"/>
      <c r="M219" s="10"/>
      <c r="O219" s="186">
        <v>217</v>
      </c>
    </row>
    <row r="220" spans="1:15" x14ac:dyDescent="0.2">
      <c r="A220" s="29">
        <f>IF('TAM Projet 1'!T211&gt;0,IF(_TauxActuariel,(('TAM Projet 1'!T211+1)^(1/_NbEchAn))-1,'TAM Projet 1'!T211/_NbEchAn),A219)</f>
        <v>1.5499999999999999E-3</v>
      </c>
      <c r="B220" s="28">
        <f>IF('TAM Projet 1'!W211&gt;0,'TAM Projet 1'!W211,IF('TAM Projet 1'!V211&gt;0,IF(AND(_EchFIXE,A220&gt;0),ROUND(('TAM Projet 1'!AD211-'TAM Projet 1'!U211)*A220/(1-((1+A220)^-'TAM Projet 1'!V211)),_NbDeci),ROUND('TAM Projet 1'!AD211/'TAM Projet 1'!V211,_NbDeci)),B219))</f>
        <v>768.98</v>
      </c>
      <c r="C220" s="10"/>
      <c r="D220" s="10"/>
      <c r="E220" s="10"/>
      <c r="F220" s="10"/>
      <c r="H220" s="29">
        <f>IF('TAM Projet 1'!AJ211&gt;0,IF(_TauxActuariel1,(('TAM Projet 1'!AJ211+1)^(1/_NbechAn1))-1,'TAM Projet 1'!AJ211/_NbechAn1),H219)</f>
        <v>8.3333333333333339E-4</v>
      </c>
      <c r="I220" s="28">
        <f>IF('TAM Projet 1'!AM211&gt;0,'TAM Projet 1'!AM211,IF('TAM Projet 1'!AL211&gt;0,IF(AND(_EchFIXE1,H220&gt;0),ROUND(('TAM Projet 1'!AT211-'TAM Projet 1'!AK211)*H220/(1-((1+H220)^-'TAM Projet 1'!AL211)),_NbDeci1),ROUND('TAM Projet 1'!AT211/'TAM Projet 1'!AL211,_NbDeci1)),I219))</f>
        <v>187406.04</v>
      </c>
      <c r="J220" s="10"/>
      <c r="K220" s="10"/>
      <c r="L220" s="10"/>
      <c r="M220" s="10"/>
      <c r="O220" s="186">
        <v>218</v>
      </c>
    </row>
    <row r="221" spans="1:15" x14ac:dyDescent="0.2">
      <c r="A221" s="29">
        <f>IF('TAM Projet 1'!T212&gt;0,IF(_TauxActuariel,(('TAM Projet 1'!T212+1)^(1/_NbEchAn))-1,'TAM Projet 1'!T212/_NbEchAn),A220)</f>
        <v>1.5499999999999999E-3</v>
      </c>
      <c r="B221" s="28">
        <f>IF('TAM Projet 1'!W212&gt;0,'TAM Projet 1'!W212,IF('TAM Projet 1'!V212&gt;0,IF(AND(_EchFIXE,A221&gt;0),ROUND(('TAM Projet 1'!AD212-'TAM Projet 1'!U212)*A221/(1-((1+A221)^-'TAM Projet 1'!V212)),_NbDeci),ROUND('TAM Projet 1'!AD212/'TAM Projet 1'!V212,_NbDeci)),B220))</f>
        <v>768.98</v>
      </c>
      <c r="C221" s="10"/>
      <c r="D221" s="10"/>
      <c r="E221" s="10"/>
      <c r="F221" s="10"/>
      <c r="H221" s="29">
        <f>IF('TAM Projet 1'!AJ212&gt;0,IF(_TauxActuariel1,(('TAM Projet 1'!AJ212+1)^(1/_NbechAn1))-1,'TAM Projet 1'!AJ212/_NbechAn1),H220)</f>
        <v>8.3333333333333339E-4</v>
      </c>
      <c r="I221" s="28">
        <f>IF('TAM Projet 1'!AM212&gt;0,'TAM Projet 1'!AM212,IF('TAM Projet 1'!AL212&gt;0,IF(AND(_EchFIXE1,H221&gt;0),ROUND(('TAM Projet 1'!AT212-'TAM Projet 1'!AK212)*H221/(1-((1+H221)^-'TAM Projet 1'!AL212)),_NbDeci1),ROUND('TAM Projet 1'!AT212/'TAM Projet 1'!AL212,_NbDeci1)),I220))</f>
        <v>187406.04</v>
      </c>
      <c r="J221" s="10"/>
      <c r="K221" s="10"/>
      <c r="L221" s="10"/>
      <c r="M221" s="10"/>
      <c r="O221" s="186">
        <v>219</v>
      </c>
    </row>
    <row r="222" spans="1:15" x14ac:dyDescent="0.2">
      <c r="A222" s="29">
        <f>IF('TAM Projet 1'!T213&gt;0,IF(_TauxActuariel,(('TAM Projet 1'!T213+1)^(1/_NbEchAn))-1,'TAM Projet 1'!T213/_NbEchAn),A221)</f>
        <v>1.5499999999999999E-3</v>
      </c>
      <c r="B222" s="28">
        <f>IF('TAM Projet 1'!W213&gt;0,'TAM Projet 1'!W213,IF('TAM Projet 1'!V213&gt;0,IF(AND(_EchFIXE,A222&gt;0),ROUND(('TAM Projet 1'!AD213-'TAM Projet 1'!U213)*A222/(1-((1+A222)^-'TAM Projet 1'!V213)),_NbDeci),ROUND('TAM Projet 1'!AD213/'TAM Projet 1'!V213,_NbDeci)),B221))</f>
        <v>768.98</v>
      </c>
      <c r="C222" s="10"/>
      <c r="D222" s="10"/>
      <c r="E222" s="10"/>
      <c r="F222" s="10"/>
      <c r="H222" s="29">
        <f>IF('TAM Projet 1'!AJ213&gt;0,IF(_TauxActuariel1,(('TAM Projet 1'!AJ213+1)^(1/_NbechAn1))-1,'TAM Projet 1'!AJ213/_NbechAn1),H221)</f>
        <v>8.3333333333333339E-4</v>
      </c>
      <c r="I222" s="28">
        <f>IF('TAM Projet 1'!AM213&gt;0,'TAM Projet 1'!AM213,IF('TAM Projet 1'!AL213&gt;0,IF(AND(_EchFIXE1,H222&gt;0),ROUND(('TAM Projet 1'!AT213-'TAM Projet 1'!AK213)*H222/(1-((1+H222)^-'TAM Projet 1'!AL213)),_NbDeci1),ROUND('TAM Projet 1'!AT213/'TAM Projet 1'!AL213,_NbDeci1)),I221))</f>
        <v>187406.04</v>
      </c>
      <c r="J222" s="10"/>
      <c r="K222" s="10"/>
      <c r="L222" s="10"/>
      <c r="M222" s="10"/>
      <c r="O222" s="186">
        <v>220</v>
      </c>
    </row>
    <row r="223" spans="1:15" x14ac:dyDescent="0.2">
      <c r="A223" s="29">
        <f>IF('TAM Projet 1'!T214&gt;0,IF(_TauxActuariel,(('TAM Projet 1'!T214+1)^(1/_NbEchAn))-1,'TAM Projet 1'!T214/_NbEchAn),A222)</f>
        <v>1.5499999999999999E-3</v>
      </c>
      <c r="B223" s="28">
        <f>IF('TAM Projet 1'!W214&gt;0,'TAM Projet 1'!W214,IF('TAM Projet 1'!V214&gt;0,IF(AND(_EchFIXE,A223&gt;0),ROUND(('TAM Projet 1'!AD214-'TAM Projet 1'!U214)*A223/(1-((1+A223)^-'TAM Projet 1'!V214)),_NbDeci),ROUND('TAM Projet 1'!AD214/'TAM Projet 1'!V214,_NbDeci)),B222))</f>
        <v>768.98</v>
      </c>
      <c r="C223" s="10"/>
      <c r="D223" s="10"/>
      <c r="E223" s="10"/>
      <c r="F223" s="10"/>
      <c r="H223" s="29">
        <f>IF('TAM Projet 1'!AJ214&gt;0,IF(_TauxActuariel1,(('TAM Projet 1'!AJ214+1)^(1/_NbechAn1))-1,'TAM Projet 1'!AJ214/_NbechAn1),H222)</f>
        <v>8.3333333333333339E-4</v>
      </c>
      <c r="I223" s="28">
        <f>IF('TAM Projet 1'!AM214&gt;0,'TAM Projet 1'!AM214,IF('TAM Projet 1'!AL214&gt;0,IF(AND(_EchFIXE1,H223&gt;0),ROUND(('TAM Projet 1'!AT214-'TAM Projet 1'!AK214)*H223/(1-((1+H223)^-'TAM Projet 1'!AL214)),_NbDeci1),ROUND('TAM Projet 1'!AT214/'TAM Projet 1'!AL214,_NbDeci1)),I222))</f>
        <v>187406.04</v>
      </c>
      <c r="J223" s="10"/>
      <c r="K223" s="10"/>
      <c r="L223" s="10"/>
      <c r="M223" s="10"/>
      <c r="O223" s="186">
        <v>221</v>
      </c>
    </row>
    <row r="224" spans="1:15" x14ac:dyDescent="0.2">
      <c r="A224" s="29">
        <f>IF('TAM Projet 1'!T215&gt;0,IF(_TauxActuariel,(('TAM Projet 1'!T215+1)^(1/_NbEchAn))-1,'TAM Projet 1'!T215/_NbEchAn),A223)</f>
        <v>1.5499999999999999E-3</v>
      </c>
      <c r="B224" s="28">
        <f>IF('TAM Projet 1'!W215&gt;0,'TAM Projet 1'!W215,IF('TAM Projet 1'!V215&gt;0,IF(AND(_EchFIXE,A224&gt;0),ROUND(('TAM Projet 1'!AD215-'TAM Projet 1'!U215)*A224/(1-((1+A224)^-'TAM Projet 1'!V215)),_NbDeci),ROUND('TAM Projet 1'!AD215/'TAM Projet 1'!V215,_NbDeci)),B223))</f>
        <v>768.98</v>
      </c>
      <c r="C224" s="10"/>
      <c r="D224" s="10"/>
      <c r="E224" s="10"/>
      <c r="F224" s="10"/>
      <c r="H224" s="29">
        <f>IF('TAM Projet 1'!AJ215&gt;0,IF(_TauxActuariel1,(('TAM Projet 1'!AJ215+1)^(1/_NbechAn1))-1,'TAM Projet 1'!AJ215/_NbechAn1),H223)</f>
        <v>8.3333333333333339E-4</v>
      </c>
      <c r="I224" s="28">
        <f>IF('TAM Projet 1'!AM215&gt;0,'TAM Projet 1'!AM215,IF('TAM Projet 1'!AL215&gt;0,IF(AND(_EchFIXE1,H224&gt;0),ROUND(('TAM Projet 1'!AT215-'TAM Projet 1'!AK215)*H224/(1-((1+H224)^-'TAM Projet 1'!AL215)),_NbDeci1),ROUND('TAM Projet 1'!AT215/'TAM Projet 1'!AL215,_NbDeci1)),I223))</f>
        <v>187406.04</v>
      </c>
      <c r="J224" s="10"/>
      <c r="K224" s="10"/>
      <c r="L224" s="10"/>
      <c r="M224" s="10"/>
      <c r="O224" s="186">
        <v>222</v>
      </c>
    </row>
    <row r="225" spans="1:15" x14ac:dyDescent="0.2">
      <c r="A225" s="29">
        <f>IF('TAM Projet 1'!T216&gt;0,IF(_TauxActuariel,(('TAM Projet 1'!T216+1)^(1/_NbEchAn))-1,'TAM Projet 1'!T216/_NbEchAn),A224)</f>
        <v>1.5499999999999999E-3</v>
      </c>
      <c r="B225" s="28">
        <f>IF('TAM Projet 1'!W216&gt;0,'TAM Projet 1'!W216,IF('TAM Projet 1'!V216&gt;0,IF(AND(_EchFIXE,A225&gt;0),ROUND(('TAM Projet 1'!AD216-'TAM Projet 1'!U216)*A225/(1-((1+A225)^-'TAM Projet 1'!V216)),_NbDeci),ROUND('TAM Projet 1'!AD216/'TAM Projet 1'!V216,_NbDeci)),B224))</f>
        <v>768.98</v>
      </c>
      <c r="C225" s="10"/>
      <c r="D225" s="10"/>
      <c r="E225" s="10"/>
      <c r="F225" s="10"/>
      <c r="H225" s="29">
        <f>IF('TAM Projet 1'!AJ216&gt;0,IF(_TauxActuariel1,(('TAM Projet 1'!AJ216+1)^(1/_NbechAn1))-1,'TAM Projet 1'!AJ216/_NbechAn1),H224)</f>
        <v>8.3333333333333339E-4</v>
      </c>
      <c r="I225" s="28">
        <f>IF('TAM Projet 1'!AM216&gt;0,'TAM Projet 1'!AM216,IF('TAM Projet 1'!AL216&gt;0,IF(AND(_EchFIXE1,H225&gt;0),ROUND(('TAM Projet 1'!AT216-'TAM Projet 1'!AK216)*H225/(1-((1+H225)^-'TAM Projet 1'!AL216)),_NbDeci1),ROUND('TAM Projet 1'!AT216/'TAM Projet 1'!AL216,_NbDeci1)),I224))</f>
        <v>187406.04</v>
      </c>
      <c r="J225" s="10"/>
      <c r="K225" s="10"/>
      <c r="L225" s="10"/>
      <c r="M225" s="10"/>
      <c r="O225" s="186">
        <v>223</v>
      </c>
    </row>
    <row r="226" spans="1:15" x14ac:dyDescent="0.2">
      <c r="A226" s="29">
        <f>IF('TAM Projet 1'!T217&gt;0,IF(_TauxActuariel,(('TAM Projet 1'!T217+1)^(1/_NbEchAn))-1,'TAM Projet 1'!T217/_NbEchAn),A225)</f>
        <v>1.5499999999999999E-3</v>
      </c>
      <c r="B226" s="28">
        <f>IF('TAM Projet 1'!W217&gt;0,'TAM Projet 1'!W217,IF('TAM Projet 1'!V217&gt;0,IF(AND(_EchFIXE,A226&gt;0),ROUND(('TAM Projet 1'!AD217-'TAM Projet 1'!U217)*A226/(1-((1+A226)^-'TAM Projet 1'!V217)),_NbDeci),ROUND('TAM Projet 1'!AD217/'TAM Projet 1'!V217,_NbDeci)),B225))</f>
        <v>768.98</v>
      </c>
      <c r="C226" s="10"/>
      <c r="D226" s="10"/>
      <c r="E226" s="10"/>
      <c r="F226" s="10"/>
      <c r="H226" s="29">
        <f>IF('TAM Projet 1'!AJ217&gt;0,IF(_TauxActuariel1,(('TAM Projet 1'!AJ217+1)^(1/_NbechAn1))-1,'TAM Projet 1'!AJ217/_NbechAn1),H225)</f>
        <v>8.3333333333333339E-4</v>
      </c>
      <c r="I226" s="28">
        <f>IF('TAM Projet 1'!AM217&gt;0,'TAM Projet 1'!AM217,IF('TAM Projet 1'!AL217&gt;0,IF(AND(_EchFIXE1,H226&gt;0),ROUND(('TAM Projet 1'!AT217-'TAM Projet 1'!AK217)*H226/(1-((1+H226)^-'TAM Projet 1'!AL217)),_NbDeci1),ROUND('TAM Projet 1'!AT217/'TAM Projet 1'!AL217,_NbDeci1)),I225))</f>
        <v>187406.04</v>
      </c>
      <c r="J226" s="10"/>
      <c r="K226" s="10"/>
      <c r="L226" s="10"/>
      <c r="M226" s="10"/>
      <c r="O226" s="186">
        <v>224</v>
      </c>
    </row>
    <row r="227" spans="1:15" x14ac:dyDescent="0.2">
      <c r="A227" s="29">
        <f>IF('TAM Projet 1'!T218&gt;0,IF(_TauxActuariel,(('TAM Projet 1'!T218+1)^(1/_NbEchAn))-1,'TAM Projet 1'!T218/_NbEchAn),A226)</f>
        <v>1.5499999999999999E-3</v>
      </c>
      <c r="B227" s="28">
        <f>IF('TAM Projet 1'!W218&gt;0,'TAM Projet 1'!W218,IF('TAM Projet 1'!V218&gt;0,IF(AND(_EchFIXE,A227&gt;0),ROUND(('TAM Projet 1'!AD218-'TAM Projet 1'!U218)*A227/(1-((1+A227)^-'TAM Projet 1'!V218)),_NbDeci),ROUND('TAM Projet 1'!AD218/'TAM Projet 1'!V218,_NbDeci)),B226))</f>
        <v>768.98</v>
      </c>
      <c r="C227" s="10"/>
      <c r="D227" s="10"/>
      <c r="E227" s="10"/>
      <c r="F227" s="10"/>
      <c r="H227" s="29">
        <f>IF('TAM Projet 1'!AJ218&gt;0,IF(_TauxActuariel1,(('TAM Projet 1'!AJ218+1)^(1/_NbechAn1))-1,'TAM Projet 1'!AJ218/_NbechAn1),H226)</f>
        <v>8.3333333333333339E-4</v>
      </c>
      <c r="I227" s="28">
        <f>IF('TAM Projet 1'!AM218&gt;0,'TAM Projet 1'!AM218,IF('TAM Projet 1'!AL218&gt;0,IF(AND(_EchFIXE1,H227&gt;0),ROUND(('TAM Projet 1'!AT218-'TAM Projet 1'!AK218)*H227/(1-((1+H227)^-'TAM Projet 1'!AL218)),_NbDeci1),ROUND('TAM Projet 1'!AT218/'TAM Projet 1'!AL218,_NbDeci1)),I226))</f>
        <v>187406.04</v>
      </c>
      <c r="J227" s="10"/>
      <c r="K227" s="10"/>
      <c r="L227" s="10"/>
      <c r="M227" s="10"/>
      <c r="O227" s="186">
        <v>225</v>
      </c>
    </row>
    <row r="228" spans="1:15" x14ac:dyDescent="0.2">
      <c r="A228" s="29">
        <f>IF('TAM Projet 1'!T219&gt;0,IF(_TauxActuariel,(('TAM Projet 1'!T219+1)^(1/_NbEchAn))-1,'TAM Projet 1'!T219/_NbEchAn),A227)</f>
        <v>1.5499999999999999E-3</v>
      </c>
      <c r="B228" s="28">
        <f>IF('TAM Projet 1'!W219&gt;0,'TAM Projet 1'!W219,IF('TAM Projet 1'!V219&gt;0,IF(AND(_EchFIXE,A228&gt;0),ROUND(('TAM Projet 1'!AD219-'TAM Projet 1'!U219)*A228/(1-((1+A228)^-'TAM Projet 1'!V219)),_NbDeci),ROUND('TAM Projet 1'!AD219/'TAM Projet 1'!V219,_NbDeci)),B227))</f>
        <v>768.98</v>
      </c>
      <c r="C228" s="10"/>
      <c r="D228" s="10"/>
      <c r="E228" s="10"/>
      <c r="F228" s="10"/>
      <c r="H228" s="29">
        <f>IF('TAM Projet 1'!AJ219&gt;0,IF(_TauxActuariel1,(('TAM Projet 1'!AJ219+1)^(1/_NbechAn1))-1,'TAM Projet 1'!AJ219/_NbechAn1),H227)</f>
        <v>8.3333333333333339E-4</v>
      </c>
      <c r="I228" s="28">
        <f>IF('TAM Projet 1'!AM219&gt;0,'TAM Projet 1'!AM219,IF('TAM Projet 1'!AL219&gt;0,IF(AND(_EchFIXE1,H228&gt;0),ROUND(('TAM Projet 1'!AT219-'TAM Projet 1'!AK219)*H228/(1-((1+H228)^-'TAM Projet 1'!AL219)),_NbDeci1),ROUND('TAM Projet 1'!AT219/'TAM Projet 1'!AL219,_NbDeci1)),I227))</f>
        <v>187406.04</v>
      </c>
      <c r="J228" s="10"/>
      <c r="K228" s="10"/>
      <c r="L228" s="10"/>
      <c r="M228" s="10"/>
      <c r="O228" s="186">
        <v>226</v>
      </c>
    </row>
    <row r="229" spans="1:15" x14ac:dyDescent="0.2">
      <c r="A229" s="29">
        <f>IF('TAM Projet 1'!T220&gt;0,IF(_TauxActuariel,(('TAM Projet 1'!T220+1)^(1/_NbEchAn))-1,'TAM Projet 1'!T220/_NbEchAn),A228)</f>
        <v>1.5499999999999999E-3</v>
      </c>
      <c r="B229" s="28">
        <f>IF('TAM Projet 1'!W220&gt;0,'TAM Projet 1'!W220,IF('TAM Projet 1'!V220&gt;0,IF(AND(_EchFIXE,A229&gt;0),ROUND(('TAM Projet 1'!AD220-'TAM Projet 1'!U220)*A229/(1-((1+A229)^-'TAM Projet 1'!V220)),_NbDeci),ROUND('TAM Projet 1'!AD220/'TAM Projet 1'!V220,_NbDeci)),B228))</f>
        <v>768.98</v>
      </c>
      <c r="C229" s="10"/>
      <c r="D229" s="10"/>
      <c r="E229" s="10"/>
      <c r="F229" s="10"/>
      <c r="H229" s="29">
        <f>IF('TAM Projet 1'!AJ220&gt;0,IF(_TauxActuariel1,(('TAM Projet 1'!AJ220+1)^(1/_NbechAn1))-1,'TAM Projet 1'!AJ220/_NbechAn1),H228)</f>
        <v>8.3333333333333339E-4</v>
      </c>
      <c r="I229" s="28">
        <f>IF('TAM Projet 1'!AM220&gt;0,'TAM Projet 1'!AM220,IF('TAM Projet 1'!AL220&gt;0,IF(AND(_EchFIXE1,H229&gt;0),ROUND(('TAM Projet 1'!AT220-'TAM Projet 1'!AK220)*H229/(1-((1+H229)^-'TAM Projet 1'!AL220)),_NbDeci1),ROUND('TAM Projet 1'!AT220/'TAM Projet 1'!AL220,_NbDeci1)),I228))</f>
        <v>187406.04</v>
      </c>
      <c r="J229" s="10"/>
      <c r="K229" s="10"/>
      <c r="L229" s="10"/>
      <c r="M229" s="10"/>
      <c r="O229" s="186">
        <v>227</v>
      </c>
    </row>
    <row r="230" spans="1:15" x14ac:dyDescent="0.2">
      <c r="A230" s="29">
        <f>IF('TAM Projet 1'!T221&gt;0,IF(_TauxActuariel,(('TAM Projet 1'!T221+1)^(1/_NbEchAn))-1,'TAM Projet 1'!T221/_NbEchAn),A229)</f>
        <v>1.5499999999999999E-3</v>
      </c>
      <c r="B230" s="28">
        <f>IF('TAM Projet 1'!W221&gt;0,'TAM Projet 1'!W221,IF('TAM Projet 1'!V221&gt;0,IF(AND(_EchFIXE,A230&gt;0),ROUND(('TAM Projet 1'!AD221-'TAM Projet 1'!U221)*A230/(1-((1+A230)^-'TAM Projet 1'!V221)),_NbDeci),ROUND('TAM Projet 1'!AD221/'TAM Projet 1'!V221,_NbDeci)),B229))</f>
        <v>768.98</v>
      </c>
      <c r="C230" s="10"/>
      <c r="D230" s="10"/>
      <c r="E230" s="10"/>
      <c r="F230" s="10"/>
      <c r="H230" s="29">
        <f>IF('TAM Projet 1'!AJ221&gt;0,IF(_TauxActuariel1,(('TAM Projet 1'!AJ221+1)^(1/_NbechAn1))-1,'TAM Projet 1'!AJ221/_NbechAn1),H229)</f>
        <v>8.3333333333333339E-4</v>
      </c>
      <c r="I230" s="28">
        <f>IF('TAM Projet 1'!AM221&gt;0,'TAM Projet 1'!AM221,IF('TAM Projet 1'!AL221&gt;0,IF(AND(_EchFIXE1,H230&gt;0),ROUND(('TAM Projet 1'!AT221-'TAM Projet 1'!AK221)*H230/(1-((1+H230)^-'TAM Projet 1'!AL221)),_NbDeci1),ROUND('TAM Projet 1'!AT221/'TAM Projet 1'!AL221,_NbDeci1)),I229))</f>
        <v>187406.04</v>
      </c>
      <c r="J230" s="10"/>
      <c r="K230" s="10"/>
      <c r="L230" s="10"/>
      <c r="M230" s="10"/>
      <c r="O230" s="186">
        <v>228</v>
      </c>
    </row>
    <row r="231" spans="1:15" x14ac:dyDescent="0.2">
      <c r="A231" s="29">
        <f>IF('TAM Projet 1'!T222&gt;0,IF(_TauxActuariel,(('TAM Projet 1'!T222+1)^(1/_NbEchAn))-1,'TAM Projet 1'!T222/_NbEchAn),A230)</f>
        <v>1.5499999999999999E-3</v>
      </c>
      <c r="B231" s="28">
        <f>IF('TAM Projet 1'!W222&gt;0,'TAM Projet 1'!W222,IF('TAM Projet 1'!V222&gt;0,IF(AND(_EchFIXE,A231&gt;0),ROUND(('TAM Projet 1'!AD222-'TAM Projet 1'!U222)*A231/(1-((1+A231)^-'TAM Projet 1'!V222)),_NbDeci),ROUND('TAM Projet 1'!AD222/'TAM Projet 1'!V222,_NbDeci)),B230))</f>
        <v>768.98</v>
      </c>
      <c r="C231" s="10"/>
      <c r="D231" s="10"/>
      <c r="E231" s="10"/>
      <c r="F231" s="10"/>
      <c r="H231" s="29">
        <f>IF('TAM Projet 1'!AJ222&gt;0,IF(_TauxActuariel1,(('TAM Projet 1'!AJ222+1)^(1/_NbechAn1))-1,'TAM Projet 1'!AJ222/_NbechAn1),H230)</f>
        <v>8.3333333333333339E-4</v>
      </c>
      <c r="I231" s="28">
        <f>IF('TAM Projet 1'!AM222&gt;0,'TAM Projet 1'!AM222,IF('TAM Projet 1'!AL222&gt;0,IF(AND(_EchFIXE1,H231&gt;0),ROUND(('TAM Projet 1'!AT222-'TAM Projet 1'!AK222)*H231/(1-((1+H231)^-'TAM Projet 1'!AL222)),_NbDeci1),ROUND('TAM Projet 1'!AT222/'TAM Projet 1'!AL222,_NbDeci1)),I230))</f>
        <v>187406.04</v>
      </c>
      <c r="J231" s="10"/>
      <c r="K231" s="10"/>
      <c r="L231" s="10"/>
      <c r="M231" s="10"/>
      <c r="O231" s="186">
        <v>229</v>
      </c>
    </row>
    <row r="232" spans="1:15" x14ac:dyDescent="0.2">
      <c r="A232" s="29">
        <f>IF('TAM Projet 1'!T223&gt;0,IF(_TauxActuariel,(('TAM Projet 1'!T223+1)^(1/_NbEchAn))-1,'TAM Projet 1'!T223/_NbEchAn),A231)</f>
        <v>1.5499999999999999E-3</v>
      </c>
      <c r="B232" s="28">
        <f>IF('TAM Projet 1'!W223&gt;0,'TAM Projet 1'!W223,IF('TAM Projet 1'!V223&gt;0,IF(AND(_EchFIXE,A232&gt;0),ROUND(('TAM Projet 1'!AD223-'TAM Projet 1'!U223)*A232/(1-((1+A232)^-'TAM Projet 1'!V223)),_NbDeci),ROUND('TAM Projet 1'!AD223/'TAM Projet 1'!V223,_NbDeci)),B231))</f>
        <v>768.98</v>
      </c>
      <c r="C232" s="10"/>
      <c r="D232" s="10"/>
      <c r="E232" s="10"/>
      <c r="F232" s="10"/>
      <c r="H232" s="29">
        <f>IF('TAM Projet 1'!AJ223&gt;0,IF(_TauxActuariel1,(('TAM Projet 1'!AJ223+1)^(1/_NbechAn1))-1,'TAM Projet 1'!AJ223/_NbechAn1),H231)</f>
        <v>8.3333333333333339E-4</v>
      </c>
      <c r="I232" s="28">
        <f>IF('TAM Projet 1'!AM223&gt;0,'TAM Projet 1'!AM223,IF('TAM Projet 1'!AL223&gt;0,IF(AND(_EchFIXE1,H232&gt;0),ROUND(('TAM Projet 1'!AT223-'TAM Projet 1'!AK223)*H232/(1-((1+H232)^-'TAM Projet 1'!AL223)),_NbDeci1),ROUND('TAM Projet 1'!AT223/'TAM Projet 1'!AL223,_NbDeci1)),I231))</f>
        <v>187406.04</v>
      </c>
      <c r="J232" s="10"/>
      <c r="K232" s="10"/>
      <c r="L232" s="10"/>
      <c r="M232" s="10"/>
      <c r="O232" s="186">
        <v>230</v>
      </c>
    </row>
    <row r="233" spans="1:15" x14ac:dyDescent="0.2">
      <c r="A233" s="29">
        <f>IF('TAM Projet 1'!T224&gt;0,IF(_TauxActuariel,(('TAM Projet 1'!T224+1)^(1/_NbEchAn))-1,'TAM Projet 1'!T224/_NbEchAn),A232)</f>
        <v>1.5499999999999999E-3</v>
      </c>
      <c r="B233" s="28">
        <f>IF('TAM Projet 1'!W224&gt;0,'TAM Projet 1'!W224,IF('TAM Projet 1'!V224&gt;0,IF(AND(_EchFIXE,A233&gt;0),ROUND(('TAM Projet 1'!AD224-'TAM Projet 1'!U224)*A233/(1-((1+A233)^-'TAM Projet 1'!V224)),_NbDeci),ROUND('TAM Projet 1'!AD224/'TAM Projet 1'!V224,_NbDeci)),B232))</f>
        <v>768.98</v>
      </c>
      <c r="C233" s="10"/>
      <c r="D233" s="10"/>
      <c r="E233" s="10"/>
      <c r="F233" s="10"/>
      <c r="H233" s="29">
        <f>IF('TAM Projet 1'!AJ224&gt;0,IF(_TauxActuariel1,(('TAM Projet 1'!AJ224+1)^(1/_NbechAn1))-1,'TAM Projet 1'!AJ224/_NbechAn1),H232)</f>
        <v>8.3333333333333339E-4</v>
      </c>
      <c r="I233" s="28">
        <f>IF('TAM Projet 1'!AM224&gt;0,'TAM Projet 1'!AM224,IF('TAM Projet 1'!AL224&gt;0,IF(AND(_EchFIXE1,H233&gt;0),ROUND(('TAM Projet 1'!AT224-'TAM Projet 1'!AK224)*H233/(1-((1+H233)^-'TAM Projet 1'!AL224)),_NbDeci1),ROUND('TAM Projet 1'!AT224/'TAM Projet 1'!AL224,_NbDeci1)),I232))</f>
        <v>187406.04</v>
      </c>
      <c r="J233" s="10"/>
      <c r="K233" s="10"/>
      <c r="L233" s="10"/>
      <c r="M233" s="10"/>
      <c r="O233" s="186">
        <v>231</v>
      </c>
    </row>
    <row r="234" spans="1:15" x14ac:dyDescent="0.2">
      <c r="A234" s="29">
        <f>IF('TAM Projet 1'!T225&gt;0,IF(_TauxActuariel,(('TAM Projet 1'!T225+1)^(1/_NbEchAn))-1,'TAM Projet 1'!T225/_NbEchAn),A233)</f>
        <v>1.5499999999999999E-3</v>
      </c>
      <c r="B234" s="28">
        <f>IF('TAM Projet 1'!W225&gt;0,'TAM Projet 1'!W225,IF('TAM Projet 1'!V225&gt;0,IF(AND(_EchFIXE,A234&gt;0),ROUND(('TAM Projet 1'!AD225-'TAM Projet 1'!U225)*A234/(1-((1+A234)^-'TAM Projet 1'!V225)),_NbDeci),ROUND('TAM Projet 1'!AD225/'TAM Projet 1'!V225,_NbDeci)),B233))</f>
        <v>768.98</v>
      </c>
      <c r="C234" s="10"/>
      <c r="D234" s="10"/>
      <c r="E234" s="10"/>
      <c r="F234" s="10"/>
      <c r="H234" s="29">
        <f>IF('TAM Projet 1'!AJ225&gt;0,IF(_TauxActuariel1,(('TAM Projet 1'!AJ225+1)^(1/_NbechAn1))-1,'TAM Projet 1'!AJ225/_NbechAn1),H233)</f>
        <v>8.3333333333333339E-4</v>
      </c>
      <c r="I234" s="28">
        <f>IF('TAM Projet 1'!AM225&gt;0,'TAM Projet 1'!AM225,IF('TAM Projet 1'!AL225&gt;0,IF(AND(_EchFIXE1,H234&gt;0),ROUND(('TAM Projet 1'!AT225-'TAM Projet 1'!AK225)*H234/(1-((1+H234)^-'TAM Projet 1'!AL225)),_NbDeci1),ROUND('TAM Projet 1'!AT225/'TAM Projet 1'!AL225,_NbDeci1)),I233))</f>
        <v>187406.04</v>
      </c>
      <c r="J234" s="10"/>
      <c r="K234" s="10"/>
      <c r="L234" s="10"/>
      <c r="M234" s="10"/>
      <c r="O234" s="186">
        <v>232</v>
      </c>
    </row>
    <row r="235" spans="1:15" x14ac:dyDescent="0.2">
      <c r="A235" s="29">
        <f>IF('TAM Projet 1'!T226&gt;0,IF(_TauxActuariel,(('TAM Projet 1'!T226+1)^(1/_NbEchAn))-1,'TAM Projet 1'!T226/_NbEchAn),A234)</f>
        <v>1.5499999999999999E-3</v>
      </c>
      <c r="B235" s="28">
        <f>IF('TAM Projet 1'!W226&gt;0,'TAM Projet 1'!W226,IF('TAM Projet 1'!V226&gt;0,IF(AND(_EchFIXE,A235&gt;0),ROUND(('TAM Projet 1'!AD226-'TAM Projet 1'!U226)*A235/(1-((1+A235)^-'TAM Projet 1'!V226)),_NbDeci),ROUND('TAM Projet 1'!AD226/'TAM Projet 1'!V226,_NbDeci)),B234))</f>
        <v>768.98</v>
      </c>
      <c r="C235" s="10"/>
      <c r="D235" s="10"/>
      <c r="E235" s="10"/>
      <c r="F235" s="10"/>
      <c r="H235" s="29">
        <f>IF('TAM Projet 1'!AJ226&gt;0,IF(_TauxActuariel1,(('TAM Projet 1'!AJ226+1)^(1/_NbechAn1))-1,'TAM Projet 1'!AJ226/_NbechAn1),H234)</f>
        <v>8.3333333333333339E-4</v>
      </c>
      <c r="I235" s="28">
        <f>IF('TAM Projet 1'!AM226&gt;0,'TAM Projet 1'!AM226,IF('TAM Projet 1'!AL226&gt;0,IF(AND(_EchFIXE1,H235&gt;0),ROUND(('TAM Projet 1'!AT226-'TAM Projet 1'!AK226)*H235/(1-((1+H235)^-'TAM Projet 1'!AL226)),_NbDeci1),ROUND('TAM Projet 1'!AT226/'TAM Projet 1'!AL226,_NbDeci1)),I234))</f>
        <v>187406.04</v>
      </c>
      <c r="J235" s="10"/>
      <c r="K235" s="10"/>
      <c r="L235" s="10"/>
      <c r="M235" s="10"/>
      <c r="O235" s="186">
        <v>233</v>
      </c>
    </row>
    <row r="236" spans="1:15" x14ac:dyDescent="0.2">
      <c r="A236" s="29">
        <f>IF('TAM Projet 1'!T227&gt;0,IF(_TauxActuariel,(('TAM Projet 1'!T227+1)^(1/_NbEchAn))-1,'TAM Projet 1'!T227/_NbEchAn),A235)</f>
        <v>1.5499999999999999E-3</v>
      </c>
      <c r="B236" s="28">
        <f>IF('TAM Projet 1'!W227&gt;0,'TAM Projet 1'!W227,IF('TAM Projet 1'!V227&gt;0,IF(AND(_EchFIXE,A236&gt;0),ROUND(('TAM Projet 1'!AD227-'TAM Projet 1'!U227)*A236/(1-((1+A236)^-'TAM Projet 1'!V227)),_NbDeci),ROUND('TAM Projet 1'!AD227/'TAM Projet 1'!V227,_NbDeci)),B235))</f>
        <v>768.98</v>
      </c>
      <c r="C236" s="10"/>
      <c r="D236" s="10"/>
      <c r="E236" s="10"/>
      <c r="F236" s="10"/>
      <c r="H236" s="29">
        <f>IF('TAM Projet 1'!AJ227&gt;0,IF(_TauxActuariel1,(('TAM Projet 1'!AJ227+1)^(1/_NbechAn1))-1,'TAM Projet 1'!AJ227/_NbechAn1),H235)</f>
        <v>8.3333333333333339E-4</v>
      </c>
      <c r="I236" s="28">
        <f>IF('TAM Projet 1'!AM227&gt;0,'TAM Projet 1'!AM227,IF('TAM Projet 1'!AL227&gt;0,IF(AND(_EchFIXE1,H236&gt;0),ROUND(('TAM Projet 1'!AT227-'TAM Projet 1'!AK227)*H236/(1-((1+H236)^-'TAM Projet 1'!AL227)),_NbDeci1),ROUND('TAM Projet 1'!AT227/'TAM Projet 1'!AL227,_NbDeci1)),I235))</f>
        <v>187406.04</v>
      </c>
      <c r="J236" s="10"/>
      <c r="K236" s="10"/>
      <c r="L236" s="10"/>
      <c r="M236" s="10"/>
      <c r="O236" s="186">
        <v>234</v>
      </c>
    </row>
    <row r="237" spans="1:15" x14ac:dyDescent="0.2">
      <c r="A237" s="29">
        <f>IF('TAM Projet 1'!T228&gt;0,IF(_TauxActuariel,(('TAM Projet 1'!T228+1)^(1/_NbEchAn))-1,'TAM Projet 1'!T228/_NbEchAn),A236)</f>
        <v>1.5499999999999999E-3</v>
      </c>
      <c r="B237" s="28">
        <f>IF('TAM Projet 1'!W228&gt;0,'TAM Projet 1'!W228,IF('TAM Projet 1'!V228&gt;0,IF(AND(_EchFIXE,A237&gt;0),ROUND(('TAM Projet 1'!AD228-'TAM Projet 1'!U228)*A237/(1-((1+A237)^-'TAM Projet 1'!V228)),_NbDeci),ROUND('TAM Projet 1'!AD228/'TAM Projet 1'!V228,_NbDeci)),B236))</f>
        <v>768.98</v>
      </c>
      <c r="C237" s="10"/>
      <c r="D237" s="10"/>
      <c r="E237" s="10"/>
      <c r="F237" s="10"/>
      <c r="H237" s="29">
        <f>IF('TAM Projet 1'!AJ228&gt;0,IF(_TauxActuariel1,(('TAM Projet 1'!AJ228+1)^(1/_NbechAn1))-1,'TAM Projet 1'!AJ228/_NbechAn1),H236)</f>
        <v>8.3333333333333339E-4</v>
      </c>
      <c r="I237" s="28">
        <f>IF('TAM Projet 1'!AM228&gt;0,'TAM Projet 1'!AM228,IF('TAM Projet 1'!AL228&gt;0,IF(AND(_EchFIXE1,H237&gt;0),ROUND(('TAM Projet 1'!AT228-'TAM Projet 1'!AK228)*H237/(1-((1+H237)^-'TAM Projet 1'!AL228)),_NbDeci1),ROUND('TAM Projet 1'!AT228/'TAM Projet 1'!AL228,_NbDeci1)),I236))</f>
        <v>187406.04</v>
      </c>
      <c r="J237" s="10"/>
      <c r="K237" s="10"/>
      <c r="L237" s="10"/>
      <c r="M237" s="10"/>
      <c r="O237" s="186">
        <v>235</v>
      </c>
    </row>
    <row r="238" spans="1:15" x14ac:dyDescent="0.2">
      <c r="A238" s="29">
        <f>IF('TAM Projet 1'!T229&gt;0,IF(_TauxActuariel,(('TAM Projet 1'!T229+1)^(1/_NbEchAn))-1,'TAM Projet 1'!T229/_NbEchAn),A237)</f>
        <v>1.5499999999999999E-3</v>
      </c>
      <c r="B238" s="28">
        <f>IF('TAM Projet 1'!W229&gt;0,'TAM Projet 1'!W229,IF('TAM Projet 1'!V229&gt;0,IF(AND(_EchFIXE,A238&gt;0),ROUND(('TAM Projet 1'!AD229-'TAM Projet 1'!U229)*A238/(1-((1+A238)^-'TAM Projet 1'!V229)),_NbDeci),ROUND('TAM Projet 1'!AD229/'TAM Projet 1'!V229,_NbDeci)),B237))</f>
        <v>768.98</v>
      </c>
      <c r="C238" s="10"/>
      <c r="D238" s="10"/>
      <c r="E238" s="10"/>
      <c r="F238" s="10"/>
      <c r="H238" s="29">
        <f>IF('TAM Projet 1'!AJ229&gt;0,IF(_TauxActuariel1,(('TAM Projet 1'!AJ229+1)^(1/_NbechAn1))-1,'TAM Projet 1'!AJ229/_NbechAn1),H237)</f>
        <v>8.3333333333333339E-4</v>
      </c>
      <c r="I238" s="28">
        <f>IF('TAM Projet 1'!AM229&gt;0,'TAM Projet 1'!AM229,IF('TAM Projet 1'!AL229&gt;0,IF(AND(_EchFIXE1,H238&gt;0),ROUND(('TAM Projet 1'!AT229-'TAM Projet 1'!AK229)*H238/(1-((1+H238)^-'TAM Projet 1'!AL229)),_NbDeci1),ROUND('TAM Projet 1'!AT229/'TAM Projet 1'!AL229,_NbDeci1)),I237))</f>
        <v>187406.04</v>
      </c>
      <c r="J238" s="10"/>
      <c r="K238" s="10"/>
      <c r="L238" s="10"/>
      <c r="M238" s="10"/>
      <c r="O238" s="186">
        <v>236</v>
      </c>
    </row>
    <row r="239" spans="1:15" x14ac:dyDescent="0.2">
      <c r="A239" s="29">
        <f>IF('TAM Projet 1'!T230&gt;0,IF(_TauxActuariel,(('TAM Projet 1'!T230+1)^(1/_NbEchAn))-1,'TAM Projet 1'!T230/_NbEchAn),A238)</f>
        <v>1.5499999999999999E-3</v>
      </c>
      <c r="B239" s="28">
        <f>IF('TAM Projet 1'!W230&gt;0,'TAM Projet 1'!W230,IF('TAM Projet 1'!V230&gt;0,IF(AND(_EchFIXE,A239&gt;0),ROUND(('TAM Projet 1'!AD230-'TAM Projet 1'!U230)*A239/(1-((1+A239)^-'TAM Projet 1'!V230)),_NbDeci),ROUND('TAM Projet 1'!AD230/'TAM Projet 1'!V230,_NbDeci)),B238))</f>
        <v>768.98</v>
      </c>
      <c r="C239" s="10"/>
      <c r="D239" s="10"/>
      <c r="E239" s="10"/>
      <c r="F239" s="10"/>
      <c r="H239" s="29">
        <f>IF('TAM Projet 1'!AJ230&gt;0,IF(_TauxActuariel1,(('TAM Projet 1'!AJ230+1)^(1/_NbechAn1))-1,'TAM Projet 1'!AJ230/_NbechAn1),H238)</f>
        <v>8.3333333333333339E-4</v>
      </c>
      <c r="I239" s="28">
        <f>IF('TAM Projet 1'!AM230&gt;0,'TAM Projet 1'!AM230,IF('TAM Projet 1'!AL230&gt;0,IF(AND(_EchFIXE1,H239&gt;0),ROUND(('TAM Projet 1'!AT230-'TAM Projet 1'!AK230)*H239/(1-((1+H239)^-'TAM Projet 1'!AL230)),_NbDeci1),ROUND('TAM Projet 1'!AT230/'TAM Projet 1'!AL230,_NbDeci1)),I238))</f>
        <v>187406.04</v>
      </c>
      <c r="J239" s="10"/>
      <c r="K239" s="10"/>
      <c r="L239" s="10"/>
      <c r="M239" s="10"/>
      <c r="O239" s="186">
        <v>237</v>
      </c>
    </row>
    <row r="240" spans="1:15" x14ac:dyDescent="0.2">
      <c r="A240" s="29">
        <f>IF('TAM Projet 1'!T231&gt;0,IF(_TauxActuariel,(('TAM Projet 1'!T231+1)^(1/_NbEchAn))-1,'TAM Projet 1'!T231/_NbEchAn),A239)</f>
        <v>1.5499999999999999E-3</v>
      </c>
      <c r="B240" s="28">
        <f>IF('TAM Projet 1'!W231&gt;0,'TAM Projet 1'!W231,IF('TAM Projet 1'!V231&gt;0,IF(AND(_EchFIXE,A240&gt;0),ROUND(('TAM Projet 1'!AD231-'TAM Projet 1'!U231)*A240/(1-((1+A240)^-'TAM Projet 1'!V231)),_NbDeci),ROUND('TAM Projet 1'!AD231/'TAM Projet 1'!V231,_NbDeci)),B239))</f>
        <v>768.98</v>
      </c>
      <c r="C240" s="10"/>
      <c r="D240" s="10"/>
      <c r="E240" s="10"/>
      <c r="F240" s="10"/>
      <c r="H240" s="29">
        <f>IF('TAM Projet 1'!AJ231&gt;0,IF(_TauxActuariel1,(('TAM Projet 1'!AJ231+1)^(1/_NbechAn1))-1,'TAM Projet 1'!AJ231/_NbechAn1),H239)</f>
        <v>8.3333333333333339E-4</v>
      </c>
      <c r="I240" s="28">
        <f>IF('TAM Projet 1'!AM231&gt;0,'TAM Projet 1'!AM231,IF('TAM Projet 1'!AL231&gt;0,IF(AND(_EchFIXE1,H240&gt;0),ROUND(('TAM Projet 1'!AT231-'TAM Projet 1'!AK231)*H240/(1-((1+H240)^-'TAM Projet 1'!AL231)),_NbDeci1),ROUND('TAM Projet 1'!AT231/'TAM Projet 1'!AL231,_NbDeci1)),I239))</f>
        <v>187406.04</v>
      </c>
      <c r="J240" s="10"/>
      <c r="K240" s="10"/>
      <c r="L240" s="10"/>
      <c r="M240" s="10"/>
      <c r="O240" s="186">
        <v>238</v>
      </c>
    </row>
    <row r="241" spans="1:15" x14ac:dyDescent="0.2">
      <c r="A241" s="29">
        <f>IF('TAM Projet 1'!T232&gt;0,IF(_TauxActuariel,(('TAM Projet 1'!T232+1)^(1/_NbEchAn))-1,'TAM Projet 1'!T232/_NbEchAn),A240)</f>
        <v>1.5499999999999999E-3</v>
      </c>
      <c r="B241" s="28">
        <f>IF('TAM Projet 1'!W232&gt;0,'TAM Projet 1'!W232,IF('TAM Projet 1'!V232&gt;0,IF(AND(_EchFIXE,A241&gt;0),ROUND(('TAM Projet 1'!AD232-'TAM Projet 1'!U232)*A241/(1-((1+A241)^-'TAM Projet 1'!V232)),_NbDeci),ROUND('TAM Projet 1'!AD232/'TAM Projet 1'!V232,_NbDeci)),B240))</f>
        <v>768.98</v>
      </c>
      <c r="C241" s="10"/>
      <c r="D241" s="10"/>
      <c r="E241" s="10"/>
      <c r="F241" s="10"/>
      <c r="H241" s="29">
        <f>IF('TAM Projet 1'!AJ232&gt;0,IF(_TauxActuariel1,(('TAM Projet 1'!AJ232+1)^(1/_NbechAn1))-1,'TAM Projet 1'!AJ232/_NbechAn1),H240)</f>
        <v>8.3333333333333339E-4</v>
      </c>
      <c r="I241" s="28">
        <f>IF('TAM Projet 1'!AM232&gt;0,'TAM Projet 1'!AM232,IF('TAM Projet 1'!AL232&gt;0,IF(AND(_EchFIXE1,H241&gt;0),ROUND(('TAM Projet 1'!AT232-'TAM Projet 1'!AK232)*H241/(1-((1+H241)^-'TAM Projet 1'!AL232)),_NbDeci1),ROUND('TAM Projet 1'!AT232/'TAM Projet 1'!AL232,_NbDeci1)),I240))</f>
        <v>187406.04</v>
      </c>
      <c r="J241" s="10"/>
      <c r="K241" s="10"/>
      <c r="L241" s="10"/>
      <c r="M241" s="10"/>
      <c r="O241" s="186">
        <v>239</v>
      </c>
    </row>
    <row r="242" spans="1:15" x14ac:dyDescent="0.2">
      <c r="A242" s="29">
        <f>IF('TAM Projet 1'!T233&gt;0,IF(_TauxActuariel,(('TAM Projet 1'!T233+1)^(1/_NbEchAn))-1,'TAM Projet 1'!T233/_NbEchAn),A241)</f>
        <v>1.5499999999999999E-3</v>
      </c>
      <c r="B242" s="28">
        <f>IF('TAM Projet 1'!W233&gt;0,'TAM Projet 1'!W233,IF('TAM Projet 1'!V233&gt;0,IF(AND(_EchFIXE,A242&gt;0),ROUND(('TAM Projet 1'!AD233-'TAM Projet 1'!U233)*A242/(1-((1+A242)^-'TAM Projet 1'!V233)),_NbDeci),ROUND('TAM Projet 1'!AD233/'TAM Projet 1'!V233,_NbDeci)),B241))</f>
        <v>768.98</v>
      </c>
      <c r="C242" s="10"/>
      <c r="D242" s="10"/>
      <c r="E242" s="10"/>
      <c r="F242" s="10"/>
      <c r="H242" s="29">
        <f>IF('TAM Projet 1'!AJ233&gt;0,IF(_TauxActuariel1,(('TAM Projet 1'!AJ233+1)^(1/_NbechAn1))-1,'TAM Projet 1'!AJ233/_NbechAn1),H241)</f>
        <v>8.3333333333333339E-4</v>
      </c>
      <c r="I242" s="28">
        <f>IF('TAM Projet 1'!AM233&gt;0,'TAM Projet 1'!AM233,IF('TAM Projet 1'!AL233&gt;0,IF(AND(_EchFIXE1,H242&gt;0),ROUND(('TAM Projet 1'!AT233-'TAM Projet 1'!AK233)*H242/(1-((1+H242)^-'TAM Projet 1'!AL233)),_NbDeci1),ROUND('TAM Projet 1'!AT233/'TAM Projet 1'!AL233,_NbDeci1)),I241))</f>
        <v>187406.04</v>
      </c>
      <c r="J242" s="10"/>
      <c r="K242" s="10"/>
      <c r="L242" s="10"/>
      <c r="M242" s="10"/>
      <c r="O242" s="186">
        <v>240</v>
      </c>
    </row>
    <row r="243" spans="1:15" x14ac:dyDescent="0.2">
      <c r="A243" s="29">
        <f>IF('TAM Projet 1'!T234&gt;0,IF(_TauxActuariel,(('TAM Projet 1'!T234+1)^(1/_NbEchAn))-1,'TAM Projet 1'!T234/_NbEchAn),A242)</f>
        <v>1.5499999999999999E-3</v>
      </c>
      <c r="B243" s="28">
        <f>IF('TAM Projet 1'!W234&gt;0,'TAM Projet 1'!W234,IF('TAM Projet 1'!V234&gt;0,IF(AND(_EchFIXE,A243&gt;0),ROUND(('TAM Projet 1'!AD234-'TAM Projet 1'!U234)*A243/(1-((1+A243)^-'TAM Projet 1'!V234)),_NbDeci),ROUND('TAM Projet 1'!AD234/'TAM Projet 1'!V234,_NbDeci)),B242))</f>
        <v>768.98</v>
      </c>
      <c r="C243" s="10"/>
      <c r="D243" s="10"/>
      <c r="E243" s="10"/>
      <c r="F243" s="10"/>
      <c r="H243" s="29">
        <f>IF('TAM Projet 1'!AJ234&gt;0,IF(_TauxActuariel1,(('TAM Projet 1'!AJ234+1)^(1/_NbechAn1))-1,'TAM Projet 1'!AJ234/_NbechAn1),H242)</f>
        <v>8.3333333333333339E-4</v>
      </c>
      <c r="I243" s="28">
        <f>IF('TAM Projet 1'!AM234&gt;0,'TAM Projet 1'!AM234,IF('TAM Projet 1'!AL234&gt;0,IF(AND(_EchFIXE1,H243&gt;0),ROUND(('TAM Projet 1'!AT234-'TAM Projet 1'!AK234)*H243/(1-((1+H243)^-'TAM Projet 1'!AL234)),_NbDeci1),ROUND('TAM Projet 1'!AT234/'TAM Projet 1'!AL234,_NbDeci1)),I242))</f>
        <v>187406.04</v>
      </c>
      <c r="J243" s="10"/>
      <c r="K243" s="10"/>
      <c r="L243" s="10"/>
      <c r="M243" s="10"/>
      <c r="O243" s="186">
        <v>241</v>
      </c>
    </row>
    <row r="244" spans="1:15" x14ac:dyDescent="0.2">
      <c r="A244" s="29">
        <f>IF('TAM Projet 1'!T235&gt;0,IF(_TauxActuariel,(('TAM Projet 1'!T235+1)^(1/_NbEchAn))-1,'TAM Projet 1'!T235/_NbEchAn),A243)</f>
        <v>1.5499999999999999E-3</v>
      </c>
      <c r="B244" s="28">
        <f>IF('TAM Projet 1'!W235&gt;0,'TAM Projet 1'!W235,IF('TAM Projet 1'!V235&gt;0,IF(AND(_EchFIXE,A244&gt;0),ROUND(('TAM Projet 1'!AD235-'TAM Projet 1'!U235)*A244/(1-((1+A244)^-'TAM Projet 1'!V235)),_NbDeci),ROUND('TAM Projet 1'!AD235/'TAM Projet 1'!V235,_NbDeci)),B243))</f>
        <v>768.98</v>
      </c>
      <c r="C244" s="10"/>
      <c r="D244" s="10"/>
      <c r="E244" s="10"/>
      <c r="F244" s="10"/>
      <c r="H244" s="29">
        <f>IF('TAM Projet 1'!AJ235&gt;0,IF(_TauxActuariel1,(('TAM Projet 1'!AJ235+1)^(1/_NbechAn1))-1,'TAM Projet 1'!AJ235/_NbechAn1),H243)</f>
        <v>8.3333333333333339E-4</v>
      </c>
      <c r="I244" s="28">
        <f>IF('TAM Projet 1'!AM235&gt;0,'TAM Projet 1'!AM235,IF('TAM Projet 1'!AL235&gt;0,IF(AND(_EchFIXE1,H244&gt;0),ROUND(('TAM Projet 1'!AT235-'TAM Projet 1'!AK235)*H244/(1-((1+H244)^-'TAM Projet 1'!AL235)),_NbDeci1),ROUND('TAM Projet 1'!AT235/'TAM Projet 1'!AL235,_NbDeci1)),I243))</f>
        <v>187406.04</v>
      </c>
      <c r="J244" s="10"/>
      <c r="K244" s="10"/>
      <c r="L244" s="10"/>
      <c r="M244" s="10"/>
      <c r="O244" s="186">
        <v>242</v>
      </c>
    </row>
    <row r="245" spans="1:15" x14ac:dyDescent="0.2">
      <c r="A245" s="29">
        <f>IF('TAM Projet 1'!T236&gt;0,IF(_TauxActuariel,(('TAM Projet 1'!T236+1)^(1/_NbEchAn))-1,'TAM Projet 1'!T236/_NbEchAn),A244)</f>
        <v>1.5499999999999999E-3</v>
      </c>
      <c r="B245" s="28">
        <f>IF('TAM Projet 1'!W236&gt;0,'TAM Projet 1'!W236,IF('TAM Projet 1'!V236&gt;0,IF(AND(_EchFIXE,A245&gt;0),ROUND(('TAM Projet 1'!AD236-'TAM Projet 1'!U236)*A245/(1-((1+A245)^-'TAM Projet 1'!V236)),_NbDeci),ROUND('TAM Projet 1'!AD236/'TAM Projet 1'!V236,_NbDeci)),B244))</f>
        <v>768.98</v>
      </c>
      <c r="C245" s="10"/>
      <c r="D245" s="10"/>
      <c r="E245" s="10"/>
      <c r="F245" s="10"/>
      <c r="H245" s="29">
        <f>IF('TAM Projet 1'!AJ236&gt;0,IF(_TauxActuariel1,(('TAM Projet 1'!AJ236+1)^(1/_NbechAn1))-1,'TAM Projet 1'!AJ236/_NbechAn1),H244)</f>
        <v>8.3333333333333339E-4</v>
      </c>
      <c r="I245" s="28">
        <f>IF('TAM Projet 1'!AM236&gt;0,'TAM Projet 1'!AM236,IF('TAM Projet 1'!AL236&gt;0,IF(AND(_EchFIXE1,H245&gt;0),ROUND(('TAM Projet 1'!AT236-'TAM Projet 1'!AK236)*H245/(1-((1+H245)^-'TAM Projet 1'!AL236)),_NbDeci1),ROUND('TAM Projet 1'!AT236/'TAM Projet 1'!AL236,_NbDeci1)),I244))</f>
        <v>187406.04</v>
      </c>
      <c r="J245" s="10"/>
      <c r="K245" s="10"/>
      <c r="L245" s="10"/>
      <c r="M245" s="10"/>
      <c r="O245" s="186">
        <v>243</v>
      </c>
    </row>
    <row r="246" spans="1:15" x14ac:dyDescent="0.2">
      <c r="A246" s="29">
        <f>IF('TAM Projet 1'!T237&gt;0,IF(_TauxActuariel,(('TAM Projet 1'!T237+1)^(1/_NbEchAn))-1,'TAM Projet 1'!T237/_NbEchAn),A245)</f>
        <v>1.5499999999999999E-3</v>
      </c>
      <c r="B246" s="28">
        <f>IF('TAM Projet 1'!W237&gt;0,'TAM Projet 1'!W237,IF('TAM Projet 1'!V237&gt;0,IF(AND(_EchFIXE,A246&gt;0),ROUND(('TAM Projet 1'!AD237-'TAM Projet 1'!U237)*A246/(1-((1+A246)^-'TAM Projet 1'!V237)),_NbDeci),ROUND('TAM Projet 1'!AD237/'TAM Projet 1'!V237,_NbDeci)),B245))</f>
        <v>768.98</v>
      </c>
      <c r="C246" s="10"/>
      <c r="D246" s="10"/>
      <c r="E246" s="10"/>
      <c r="F246" s="10"/>
      <c r="H246" s="29">
        <f>IF('TAM Projet 1'!AJ237&gt;0,IF(_TauxActuariel1,(('TAM Projet 1'!AJ237+1)^(1/_NbechAn1))-1,'TAM Projet 1'!AJ237/_NbechAn1),H245)</f>
        <v>8.3333333333333339E-4</v>
      </c>
      <c r="I246" s="28">
        <f>IF('TAM Projet 1'!AM237&gt;0,'TAM Projet 1'!AM237,IF('TAM Projet 1'!AL237&gt;0,IF(AND(_EchFIXE1,H246&gt;0),ROUND(('TAM Projet 1'!AT237-'TAM Projet 1'!AK237)*H246/(1-((1+H246)^-'TAM Projet 1'!AL237)),_NbDeci1),ROUND('TAM Projet 1'!AT237/'TAM Projet 1'!AL237,_NbDeci1)),I245))</f>
        <v>187406.04</v>
      </c>
      <c r="J246" s="10"/>
      <c r="K246" s="10"/>
      <c r="L246" s="10"/>
      <c r="M246" s="10"/>
      <c r="O246" s="186">
        <v>244</v>
      </c>
    </row>
    <row r="247" spans="1:15" x14ac:dyDescent="0.2">
      <c r="A247" s="29">
        <f>IF('TAM Projet 1'!T238&gt;0,IF(_TauxActuariel,(('TAM Projet 1'!T238+1)^(1/_NbEchAn))-1,'TAM Projet 1'!T238/_NbEchAn),A246)</f>
        <v>1.5499999999999999E-3</v>
      </c>
      <c r="B247" s="28">
        <f>IF('TAM Projet 1'!W238&gt;0,'TAM Projet 1'!W238,IF('TAM Projet 1'!V238&gt;0,IF(AND(_EchFIXE,A247&gt;0),ROUND(('TAM Projet 1'!AD238-'TAM Projet 1'!U238)*A247/(1-((1+A247)^-'TAM Projet 1'!V238)),_NbDeci),ROUND('TAM Projet 1'!AD238/'TAM Projet 1'!V238,_NbDeci)),B246))</f>
        <v>768.98</v>
      </c>
      <c r="C247" s="10"/>
      <c r="D247" s="10"/>
      <c r="E247" s="10"/>
      <c r="F247" s="10"/>
      <c r="H247" s="29">
        <f>IF('TAM Projet 1'!AJ238&gt;0,IF(_TauxActuariel1,(('TAM Projet 1'!AJ238+1)^(1/_NbechAn1))-1,'TAM Projet 1'!AJ238/_NbechAn1),H246)</f>
        <v>8.3333333333333339E-4</v>
      </c>
      <c r="I247" s="28">
        <f>IF('TAM Projet 1'!AM238&gt;0,'TAM Projet 1'!AM238,IF('TAM Projet 1'!AL238&gt;0,IF(AND(_EchFIXE1,H247&gt;0),ROUND(('TAM Projet 1'!AT238-'TAM Projet 1'!AK238)*H247/(1-((1+H247)^-'TAM Projet 1'!AL238)),_NbDeci1),ROUND('TAM Projet 1'!AT238/'TAM Projet 1'!AL238,_NbDeci1)),I246))</f>
        <v>187406.04</v>
      </c>
      <c r="J247" s="10"/>
      <c r="K247" s="10"/>
      <c r="L247" s="10"/>
      <c r="M247" s="10"/>
      <c r="O247" s="186">
        <v>245</v>
      </c>
    </row>
    <row r="248" spans="1:15" x14ac:dyDescent="0.2">
      <c r="A248" s="29">
        <f>IF('TAM Projet 1'!T239&gt;0,IF(_TauxActuariel,(('TAM Projet 1'!T239+1)^(1/_NbEchAn))-1,'TAM Projet 1'!T239/_NbEchAn),A247)</f>
        <v>1.5499999999999999E-3</v>
      </c>
      <c r="B248" s="28">
        <f>IF('TAM Projet 1'!W239&gt;0,'TAM Projet 1'!W239,IF('TAM Projet 1'!V239&gt;0,IF(AND(_EchFIXE,A248&gt;0),ROUND(('TAM Projet 1'!AD239-'TAM Projet 1'!U239)*A248/(1-((1+A248)^-'TAM Projet 1'!V239)),_NbDeci),ROUND('TAM Projet 1'!AD239/'TAM Projet 1'!V239,_NbDeci)),B247))</f>
        <v>768.98</v>
      </c>
      <c r="C248" s="10"/>
      <c r="D248" s="10"/>
      <c r="E248" s="10"/>
      <c r="F248" s="10"/>
      <c r="H248" s="29">
        <f>IF('TAM Projet 1'!AJ239&gt;0,IF(_TauxActuariel1,(('TAM Projet 1'!AJ239+1)^(1/_NbechAn1))-1,'TAM Projet 1'!AJ239/_NbechAn1),H247)</f>
        <v>8.3333333333333339E-4</v>
      </c>
      <c r="I248" s="28">
        <f>IF('TAM Projet 1'!AM239&gt;0,'TAM Projet 1'!AM239,IF('TAM Projet 1'!AL239&gt;0,IF(AND(_EchFIXE1,H248&gt;0),ROUND(('TAM Projet 1'!AT239-'TAM Projet 1'!AK239)*H248/(1-((1+H248)^-'TAM Projet 1'!AL239)),_NbDeci1),ROUND('TAM Projet 1'!AT239/'TAM Projet 1'!AL239,_NbDeci1)),I247))</f>
        <v>187406.04</v>
      </c>
      <c r="J248" s="10"/>
      <c r="K248" s="10"/>
      <c r="L248" s="10"/>
      <c r="M248" s="10"/>
      <c r="O248" s="186">
        <v>246</v>
      </c>
    </row>
    <row r="249" spans="1:15" x14ac:dyDescent="0.2">
      <c r="A249" s="29">
        <f>IF('TAM Projet 1'!T240&gt;0,IF(_TauxActuariel,(('TAM Projet 1'!T240+1)^(1/_NbEchAn))-1,'TAM Projet 1'!T240/_NbEchAn),A248)</f>
        <v>1.5499999999999999E-3</v>
      </c>
      <c r="B249" s="28">
        <f>IF('TAM Projet 1'!W240&gt;0,'TAM Projet 1'!W240,IF('TAM Projet 1'!V240&gt;0,IF(AND(_EchFIXE,A249&gt;0),ROUND(('TAM Projet 1'!AD240-'TAM Projet 1'!U240)*A249/(1-((1+A249)^-'TAM Projet 1'!V240)),_NbDeci),ROUND('TAM Projet 1'!AD240/'TAM Projet 1'!V240,_NbDeci)),B248))</f>
        <v>768.98</v>
      </c>
      <c r="C249" s="10"/>
      <c r="D249" s="10"/>
      <c r="E249" s="10"/>
      <c r="F249" s="10"/>
      <c r="H249" s="29">
        <f>IF('TAM Projet 1'!AJ240&gt;0,IF(_TauxActuariel1,(('TAM Projet 1'!AJ240+1)^(1/_NbechAn1))-1,'TAM Projet 1'!AJ240/_NbechAn1),H248)</f>
        <v>8.3333333333333339E-4</v>
      </c>
      <c r="I249" s="28">
        <f>IF('TAM Projet 1'!AM240&gt;0,'TAM Projet 1'!AM240,IF('TAM Projet 1'!AL240&gt;0,IF(AND(_EchFIXE1,H249&gt;0),ROUND(('TAM Projet 1'!AT240-'TAM Projet 1'!AK240)*H249/(1-((1+H249)^-'TAM Projet 1'!AL240)),_NbDeci1),ROUND('TAM Projet 1'!AT240/'TAM Projet 1'!AL240,_NbDeci1)),I248))</f>
        <v>187406.04</v>
      </c>
      <c r="J249" s="10"/>
      <c r="K249" s="10"/>
      <c r="L249" s="10"/>
      <c r="M249" s="10"/>
      <c r="O249" s="186">
        <v>247</v>
      </c>
    </row>
    <row r="250" spans="1:15" x14ac:dyDescent="0.2">
      <c r="A250" s="29">
        <f>IF('TAM Projet 1'!T241&gt;0,IF(_TauxActuariel,(('TAM Projet 1'!T241+1)^(1/_NbEchAn))-1,'TAM Projet 1'!T241/_NbEchAn),A249)</f>
        <v>1.5499999999999999E-3</v>
      </c>
      <c r="B250" s="28">
        <f>IF('TAM Projet 1'!W241&gt;0,'TAM Projet 1'!W241,IF('TAM Projet 1'!V241&gt;0,IF(AND(_EchFIXE,A250&gt;0),ROUND(('TAM Projet 1'!AD241-'TAM Projet 1'!U241)*A250/(1-((1+A250)^-'TAM Projet 1'!V241)),_NbDeci),ROUND('TAM Projet 1'!AD241/'TAM Projet 1'!V241,_NbDeci)),B249))</f>
        <v>768.98</v>
      </c>
      <c r="C250" s="10"/>
      <c r="D250" s="10"/>
      <c r="E250" s="10"/>
      <c r="F250" s="10"/>
      <c r="H250" s="29">
        <f>IF('TAM Projet 1'!AJ241&gt;0,IF(_TauxActuariel1,(('TAM Projet 1'!AJ241+1)^(1/_NbechAn1))-1,'TAM Projet 1'!AJ241/_NbechAn1),H249)</f>
        <v>8.3333333333333339E-4</v>
      </c>
      <c r="I250" s="28">
        <f>IF('TAM Projet 1'!AM241&gt;0,'TAM Projet 1'!AM241,IF('TAM Projet 1'!AL241&gt;0,IF(AND(_EchFIXE1,H250&gt;0),ROUND(('TAM Projet 1'!AT241-'TAM Projet 1'!AK241)*H250/(1-((1+H250)^-'TAM Projet 1'!AL241)),_NbDeci1),ROUND('TAM Projet 1'!AT241/'TAM Projet 1'!AL241,_NbDeci1)),I249))</f>
        <v>187406.04</v>
      </c>
      <c r="J250" s="10"/>
      <c r="K250" s="10"/>
      <c r="L250" s="10"/>
      <c r="M250" s="10"/>
      <c r="O250" s="186">
        <v>248</v>
      </c>
    </row>
    <row r="251" spans="1:15" x14ac:dyDescent="0.2">
      <c r="A251" s="29">
        <f>IF('TAM Projet 1'!T242&gt;0,IF(_TauxActuariel,(('TAM Projet 1'!T242+1)^(1/_NbEchAn))-1,'TAM Projet 1'!T242/_NbEchAn),A250)</f>
        <v>1.5499999999999999E-3</v>
      </c>
      <c r="B251" s="28">
        <f>IF('TAM Projet 1'!W242&gt;0,'TAM Projet 1'!W242,IF('TAM Projet 1'!V242&gt;0,IF(AND(_EchFIXE,A251&gt;0),ROUND(('TAM Projet 1'!AD242-'TAM Projet 1'!U242)*A251/(1-((1+A251)^-'TAM Projet 1'!V242)),_NbDeci),ROUND('TAM Projet 1'!AD242/'TAM Projet 1'!V242,_NbDeci)),B250))</f>
        <v>768.98</v>
      </c>
      <c r="C251" s="10"/>
      <c r="D251" s="10"/>
      <c r="E251" s="10"/>
      <c r="F251" s="10"/>
      <c r="H251" s="29">
        <f>IF('TAM Projet 1'!AJ242&gt;0,IF(_TauxActuariel1,(('TAM Projet 1'!AJ242+1)^(1/_NbechAn1))-1,'TAM Projet 1'!AJ242/_NbechAn1),H250)</f>
        <v>8.3333333333333339E-4</v>
      </c>
      <c r="I251" s="28">
        <f>IF('TAM Projet 1'!AM242&gt;0,'TAM Projet 1'!AM242,IF('TAM Projet 1'!AL242&gt;0,IF(AND(_EchFIXE1,H251&gt;0),ROUND(('TAM Projet 1'!AT242-'TAM Projet 1'!AK242)*H251/(1-((1+H251)^-'TAM Projet 1'!AL242)),_NbDeci1),ROUND('TAM Projet 1'!AT242/'TAM Projet 1'!AL242,_NbDeci1)),I250))</f>
        <v>187406.04</v>
      </c>
      <c r="J251" s="10"/>
      <c r="K251" s="10"/>
      <c r="L251" s="10"/>
      <c r="M251" s="10"/>
      <c r="O251" s="186">
        <v>249</v>
      </c>
    </row>
    <row r="252" spans="1:15" x14ac:dyDescent="0.2">
      <c r="A252" s="29">
        <f>IF('TAM Projet 1'!T243&gt;0,IF(_TauxActuariel,(('TAM Projet 1'!T243+1)^(1/_NbEchAn))-1,'TAM Projet 1'!T243/_NbEchAn),A251)</f>
        <v>1.5499999999999999E-3</v>
      </c>
      <c r="B252" s="28">
        <f>IF('TAM Projet 1'!W243&gt;0,'TAM Projet 1'!W243,IF('TAM Projet 1'!V243&gt;0,IF(AND(_EchFIXE,A252&gt;0),ROUND(('TAM Projet 1'!AD243-'TAM Projet 1'!U243)*A252/(1-((1+A252)^-'TAM Projet 1'!V243)),_NbDeci),ROUND('TAM Projet 1'!AD243/'TAM Projet 1'!V243,_NbDeci)),B251))</f>
        <v>768.98</v>
      </c>
      <c r="C252" s="10"/>
      <c r="D252" s="10"/>
      <c r="E252" s="10"/>
      <c r="F252" s="10"/>
      <c r="H252" s="29">
        <f>IF('TAM Projet 1'!AJ243&gt;0,IF(_TauxActuariel1,(('TAM Projet 1'!AJ243+1)^(1/_NbechAn1))-1,'TAM Projet 1'!AJ243/_NbechAn1),H251)</f>
        <v>8.3333333333333339E-4</v>
      </c>
      <c r="I252" s="28">
        <f>IF('TAM Projet 1'!AM243&gt;0,'TAM Projet 1'!AM243,IF('TAM Projet 1'!AL243&gt;0,IF(AND(_EchFIXE1,H252&gt;0),ROUND(('TAM Projet 1'!AT243-'TAM Projet 1'!AK243)*H252/(1-((1+H252)^-'TAM Projet 1'!AL243)),_NbDeci1),ROUND('TAM Projet 1'!AT243/'TAM Projet 1'!AL243,_NbDeci1)),I251))</f>
        <v>187406.04</v>
      </c>
      <c r="J252" s="10"/>
      <c r="K252" s="10"/>
      <c r="L252" s="10"/>
      <c r="M252" s="10"/>
      <c r="O252" s="186">
        <v>250</v>
      </c>
    </row>
    <row r="253" spans="1:15" x14ac:dyDescent="0.2">
      <c r="A253" s="29">
        <f>IF('TAM Projet 1'!T244&gt;0,IF(_TauxActuariel,(('TAM Projet 1'!T244+1)^(1/_NbEchAn))-1,'TAM Projet 1'!T244/_NbEchAn),A252)</f>
        <v>1.5499999999999999E-3</v>
      </c>
      <c r="B253" s="28">
        <f>IF('TAM Projet 1'!W244&gt;0,'TAM Projet 1'!W244,IF('TAM Projet 1'!V244&gt;0,IF(AND(_EchFIXE,A253&gt;0),ROUND(('TAM Projet 1'!AD244-'TAM Projet 1'!U244)*A253/(1-((1+A253)^-'TAM Projet 1'!V244)),_NbDeci),ROUND('TAM Projet 1'!AD244/'TAM Projet 1'!V244,_NbDeci)),B252))</f>
        <v>768.98</v>
      </c>
      <c r="C253" s="10"/>
      <c r="D253" s="10"/>
      <c r="E253" s="10"/>
      <c r="F253" s="10"/>
      <c r="H253" s="29">
        <f>IF('TAM Projet 1'!AJ244&gt;0,IF(_TauxActuariel1,(('TAM Projet 1'!AJ244+1)^(1/_NbechAn1))-1,'TAM Projet 1'!AJ244/_NbechAn1),H252)</f>
        <v>8.3333333333333339E-4</v>
      </c>
      <c r="I253" s="28">
        <f>IF('TAM Projet 1'!AM244&gt;0,'TAM Projet 1'!AM244,IF('TAM Projet 1'!AL244&gt;0,IF(AND(_EchFIXE1,H253&gt;0),ROUND(('TAM Projet 1'!AT244-'TAM Projet 1'!AK244)*H253/(1-((1+H253)^-'TAM Projet 1'!AL244)),_NbDeci1),ROUND('TAM Projet 1'!AT244/'TAM Projet 1'!AL244,_NbDeci1)),I252))</f>
        <v>187406.04</v>
      </c>
      <c r="J253" s="10"/>
      <c r="K253" s="10"/>
      <c r="L253" s="10"/>
      <c r="M253" s="10"/>
      <c r="O253" s="186">
        <v>251</v>
      </c>
    </row>
    <row r="254" spans="1:15" x14ac:dyDescent="0.2">
      <c r="A254" s="29">
        <f>IF('TAM Projet 1'!T245&gt;0,IF(_TauxActuariel,(('TAM Projet 1'!T245+1)^(1/_NbEchAn))-1,'TAM Projet 1'!T245/_NbEchAn),A253)</f>
        <v>1.5499999999999999E-3</v>
      </c>
      <c r="B254" s="28">
        <f>IF('TAM Projet 1'!W245&gt;0,'TAM Projet 1'!W245,IF('TAM Projet 1'!V245&gt;0,IF(AND(_EchFIXE,A254&gt;0),ROUND(('TAM Projet 1'!AD245-'TAM Projet 1'!U245)*A254/(1-((1+A254)^-'TAM Projet 1'!V245)),_NbDeci),ROUND('TAM Projet 1'!AD245/'TAM Projet 1'!V245,_NbDeci)),B253))</f>
        <v>768.98</v>
      </c>
      <c r="C254" s="10"/>
      <c r="D254" s="10"/>
      <c r="E254" s="10"/>
      <c r="F254" s="10"/>
      <c r="H254" s="29">
        <f>IF('TAM Projet 1'!AJ245&gt;0,IF(_TauxActuariel1,(('TAM Projet 1'!AJ245+1)^(1/_NbechAn1))-1,'TAM Projet 1'!AJ245/_NbechAn1),H253)</f>
        <v>8.3333333333333339E-4</v>
      </c>
      <c r="I254" s="28">
        <f>IF('TAM Projet 1'!AM245&gt;0,'TAM Projet 1'!AM245,IF('TAM Projet 1'!AL245&gt;0,IF(AND(_EchFIXE1,H254&gt;0),ROUND(('TAM Projet 1'!AT245-'TAM Projet 1'!AK245)*H254/(1-((1+H254)^-'TAM Projet 1'!AL245)),_NbDeci1),ROUND('TAM Projet 1'!AT245/'TAM Projet 1'!AL245,_NbDeci1)),I253))</f>
        <v>187406.04</v>
      </c>
      <c r="J254" s="10"/>
      <c r="K254" s="10"/>
      <c r="L254" s="10"/>
      <c r="M254" s="10"/>
      <c r="O254" s="186">
        <v>252</v>
      </c>
    </row>
    <row r="255" spans="1:15" x14ac:dyDescent="0.2">
      <c r="A255" s="29">
        <f>IF('TAM Projet 1'!T246&gt;0,IF(_TauxActuariel,(('TAM Projet 1'!T246+1)^(1/_NbEchAn))-1,'TAM Projet 1'!T246/_NbEchAn),A254)</f>
        <v>1.5499999999999999E-3</v>
      </c>
      <c r="B255" s="28">
        <f>IF('TAM Projet 1'!W246&gt;0,'TAM Projet 1'!W246,IF('TAM Projet 1'!V246&gt;0,IF(AND(_EchFIXE,A255&gt;0),ROUND(('TAM Projet 1'!AD246-'TAM Projet 1'!U246)*A255/(1-((1+A255)^-'TAM Projet 1'!V246)),_NbDeci),ROUND('TAM Projet 1'!AD246/'TAM Projet 1'!V246,_NbDeci)),B254))</f>
        <v>768.98</v>
      </c>
      <c r="C255" s="10"/>
      <c r="D255" s="10"/>
      <c r="E255" s="10"/>
      <c r="F255" s="10"/>
      <c r="H255" s="29">
        <f>IF('TAM Projet 1'!AJ246&gt;0,IF(_TauxActuariel1,(('TAM Projet 1'!AJ246+1)^(1/_NbechAn1))-1,'TAM Projet 1'!AJ246/_NbechAn1),H254)</f>
        <v>8.3333333333333339E-4</v>
      </c>
      <c r="I255" s="28">
        <f>IF('TAM Projet 1'!AM246&gt;0,'TAM Projet 1'!AM246,IF('TAM Projet 1'!AL246&gt;0,IF(AND(_EchFIXE1,H255&gt;0),ROUND(('TAM Projet 1'!AT246-'TAM Projet 1'!AK246)*H255/(1-((1+H255)^-'TAM Projet 1'!AL246)),_NbDeci1),ROUND('TAM Projet 1'!AT246/'TAM Projet 1'!AL246,_NbDeci1)),I254))</f>
        <v>187406.04</v>
      </c>
      <c r="J255" s="10"/>
      <c r="K255" s="10"/>
      <c r="L255" s="10"/>
      <c r="M255" s="10"/>
      <c r="O255" s="186">
        <v>253</v>
      </c>
    </row>
    <row r="256" spans="1:15" x14ac:dyDescent="0.2">
      <c r="A256" s="29">
        <f>IF('TAM Projet 1'!T247&gt;0,IF(_TauxActuariel,(('TAM Projet 1'!T247+1)^(1/_NbEchAn))-1,'TAM Projet 1'!T247/_NbEchAn),A255)</f>
        <v>1.5499999999999999E-3</v>
      </c>
      <c r="B256" s="28">
        <f>IF('TAM Projet 1'!W247&gt;0,'TAM Projet 1'!W247,IF('TAM Projet 1'!V247&gt;0,IF(AND(_EchFIXE,A256&gt;0),ROUND(('TAM Projet 1'!AD247-'TAM Projet 1'!U247)*A256/(1-((1+A256)^-'TAM Projet 1'!V247)),_NbDeci),ROUND('TAM Projet 1'!AD247/'TAM Projet 1'!V247,_NbDeci)),B255))</f>
        <v>768.98</v>
      </c>
      <c r="C256" s="10"/>
      <c r="D256" s="10"/>
      <c r="E256" s="10"/>
      <c r="F256" s="10"/>
      <c r="H256" s="29">
        <f>IF('TAM Projet 1'!AJ247&gt;0,IF(_TauxActuariel1,(('TAM Projet 1'!AJ247+1)^(1/_NbechAn1))-1,'TAM Projet 1'!AJ247/_NbechAn1),H255)</f>
        <v>8.3333333333333339E-4</v>
      </c>
      <c r="I256" s="28">
        <f>IF('TAM Projet 1'!AM247&gt;0,'TAM Projet 1'!AM247,IF('TAM Projet 1'!AL247&gt;0,IF(AND(_EchFIXE1,H256&gt;0),ROUND(('TAM Projet 1'!AT247-'TAM Projet 1'!AK247)*H256/(1-((1+H256)^-'TAM Projet 1'!AL247)),_NbDeci1),ROUND('TAM Projet 1'!AT247/'TAM Projet 1'!AL247,_NbDeci1)),I255))</f>
        <v>187406.04</v>
      </c>
      <c r="J256" s="10"/>
      <c r="K256" s="10"/>
      <c r="L256" s="10"/>
      <c r="M256" s="10"/>
      <c r="O256" s="186">
        <v>254</v>
      </c>
    </row>
    <row r="257" spans="1:15" x14ac:dyDescent="0.2">
      <c r="A257" s="29">
        <f>IF('TAM Projet 1'!T248&gt;0,IF(_TauxActuariel,(('TAM Projet 1'!T248+1)^(1/_NbEchAn))-1,'TAM Projet 1'!T248/_NbEchAn),A256)</f>
        <v>1.5499999999999999E-3</v>
      </c>
      <c r="B257" s="28">
        <f>IF('TAM Projet 1'!W248&gt;0,'TAM Projet 1'!W248,IF('TAM Projet 1'!V248&gt;0,IF(AND(_EchFIXE,A257&gt;0),ROUND(('TAM Projet 1'!AD248-'TAM Projet 1'!U248)*A257/(1-((1+A257)^-'TAM Projet 1'!V248)),_NbDeci),ROUND('TAM Projet 1'!AD248/'TAM Projet 1'!V248,_NbDeci)),B256))</f>
        <v>768.98</v>
      </c>
      <c r="C257" s="10"/>
      <c r="D257" s="10"/>
      <c r="E257" s="10"/>
      <c r="F257" s="10"/>
      <c r="H257" s="29">
        <f>IF('TAM Projet 1'!AJ248&gt;0,IF(_TauxActuariel1,(('TAM Projet 1'!AJ248+1)^(1/_NbechAn1))-1,'TAM Projet 1'!AJ248/_NbechAn1),H256)</f>
        <v>8.3333333333333339E-4</v>
      </c>
      <c r="I257" s="28">
        <f>IF('TAM Projet 1'!AM248&gt;0,'TAM Projet 1'!AM248,IF('TAM Projet 1'!AL248&gt;0,IF(AND(_EchFIXE1,H257&gt;0),ROUND(('TAM Projet 1'!AT248-'TAM Projet 1'!AK248)*H257/(1-((1+H257)^-'TAM Projet 1'!AL248)),_NbDeci1),ROUND('TAM Projet 1'!AT248/'TAM Projet 1'!AL248,_NbDeci1)),I256))</f>
        <v>187406.04</v>
      </c>
      <c r="J257" s="10"/>
      <c r="K257" s="10"/>
      <c r="L257" s="10"/>
      <c r="M257" s="10"/>
      <c r="O257" s="186">
        <v>255</v>
      </c>
    </row>
    <row r="258" spans="1:15" x14ac:dyDescent="0.2">
      <c r="A258" s="29">
        <f>IF('TAM Projet 1'!T249&gt;0,IF(_TauxActuariel,(('TAM Projet 1'!T249+1)^(1/_NbEchAn))-1,'TAM Projet 1'!T249/_NbEchAn),A257)</f>
        <v>1.5499999999999999E-3</v>
      </c>
      <c r="B258" s="28">
        <f>IF('TAM Projet 1'!W249&gt;0,'TAM Projet 1'!W249,IF('TAM Projet 1'!V249&gt;0,IF(AND(_EchFIXE,A258&gt;0),ROUND(('TAM Projet 1'!AD249-'TAM Projet 1'!U249)*A258/(1-((1+A258)^-'TAM Projet 1'!V249)),_NbDeci),ROUND('TAM Projet 1'!AD249/'TAM Projet 1'!V249,_NbDeci)),B257))</f>
        <v>768.98</v>
      </c>
      <c r="C258" s="10"/>
      <c r="D258" s="10"/>
      <c r="E258" s="10"/>
      <c r="F258" s="10"/>
      <c r="H258" s="29">
        <f>IF('TAM Projet 1'!AJ249&gt;0,IF(_TauxActuariel1,(('TAM Projet 1'!AJ249+1)^(1/_NbechAn1))-1,'TAM Projet 1'!AJ249/_NbechAn1),H257)</f>
        <v>8.3333333333333339E-4</v>
      </c>
      <c r="I258" s="28">
        <f>IF('TAM Projet 1'!AM249&gt;0,'TAM Projet 1'!AM249,IF('TAM Projet 1'!AL249&gt;0,IF(AND(_EchFIXE1,H258&gt;0),ROUND(('TAM Projet 1'!AT249-'TAM Projet 1'!AK249)*H258/(1-((1+H258)^-'TAM Projet 1'!AL249)),_NbDeci1),ROUND('TAM Projet 1'!AT249/'TAM Projet 1'!AL249,_NbDeci1)),I257))</f>
        <v>187406.04</v>
      </c>
      <c r="J258" s="10"/>
      <c r="K258" s="10"/>
      <c r="L258" s="10"/>
      <c r="M258" s="10"/>
      <c r="O258" s="186">
        <v>256</v>
      </c>
    </row>
    <row r="259" spans="1:15" x14ac:dyDescent="0.2">
      <c r="A259" s="29">
        <f>IF('TAM Projet 1'!T250&gt;0,IF(_TauxActuariel,(('TAM Projet 1'!T250+1)^(1/_NbEchAn))-1,'TAM Projet 1'!T250/_NbEchAn),A258)</f>
        <v>1.5499999999999999E-3</v>
      </c>
      <c r="B259" s="28">
        <f>IF('TAM Projet 1'!W250&gt;0,'TAM Projet 1'!W250,IF('TAM Projet 1'!V250&gt;0,IF(AND(_EchFIXE,A259&gt;0),ROUND(('TAM Projet 1'!AD250-'TAM Projet 1'!U250)*A259/(1-((1+A259)^-'TAM Projet 1'!V250)),_NbDeci),ROUND('TAM Projet 1'!AD250/'TAM Projet 1'!V250,_NbDeci)),B258))</f>
        <v>768.98</v>
      </c>
      <c r="C259" s="10"/>
      <c r="D259" s="10"/>
      <c r="E259" s="10"/>
      <c r="F259" s="10"/>
      <c r="H259" s="29">
        <f>IF('TAM Projet 1'!AJ250&gt;0,IF(_TauxActuariel1,(('TAM Projet 1'!AJ250+1)^(1/_NbechAn1))-1,'TAM Projet 1'!AJ250/_NbechAn1),H258)</f>
        <v>8.3333333333333339E-4</v>
      </c>
      <c r="I259" s="28">
        <f>IF('TAM Projet 1'!AM250&gt;0,'TAM Projet 1'!AM250,IF('TAM Projet 1'!AL250&gt;0,IF(AND(_EchFIXE1,H259&gt;0),ROUND(('TAM Projet 1'!AT250-'TAM Projet 1'!AK250)*H259/(1-((1+H259)^-'TAM Projet 1'!AL250)),_NbDeci1),ROUND('TAM Projet 1'!AT250/'TAM Projet 1'!AL250,_NbDeci1)),I258))</f>
        <v>187406.04</v>
      </c>
      <c r="J259" s="10"/>
      <c r="K259" s="10"/>
      <c r="L259" s="10"/>
      <c r="M259" s="10"/>
      <c r="O259" s="186">
        <v>257</v>
      </c>
    </row>
    <row r="260" spans="1:15" x14ac:dyDescent="0.2">
      <c r="A260" s="29">
        <f>IF('TAM Projet 1'!T251&gt;0,IF(_TauxActuariel,(('TAM Projet 1'!T251+1)^(1/_NbEchAn))-1,'TAM Projet 1'!T251/_NbEchAn),A259)</f>
        <v>1.5499999999999999E-3</v>
      </c>
      <c r="B260" s="28">
        <f>IF('TAM Projet 1'!W251&gt;0,'TAM Projet 1'!W251,IF('TAM Projet 1'!V251&gt;0,IF(AND(_EchFIXE,A260&gt;0),ROUND(('TAM Projet 1'!AD251-'TAM Projet 1'!U251)*A260/(1-((1+A260)^-'TAM Projet 1'!V251)),_NbDeci),ROUND('TAM Projet 1'!AD251/'TAM Projet 1'!V251,_NbDeci)),B259))</f>
        <v>768.98</v>
      </c>
      <c r="C260" s="10"/>
      <c r="D260" s="10"/>
      <c r="E260" s="10"/>
      <c r="F260" s="10"/>
      <c r="H260" s="29">
        <f>IF('TAM Projet 1'!AJ251&gt;0,IF(_TauxActuariel1,(('TAM Projet 1'!AJ251+1)^(1/_NbechAn1))-1,'TAM Projet 1'!AJ251/_NbechAn1),H259)</f>
        <v>8.3333333333333339E-4</v>
      </c>
      <c r="I260" s="28">
        <f>IF('TAM Projet 1'!AM251&gt;0,'TAM Projet 1'!AM251,IF('TAM Projet 1'!AL251&gt;0,IF(AND(_EchFIXE1,H260&gt;0),ROUND(('TAM Projet 1'!AT251-'TAM Projet 1'!AK251)*H260/(1-((1+H260)^-'TAM Projet 1'!AL251)),_NbDeci1),ROUND('TAM Projet 1'!AT251/'TAM Projet 1'!AL251,_NbDeci1)),I259))</f>
        <v>187406.04</v>
      </c>
      <c r="J260" s="10"/>
      <c r="K260" s="10"/>
      <c r="L260" s="10"/>
      <c r="M260" s="10"/>
      <c r="O260" s="186">
        <v>258</v>
      </c>
    </row>
    <row r="261" spans="1:15" x14ac:dyDescent="0.2">
      <c r="A261" s="29">
        <f>IF('TAM Projet 1'!T252&gt;0,IF(_TauxActuariel,(('TAM Projet 1'!T252+1)^(1/_NbEchAn))-1,'TAM Projet 1'!T252/_NbEchAn),A260)</f>
        <v>1.5499999999999999E-3</v>
      </c>
      <c r="B261" s="28">
        <f>IF('TAM Projet 1'!W252&gt;0,'TAM Projet 1'!W252,IF('TAM Projet 1'!V252&gt;0,IF(AND(_EchFIXE,A261&gt;0),ROUND(('TAM Projet 1'!AD252-'TAM Projet 1'!U252)*A261/(1-((1+A261)^-'TAM Projet 1'!V252)),_NbDeci),ROUND('TAM Projet 1'!AD252/'TAM Projet 1'!V252,_NbDeci)),B260))</f>
        <v>768.98</v>
      </c>
      <c r="C261" s="10"/>
      <c r="D261" s="10"/>
      <c r="E261" s="10"/>
      <c r="F261" s="10"/>
      <c r="H261" s="29">
        <f>IF('TAM Projet 1'!AJ252&gt;0,IF(_TauxActuariel1,(('TAM Projet 1'!AJ252+1)^(1/_NbechAn1))-1,'TAM Projet 1'!AJ252/_NbechAn1),H260)</f>
        <v>8.3333333333333339E-4</v>
      </c>
      <c r="I261" s="28">
        <f>IF('TAM Projet 1'!AM252&gt;0,'TAM Projet 1'!AM252,IF('TAM Projet 1'!AL252&gt;0,IF(AND(_EchFIXE1,H261&gt;0),ROUND(('TAM Projet 1'!AT252-'TAM Projet 1'!AK252)*H261/(1-((1+H261)^-'TAM Projet 1'!AL252)),_NbDeci1),ROUND('TAM Projet 1'!AT252/'TAM Projet 1'!AL252,_NbDeci1)),I260))</f>
        <v>187406.04</v>
      </c>
      <c r="J261" s="10"/>
      <c r="K261" s="10"/>
      <c r="L261" s="10"/>
      <c r="M261" s="10"/>
      <c r="O261" s="186">
        <v>259</v>
      </c>
    </row>
    <row r="262" spans="1:15" x14ac:dyDescent="0.2">
      <c r="A262" s="29">
        <f>IF('TAM Projet 1'!T253&gt;0,IF(_TauxActuariel,(('TAM Projet 1'!T253+1)^(1/_NbEchAn))-1,'TAM Projet 1'!T253/_NbEchAn),A261)</f>
        <v>1.5499999999999999E-3</v>
      </c>
      <c r="B262" s="28">
        <f>IF('TAM Projet 1'!W253&gt;0,'TAM Projet 1'!W253,IF('TAM Projet 1'!V253&gt;0,IF(AND(_EchFIXE,A262&gt;0),ROUND(('TAM Projet 1'!AD253-'TAM Projet 1'!U253)*A262/(1-((1+A262)^-'TAM Projet 1'!V253)),_NbDeci),ROUND('TAM Projet 1'!AD253/'TAM Projet 1'!V253,_NbDeci)),B261))</f>
        <v>768.98</v>
      </c>
      <c r="C262" s="10"/>
      <c r="D262" s="10"/>
      <c r="E262" s="10"/>
      <c r="F262" s="10"/>
      <c r="H262" s="29">
        <f>IF('TAM Projet 1'!AJ253&gt;0,IF(_TauxActuariel1,(('TAM Projet 1'!AJ253+1)^(1/_NbechAn1))-1,'TAM Projet 1'!AJ253/_NbechAn1),H261)</f>
        <v>8.3333333333333339E-4</v>
      </c>
      <c r="I262" s="28">
        <f>IF('TAM Projet 1'!AM253&gt;0,'TAM Projet 1'!AM253,IF('TAM Projet 1'!AL253&gt;0,IF(AND(_EchFIXE1,H262&gt;0),ROUND(('TAM Projet 1'!AT253-'TAM Projet 1'!AK253)*H262/(1-((1+H262)^-'TAM Projet 1'!AL253)),_NbDeci1),ROUND('TAM Projet 1'!AT253/'TAM Projet 1'!AL253,_NbDeci1)),I261))</f>
        <v>187406.04</v>
      </c>
      <c r="J262" s="10"/>
      <c r="K262" s="10"/>
      <c r="L262" s="10"/>
      <c r="M262" s="10"/>
      <c r="O262" s="186">
        <v>260</v>
      </c>
    </row>
    <row r="263" spans="1:15" x14ac:dyDescent="0.2">
      <c r="A263" s="29">
        <f>IF('TAM Projet 1'!T254&gt;0,IF(_TauxActuariel,(('TAM Projet 1'!T254+1)^(1/_NbEchAn))-1,'TAM Projet 1'!T254/_NbEchAn),A262)</f>
        <v>1.5499999999999999E-3</v>
      </c>
      <c r="B263" s="28">
        <f>IF('TAM Projet 1'!W254&gt;0,'TAM Projet 1'!W254,IF('TAM Projet 1'!V254&gt;0,IF(AND(_EchFIXE,A263&gt;0),ROUND(('TAM Projet 1'!AD254-'TAM Projet 1'!U254)*A263/(1-((1+A263)^-'TAM Projet 1'!V254)),_NbDeci),ROUND('TAM Projet 1'!AD254/'TAM Projet 1'!V254,_NbDeci)),B262))</f>
        <v>768.98</v>
      </c>
      <c r="C263" s="10"/>
      <c r="D263" s="10"/>
      <c r="E263" s="10"/>
      <c r="F263" s="10"/>
      <c r="H263" s="29">
        <f>IF('TAM Projet 1'!AJ254&gt;0,IF(_TauxActuariel1,(('TAM Projet 1'!AJ254+1)^(1/_NbechAn1))-1,'TAM Projet 1'!AJ254/_NbechAn1),H262)</f>
        <v>8.3333333333333339E-4</v>
      </c>
      <c r="I263" s="28">
        <f>IF('TAM Projet 1'!AM254&gt;0,'TAM Projet 1'!AM254,IF('TAM Projet 1'!AL254&gt;0,IF(AND(_EchFIXE1,H263&gt;0),ROUND(('TAM Projet 1'!AT254-'TAM Projet 1'!AK254)*H263/(1-((1+H263)^-'TAM Projet 1'!AL254)),_NbDeci1),ROUND('TAM Projet 1'!AT254/'TAM Projet 1'!AL254,_NbDeci1)),I262))</f>
        <v>187406.04</v>
      </c>
      <c r="J263" s="10"/>
      <c r="K263" s="10"/>
      <c r="L263" s="10"/>
      <c r="M263" s="10"/>
      <c r="O263" s="186">
        <v>261</v>
      </c>
    </row>
    <row r="264" spans="1:15" x14ac:dyDescent="0.2">
      <c r="A264" s="29">
        <f>IF('TAM Projet 1'!T255&gt;0,IF(_TauxActuariel,(('TAM Projet 1'!T255+1)^(1/_NbEchAn))-1,'TAM Projet 1'!T255/_NbEchAn),A263)</f>
        <v>1.5499999999999999E-3</v>
      </c>
      <c r="B264" s="28">
        <f>IF('TAM Projet 1'!W255&gt;0,'TAM Projet 1'!W255,IF('TAM Projet 1'!V255&gt;0,IF(AND(_EchFIXE,A264&gt;0),ROUND(('TAM Projet 1'!AD255-'TAM Projet 1'!U255)*A264/(1-((1+A264)^-'TAM Projet 1'!V255)),_NbDeci),ROUND('TAM Projet 1'!AD255/'TAM Projet 1'!V255,_NbDeci)),B263))</f>
        <v>768.98</v>
      </c>
      <c r="C264" s="10"/>
      <c r="D264" s="10"/>
      <c r="E264" s="10"/>
      <c r="F264" s="10"/>
      <c r="H264" s="29">
        <f>IF('TAM Projet 1'!AJ255&gt;0,IF(_TauxActuariel1,(('TAM Projet 1'!AJ255+1)^(1/_NbechAn1))-1,'TAM Projet 1'!AJ255/_NbechAn1),H263)</f>
        <v>8.3333333333333339E-4</v>
      </c>
      <c r="I264" s="28">
        <f>IF('TAM Projet 1'!AM255&gt;0,'TAM Projet 1'!AM255,IF('TAM Projet 1'!AL255&gt;0,IF(AND(_EchFIXE1,H264&gt;0),ROUND(('TAM Projet 1'!AT255-'TAM Projet 1'!AK255)*H264/(1-((1+H264)^-'TAM Projet 1'!AL255)),_NbDeci1),ROUND('TAM Projet 1'!AT255/'TAM Projet 1'!AL255,_NbDeci1)),I263))</f>
        <v>187406.04</v>
      </c>
      <c r="J264" s="10"/>
      <c r="K264" s="10"/>
      <c r="L264" s="10"/>
      <c r="M264" s="10"/>
      <c r="O264" s="186">
        <v>262</v>
      </c>
    </row>
    <row r="265" spans="1:15" x14ac:dyDescent="0.2">
      <c r="A265" s="29">
        <f>IF('TAM Projet 1'!T256&gt;0,IF(_TauxActuariel,(('TAM Projet 1'!T256+1)^(1/_NbEchAn))-1,'TAM Projet 1'!T256/_NbEchAn),A264)</f>
        <v>1.5499999999999999E-3</v>
      </c>
      <c r="B265" s="28">
        <f>IF('TAM Projet 1'!W256&gt;0,'TAM Projet 1'!W256,IF('TAM Projet 1'!V256&gt;0,IF(AND(_EchFIXE,A265&gt;0),ROUND(('TAM Projet 1'!AD256-'TAM Projet 1'!U256)*A265/(1-((1+A265)^-'TAM Projet 1'!V256)),_NbDeci),ROUND('TAM Projet 1'!AD256/'TAM Projet 1'!V256,_NbDeci)),B264))</f>
        <v>768.98</v>
      </c>
      <c r="C265" s="10"/>
      <c r="D265" s="10"/>
      <c r="E265" s="10"/>
      <c r="F265" s="10"/>
      <c r="H265" s="29">
        <f>IF('TAM Projet 1'!AJ256&gt;0,IF(_TauxActuariel1,(('TAM Projet 1'!AJ256+1)^(1/_NbechAn1))-1,'TAM Projet 1'!AJ256/_NbechAn1),H264)</f>
        <v>8.3333333333333339E-4</v>
      </c>
      <c r="I265" s="28">
        <f>IF('TAM Projet 1'!AM256&gt;0,'TAM Projet 1'!AM256,IF('TAM Projet 1'!AL256&gt;0,IF(AND(_EchFIXE1,H265&gt;0),ROUND(('TAM Projet 1'!AT256-'TAM Projet 1'!AK256)*H265/(1-((1+H265)^-'TAM Projet 1'!AL256)),_NbDeci1),ROUND('TAM Projet 1'!AT256/'TAM Projet 1'!AL256,_NbDeci1)),I264))</f>
        <v>187406.04</v>
      </c>
      <c r="J265" s="10"/>
      <c r="K265" s="10"/>
      <c r="L265" s="10"/>
      <c r="M265" s="10"/>
      <c r="O265" s="186">
        <v>263</v>
      </c>
    </row>
    <row r="266" spans="1:15" x14ac:dyDescent="0.2">
      <c r="A266" s="29">
        <f>IF('TAM Projet 1'!T257&gt;0,IF(_TauxActuariel,(('TAM Projet 1'!T257+1)^(1/_NbEchAn))-1,'TAM Projet 1'!T257/_NbEchAn),A265)</f>
        <v>1.5499999999999999E-3</v>
      </c>
      <c r="B266" s="28">
        <f>IF('TAM Projet 1'!W257&gt;0,'TAM Projet 1'!W257,IF('TAM Projet 1'!V257&gt;0,IF(AND(_EchFIXE,A266&gt;0),ROUND(('TAM Projet 1'!AD257-'TAM Projet 1'!U257)*A266/(1-((1+A266)^-'TAM Projet 1'!V257)),_NbDeci),ROUND('TAM Projet 1'!AD257/'TAM Projet 1'!V257,_NbDeci)),B265))</f>
        <v>768.98</v>
      </c>
      <c r="C266" s="10"/>
      <c r="D266" s="10"/>
      <c r="E266" s="10"/>
      <c r="F266" s="10"/>
      <c r="H266" s="29">
        <f>IF('TAM Projet 1'!AJ257&gt;0,IF(_TauxActuariel1,(('TAM Projet 1'!AJ257+1)^(1/_NbechAn1))-1,'TAM Projet 1'!AJ257/_NbechAn1),H265)</f>
        <v>8.3333333333333339E-4</v>
      </c>
      <c r="I266" s="28">
        <f>IF('TAM Projet 1'!AM257&gt;0,'TAM Projet 1'!AM257,IF('TAM Projet 1'!AL257&gt;0,IF(AND(_EchFIXE1,H266&gt;0),ROUND(('TAM Projet 1'!AT257-'TAM Projet 1'!AK257)*H266/(1-((1+H266)^-'TAM Projet 1'!AL257)),_NbDeci1),ROUND('TAM Projet 1'!AT257/'TAM Projet 1'!AL257,_NbDeci1)),I265))</f>
        <v>187406.04</v>
      </c>
      <c r="J266" s="10"/>
      <c r="K266" s="10"/>
      <c r="L266" s="10"/>
      <c r="M266" s="10"/>
      <c r="O266" s="186">
        <v>264</v>
      </c>
    </row>
    <row r="267" spans="1:15" x14ac:dyDescent="0.2">
      <c r="A267" s="29">
        <f>IF('TAM Projet 1'!T258&gt;0,IF(_TauxActuariel,(('TAM Projet 1'!T258+1)^(1/_NbEchAn))-1,'TAM Projet 1'!T258/_NbEchAn),A266)</f>
        <v>1.5499999999999999E-3</v>
      </c>
      <c r="B267" s="28">
        <f>IF('TAM Projet 1'!W258&gt;0,'TAM Projet 1'!W258,IF('TAM Projet 1'!V258&gt;0,IF(AND(_EchFIXE,A267&gt;0),ROUND(('TAM Projet 1'!AD258-'TAM Projet 1'!U258)*A267/(1-((1+A267)^-'TAM Projet 1'!V258)),_NbDeci),ROUND('TAM Projet 1'!AD258/'TAM Projet 1'!V258,_NbDeci)),B266))</f>
        <v>768.98</v>
      </c>
      <c r="C267" s="10"/>
      <c r="D267" s="10"/>
      <c r="E267" s="10"/>
      <c r="F267" s="10"/>
      <c r="H267" s="29">
        <f>IF('TAM Projet 1'!AJ258&gt;0,IF(_TauxActuariel1,(('TAM Projet 1'!AJ258+1)^(1/_NbechAn1))-1,'TAM Projet 1'!AJ258/_NbechAn1),H266)</f>
        <v>8.3333333333333339E-4</v>
      </c>
      <c r="I267" s="28">
        <f>IF('TAM Projet 1'!AM258&gt;0,'TAM Projet 1'!AM258,IF('TAM Projet 1'!AL258&gt;0,IF(AND(_EchFIXE1,H267&gt;0),ROUND(('TAM Projet 1'!AT258-'TAM Projet 1'!AK258)*H267/(1-((1+H267)^-'TAM Projet 1'!AL258)),_NbDeci1),ROUND('TAM Projet 1'!AT258/'TAM Projet 1'!AL258,_NbDeci1)),I266))</f>
        <v>187406.04</v>
      </c>
      <c r="J267" s="10"/>
      <c r="K267" s="10"/>
      <c r="L267" s="10"/>
      <c r="M267" s="10"/>
      <c r="O267" s="186">
        <v>265</v>
      </c>
    </row>
    <row r="268" spans="1:15" x14ac:dyDescent="0.2">
      <c r="A268" s="29">
        <f>IF('TAM Projet 1'!T259&gt;0,IF(_TauxActuariel,(('TAM Projet 1'!T259+1)^(1/_NbEchAn))-1,'TAM Projet 1'!T259/_NbEchAn),A267)</f>
        <v>1.5499999999999999E-3</v>
      </c>
      <c r="B268" s="28">
        <f>IF('TAM Projet 1'!W259&gt;0,'TAM Projet 1'!W259,IF('TAM Projet 1'!V259&gt;0,IF(AND(_EchFIXE,A268&gt;0),ROUND(('TAM Projet 1'!AD259-'TAM Projet 1'!U259)*A268/(1-((1+A268)^-'TAM Projet 1'!V259)),_NbDeci),ROUND('TAM Projet 1'!AD259/'TAM Projet 1'!V259,_NbDeci)),B267))</f>
        <v>768.98</v>
      </c>
      <c r="C268" s="10"/>
      <c r="D268" s="10"/>
      <c r="E268" s="10"/>
      <c r="F268" s="10"/>
      <c r="H268" s="29">
        <f>IF('TAM Projet 1'!AJ259&gt;0,IF(_TauxActuariel1,(('TAM Projet 1'!AJ259+1)^(1/_NbechAn1))-1,'TAM Projet 1'!AJ259/_NbechAn1),H267)</f>
        <v>8.3333333333333339E-4</v>
      </c>
      <c r="I268" s="28">
        <f>IF('TAM Projet 1'!AM259&gt;0,'TAM Projet 1'!AM259,IF('TAM Projet 1'!AL259&gt;0,IF(AND(_EchFIXE1,H268&gt;0),ROUND(('TAM Projet 1'!AT259-'TAM Projet 1'!AK259)*H268/(1-((1+H268)^-'TAM Projet 1'!AL259)),_NbDeci1),ROUND('TAM Projet 1'!AT259/'TAM Projet 1'!AL259,_NbDeci1)),I267))</f>
        <v>187406.04</v>
      </c>
      <c r="J268" s="10"/>
      <c r="K268" s="10"/>
      <c r="L268" s="10"/>
      <c r="M268" s="10"/>
      <c r="O268" s="186">
        <v>266</v>
      </c>
    </row>
    <row r="269" spans="1:15" x14ac:dyDescent="0.2">
      <c r="A269" s="29">
        <f>IF('TAM Projet 1'!T260&gt;0,IF(_TauxActuariel,(('TAM Projet 1'!T260+1)^(1/_NbEchAn))-1,'TAM Projet 1'!T260/_NbEchAn),A268)</f>
        <v>1.5499999999999999E-3</v>
      </c>
      <c r="B269" s="28">
        <f>IF('TAM Projet 1'!W260&gt;0,'TAM Projet 1'!W260,IF('TAM Projet 1'!V260&gt;0,IF(AND(_EchFIXE,A269&gt;0),ROUND(('TAM Projet 1'!AD260-'TAM Projet 1'!U260)*A269/(1-((1+A269)^-'TAM Projet 1'!V260)),_NbDeci),ROUND('TAM Projet 1'!AD260/'TAM Projet 1'!V260,_NbDeci)),B268))</f>
        <v>768.98</v>
      </c>
      <c r="C269" s="10"/>
      <c r="D269" s="10"/>
      <c r="E269" s="10"/>
      <c r="F269" s="10"/>
      <c r="H269" s="29">
        <f>IF('TAM Projet 1'!AJ260&gt;0,IF(_TauxActuariel1,(('TAM Projet 1'!AJ260+1)^(1/_NbechAn1))-1,'TAM Projet 1'!AJ260/_NbechAn1),H268)</f>
        <v>8.3333333333333339E-4</v>
      </c>
      <c r="I269" s="28">
        <f>IF('TAM Projet 1'!AM260&gt;0,'TAM Projet 1'!AM260,IF('TAM Projet 1'!AL260&gt;0,IF(AND(_EchFIXE1,H269&gt;0),ROUND(('TAM Projet 1'!AT260-'TAM Projet 1'!AK260)*H269/(1-((1+H269)^-'TAM Projet 1'!AL260)),_NbDeci1),ROUND('TAM Projet 1'!AT260/'TAM Projet 1'!AL260,_NbDeci1)),I268))</f>
        <v>187406.04</v>
      </c>
      <c r="J269" s="10"/>
      <c r="K269" s="10"/>
      <c r="L269" s="10"/>
      <c r="M269" s="10"/>
      <c r="O269" s="186">
        <v>267</v>
      </c>
    </row>
    <row r="270" spans="1:15" x14ac:dyDescent="0.2">
      <c r="A270" s="29">
        <f>IF('TAM Projet 1'!T261&gt;0,IF(_TauxActuariel,(('TAM Projet 1'!T261+1)^(1/_NbEchAn))-1,'TAM Projet 1'!T261/_NbEchAn),A269)</f>
        <v>1.5499999999999999E-3</v>
      </c>
      <c r="B270" s="28">
        <f>IF('TAM Projet 1'!W261&gt;0,'TAM Projet 1'!W261,IF('TAM Projet 1'!V261&gt;0,IF(AND(_EchFIXE,A270&gt;0),ROUND(('TAM Projet 1'!AD261-'TAM Projet 1'!U261)*A270/(1-((1+A270)^-'TAM Projet 1'!V261)),_NbDeci),ROUND('TAM Projet 1'!AD261/'TAM Projet 1'!V261,_NbDeci)),B269))</f>
        <v>768.98</v>
      </c>
      <c r="C270" s="10"/>
      <c r="D270" s="10"/>
      <c r="E270" s="10"/>
      <c r="F270" s="10"/>
      <c r="H270" s="29">
        <f>IF('TAM Projet 1'!AJ261&gt;0,IF(_TauxActuariel1,(('TAM Projet 1'!AJ261+1)^(1/_NbechAn1))-1,'TAM Projet 1'!AJ261/_NbechAn1),H269)</f>
        <v>8.3333333333333339E-4</v>
      </c>
      <c r="I270" s="28">
        <f>IF('TAM Projet 1'!AM261&gt;0,'TAM Projet 1'!AM261,IF('TAM Projet 1'!AL261&gt;0,IF(AND(_EchFIXE1,H270&gt;0),ROUND(('TAM Projet 1'!AT261-'TAM Projet 1'!AK261)*H270/(1-((1+H270)^-'TAM Projet 1'!AL261)),_NbDeci1),ROUND('TAM Projet 1'!AT261/'TAM Projet 1'!AL261,_NbDeci1)),I269))</f>
        <v>187406.04</v>
      </c>
      <c r="J270" s="10"/>
      <c r="K270" s="10"/>
      <c r="L270" s="10"/>
      <c r="M270" s="10"/>
      <c r="O270" s="186">
        <v>268</v>
      </c>
    </row>
    <row r="271" spans="1:15" x14ac:dyDescent="0.2">
      <c r="A271" s="29">
        <f>IF('TAM Projet 1'!T262&gt;0,IF(_TauxActuariel,(('TAM Projet 1'!T262+1)^(1/_NbEchAn))-1,'TAM Projet 1'!T262/_NbEchAn),A270)</f>
        <v>1.5499999999999999E-3</v>
      </c>
      <c r="B271" s="28">
        <f>IF('TAM Projet 1'!W262&gt;0,'TAM Projet 1'!W262,IF('TAM Projet 1'!V262&gt;0,IF(AND(_EchFIXE,A271&gt;0),ROUND(('TAM Projet 1'!AD262-'TAM Projet 1'!U262)*A271/(1-((1+A271)^-'TAM Projet 1'!V262)),_NbDeci),ROUND('TAM Projet 1'!AD262/'TAM Projet 1'!V262,_NbDeci)),B270))</f>
        <v>768.98</v>
      </c>
      <c r="C271" s="10"/>
      <c r="D271" s="10"/>
      <c r="E271" s="10"/>
      <c r="F271" s="10"/>
      <c r="H271" s="29">
        <f>IF('TAM Projet 1'!AJ262&gt;0,IF(_TauxActuariel1,(('TAM Projet 1'!AJ262+1)^(1/_NbechAn1))-1,'TAM Projet 1'!AJ262/_NbechAn1),H270)</f>
        <v>8.3333333333333339E-4</v>
      </c>
      <c r="I271" s="28">
        <f>IF('TAM Projet 1'!AM262&gt;0,'TAM Projet 1'!AM262,IF('TAM Projet 1'!AL262&gt;0,IF(AND(_EchFIXE1,H271&gt;0),ROUND(('TAM Projet 1'!AT262-'TAM Projet 1'!AK262)*H271/(1-((1+H271)^-'TAM Projet 1'!AL262)),_NbDeci1),ROUND('TAM Projet 1'!AT262/'TAM Projet 1'!AL262,_NbDeci1)),I270))</f>
        <v>187406.04</v>
      </c>
      <c r="J271" s="10"/>
      <c r="K271" s="10"/>
      <c r="L271" s="10"/>
      <c r="M271" s="10"/>
      <c r="O271" s="186">
        <v>269</v>
      </c>
    </row>
    <row r="272" spans="1:15" x14ac:dyDescent="0.2">
      <c r="A272" s="29">
        <f>IF('TAM Projet 1'!T263&gt;0,IF(_TauxActuariel,(('TAM Projet 1'!T263+1)^(1/_NbEchAn))-1,'TAM Projet 1'!T263/_NbEchAn),A271)</f>
        <v>1.5499999999999999E-3</v>
      </c>
      <c r="B272" s="28">
        <f>IF('TAM Projet 1'!W263&gt;0,'TAM Projet 1'!W263,IF('TAM Projet 1'!V263&gt;0,IF(AND(_EchFIXE,A272&gt;0),ROUND(('TAM Projet 1'!AD263-'TAM Projet 1'!U263)*A272/(1-((1+A272)^-'TAM Projet 1'!V263)),_NbDeci),ROUND('TAM Projet 1'!AD263/'TAM Projet 1'!V263,_NbDeci)),B271))</f>
        <v>768.98</v>
      </c>
      <c r="C272" s="10"/>
      <c r="D272" s="10"/>
      <c r="E272" s="10"/>
      <c r="F272" s="10"/>
      <c r="H272" s="29">
        <f>IF('TAM Projet 1'!AJ263&gt;0,IF(_TauxActuariel1,(('TAM Projet 1'!AJ263+1)^(1/_NbechAn1))-1,'TAM Projet 1'!AJ263/_NbechAn1),H271)</f>
        <v>8.3333333333333339E-4</v>
      </c>
      <c r="I272" s="28">
        <f>IF('TAM Projet 1'!AM263&gt;0,'TAM Projet 1'!AM263,IF('TAM Projet 1'!AL263&gt;0,IF(AND(_EchFIXE1,H272&gt;0),ROUND(('TAM Projet 1'!AT263-'TAM Projet 1'!AK263)*H272/(1-((1+H272)^-'TAM Projet 1'!AL263)),_NbDeci1),ROUND('TAM Projet 1'!AT263/'TAM Projet 1'!AL263,_NbDeci1)),I271))</f>
        <v>187406.04</v>
      </c>
      <c r="J272" s="10"/>
      <c r="K272" s="10"/>
      <c r="L272" s="10"/>
      <c r="M272" s="10"/>
      <c r="O272" s="186">
        <v>270</v>
      </c>
    </row>
    <row r="273" spans="1:15" x14ac:dyDescent="0.2">
      <c r="A273" s="29">
        <f>IF('TAM Projet 1'!T264&gt;0,IF(_TauxActuariel,(('TAM Projet 1'!T264+1)^(1/_NbEchAn))-1,'TAM Projet 1'!T264/_NbEchAn),A272)</f>
        <v>1.5499999999999999E-3</v>
      </c>
      <c r="B273" s="28">
        <f>IF('TAM Projet 1'!W264&gt;0,'TAM Projet 1'!W264,IF('TAM Projet 1'!V264&gt;0,IF(AND(_EchFIXE,A273&gt;0),ROUND(('TAM Projet 1'!AD264-'TAM Projet 1'!U264)*A273/(1-((1+A273)^-'TAM Projet 1'!V264)),_NbDeci),ROUND('TAM Projet 1'!AD264/'TAM Projet 1'!V264,_NbDeci)),B272))</f>
        <v>768.98</v>
      </c>
      <c r="C273" s="10"/>
      <c r="D273" s="10"/>
      <c r="E273" s="10"/>
      <c r="F273" s="10"/>
      <c r="H273" s="29">
        <f>IF('TAM Projet 1'!AJ264&gt;0,IF(_TauxActuariel1,(('TAM Projet 1'!AJ264+1)^(1/_NbechAn1))-1,'TAM Projet 1'!AJ264/_NbechAn1),H272)</f>
        <v>8.3333333333333339E-4</v>
      </c>
      <c r="I273" s="28">
        <f>IF('TAM Projet 1'!AM264&gt;0,'TAM Projet 1'!AM264,IF('TAM Projet 1'!AL264&gt;0,IF(AND(_EchFIXE1,H273&gt;0),ROUND(('TAM Projet 1'!AT264-'TAM Projet 1'!AK264)*H273/(1-((1+H273)^-'TAM Projet 1'!AL264)),_NbDeci1),ROUND('TAM Projet 1'!AT264/'TAM Projet 1'!AL264,_NbDeci1)),I272))</f>
        <v>187406.04</v>
      </c>
      <c r="J273" s="10"/>
      <c r="K273" s="10"/>
      <c r="L273" s="10"/>
      <c r="M273" s="10"/>
      <c r="O273" s="186">
        <v>271</v>
      </c>
    </row>
    <row r="274" spans="1:15" x14ac:dyDescent="0.2">
      <c r="A274" s="29">
        <f>IF('TAM Projet 1'!T265&gt;0,IF(_TauxActuariel,(('TAM Projet 1'!T265+1)^(1/_NbEchAn))-1,'TAM Projet 1'!T265/_NbEchAn),A273)</f>
        <v>1.5499999999999999E-3</v>
      </c>
      <c r="B274" s="28">
        <f>IF('TAM Projet 1'!W265&gt;0,'TAM Projet 1'!W265,IF('TAM Projet 1'!V265&gt;0,IF(AND(_EchFIXE,A274&gt;0),ROUND(('TAM Projet 1'!AD265-'TAM Projet 1'!U265)*A274/(1-((1+A274)^-'TAM Projet 1'!V265)),_NbDeci),ROUND('TAM Projet 1'!AD265/'TAM Projet 1'!V265,_NbDeci)),B273))</f>
        <v>768.98</v>
      </c>
      <c r="C274" s="10"/>
      <c r="D274" s="10"/>
      <c r="E274" s="10"/>
      <c r="F274" s="10"/>
      <c r="H274" s="29">
        <f>IF('TAM Projet 1'!AJ265&gt;0,IF(_TauxActuariel1,(('TAM Projet 1'!AJ265+1)^(1/_NbechAn1))-1,'TAM Projet 1'!AJ265/_NbechAn1),H273)</f>
        <v>8.3333333333333339E-4</v>
      </c>
      <c r="I274" s="28">
        <f>IF('TAM Projet 1'!AM265&gt;0,'TAM Projet 1'!AM265,IF('TAM Projet 1'!AL265&gt;0,IF(AND(_EchFIXE1,H274&gt;0),ROUND(('TAM Projet 1'!AT265-'TAM Projet 1'!AK265)*H274/(1-((1+H274)^-'TAM Projet 1'!AL265)),_NbDeci1),ROUND('TAM Projet 1'!AT265/'TAM Projet 1'!AL265,_NbDeci1)),I273))</f>
        <v>187406.04</v>
      </c>
      <c r="J274" s="10"/>
      <c r="K274" s="10"/>
      <c r="L274" s="10"/>
      <c r="M274" s="10"/>
      <c r="O274" s="186">
        <v>272</v>
      </c>
    </row>
    <row r="275" spans="1:15" x14ac:dyDescent="0.2">
      <c r="A275" s="29">
        <f>IF('TAM Projet 1'!T266&gt;0,IF(_TauxActuariel,(('TAM Projet 1'!T266+1)^(1/_NbEchAn))-1,'TAM Projet 1'!T266/_NbEchAn),A274)</f>
        <v>1.5499999999999999E-3</v>
      </c>
      <c r="B275" s="28">
        <f>IF('TAM Projet 1'!W266&gt;0,'TAM Projet 1'!W266,IF('TAM Projet 1'!V266&gt;0,IF(AND(_EchFIXE,A275&gt;0),ROUND(('TAM Projet 1'!AD266-'TAM Projet 1'!U266)*A275/(1-((1+A275)^-'TAM Projet 1'!V266)),_NbDeci),ROUND('TAM Projet 1'!AD266/'TAM Projet 1'!V266,_NbDeci)),B274))</f>
        <v>768.98</v>
      </c>
      <c r="C275" s="10"/>
      <c r="D275" s="10"/>
      <c r="E275" s="10"/>
      <c r="F275" s="10"/>
      <c r="H275" s="29">
        <f>IF('TAM Projet 1'!AJ266&gt;0,IF(_TauxActuariel1,(('TAM Projet 1'!AJ266+1)^(1/_NbechAn1))-1,'TAM Projet 1'!AJ266/_NbechAn1),H274)</f>
        <v>8.3333333333333339E-4</v>
      </c>
      <c r="I275" s="28">
        <f>IF('TAM Projet 1'!AM266&gt;0,'TAM Projet 1'!AM266,IF('TAM Projet 1'!AL266&gt;0,IF(AND(_EchFIXE1,H275&gt;0),ROUND(('TAM Projet 1'!AT266-'TAM Projet 1'!AK266)*H275/(1-((1+H275)^-'TAM Projet 1'!AL266)),_NbDeci1),ROUND('TAM Projet 1'!AT266/'TAM Projet 1'!AL266,_NbDeci1)),I274))</f>
        <v>187406.04</v>
      </c>
      <c r="J275" s="10"/>
      <c r="K275" s="10"/>
      <c r="L275" s="10"/>
      <c r="M275" s="10"/>
      <c r="O275" s="186">
        <v>273</v>
      </c>
    </row>
    <row r="276" spans="1:15" x14ac:dyDescent="0.2">
      <c r="A276" s="29">
        <f>IF('TAM Projet 1'!T267&gt;0,IF(_TauxActuariel,(('TAM Projet 1'!T267+1)^(1/_NbEchAn))-1,'TAM Projet 1'!T267/_NbEchAn),A275)</f>
        <v>1.5499999999999999E-3</v>
      </c>
      <c r="B276" s="28">
        <f>IF('TAM Projet 1'!W267&gt;0,'TAM Projet 1'!W267,IF('TAM Projet 1'!V267&gt;0,IF(AND(_EchFIXE,A276&gt;0),ROUND(('TAM Projet 1'!AD267-'TAM Projet 1'!U267)*A276/(1-((1+A276)^-'TAM Projet 1'!V267)),_NbDeci),ROUND('TAM Projet 1'!AD267/'TAM Projet 1'!V267,_NbDeci)),B275))</f>
        <v>768.98</v>
      </c>
      <c r="C276" s="10"/>
      <c r="D276" s="10"/>
      <c r="E276" s="10"/>
      <c r="F276" s="10"/>
      <c r="H276" s="29">
        <f>IF('TAM Projet 1'!AJ267&gt;0,IF(_TauxActuariel1,(('TAM Projet 1'!AJ267+1)^(1/_NbechAn1))-1,'TAM Projet 1'!AJ267/_NbechAn1),H275)</f>
        <v>8.3333333333333339E-4</v>
      </c>
      <c r="I276" s="28">
        <f>IF('TAM Projet 1'!AM267&gt;0,'TAM Projet 1'!AM267,IF('TAM Projet 1'!AL267&gt;0,IF(AND(_EchFIXE1,H276&gt;0),ROUND(('TAM Projet 1'!AT267-'TAM Projet 1'!AK267)*H276/(1-((1+H276)^-'TAM Projet 1'!AL267)),_NbDeci1),ROUND('TAM Projet 1'!AT267/'TAM Projet 1'!AL267,_NbDeci1)),I275))</f>
        <v>187406.04</v>
      </c>
      <c r="J276" s="10"/>
      <c r="K276" s="10"/>
      <c r="L276" s="10"/>
      <c r="M276" s="10"/>
      <c r="O276" s="186">
        <v>274</v>
      </c>
    </row>
    <row r="277" spans="1:15" x14ac:dyDescent="0.2">
      <c r="A277" s="29">
        <f>IF('TAM Projet 1'!T268&gt;0,IF(_TauxActuariel,(('TAM Projet 1'!T268+1)^(1/_NbEchAn))-1,'TAM Projet 1'!T268/_NbEchAn),A276)</f>
        <v>1.5499999999999999E-3</v>
      </c>
      <c r="B277" s="28">
        <f>IF('TAM Projet 1'!W268&gt;0,'TAM Projet 1'!W268,IF('TAM Projet 1'!V268&gt;0,IF(AND(_EchFIXE,A277&gt;0),ROUND(('TAM Projet 1'!AD268-'TAM Projet 1'!U268)*A277/(1-((1+A277)^-'TAM Projet 1'!V268)),_NbDeci),ROUND('TAM Projet 1'!AD268/'TAM Projet 1'!V268,_NbDeci)),B276))</f>
        <v>768.98</v>
      </c>
      <c r="C277" s="10"/>
      <c r="D277" s="10"/>
      <c r="E277" s="10"/>
      <c r="F277" s="10"/>
      <c r="H277" s="29">
        <f>IF('TAM Projet 1'!AJ268&gt;0,IF(_TauxActuariel1,(('TAM Projet 1'!AJ268+1)^(1/_NbechAn1))-1,'TAM Projet 1'!AJ268/_NbechAn1),H276)</f>
        <v>8.3333333333333339E-4</v>
      </c>
      <c r="I277" s="28">
        <f>IF('TAM Projet 1'!AM268&gt;0,'TAM Projet 1'!AM268,IF('TAM Projet 1'!AL268&gt;0,IF(AND(_EchFIXE1,H277&gt;0),ROUND(('TAM Projet 1'!AT268-'TAM Projet 1'!AK268)*H277/(1-((1+H277)^-'TAM Projet 1'!AL268)),_NbDeci1),ROUND('TAM Projet 1'!AT268/'TAM Projet 1'!AL268,_NbDeci1)),I276))</f>
        <v>187406.04</v>
      </c>
      <c r="J277" s="10"/>
      <c r="K277" s="10"/>
      <c r="L277" s="10"/>
      <c r="M277" s="10"/>
      <c r="O277" s="186">
        <v>275</v>
      </c>
    </row>
    <row r="278" spans="1:15" x14ac:dyDescent="0.2">
      <c r="A278" s="29">
        <f>IF('TAM Projet 1'!T269&gt;0,IF(_TauxActuariel,(('TAM Projet 1'!T269+1)^(1/_NbEchAn))-1,'TAM Projet 1'!T269/_NbEchAn),A277)</f>
        <v>1.5499999999999999E-3</v>
      </c>
      <c r="B278" s="28">
        <f>IF('TAM Projet 1'!W269&gt;0,'TAM Projet 1'!W269,IF('TAM Projet 1'!V269&gt;0,IF(AND(_EchFIXE,A278&gt;0),ROUND(('TAM Projet 1'!AD269-'TAM Projet 1'!U269)*A278/(1-((1+A278)^-'TAM Projet 1'!V269)),_NbDeci),ROUND('TAM Projet 1'!AD269/'TAM Projet 1'!V269,_NbDeci)),B277))</f>
        <v>768.98</v>
      </c>
      <c r="C278" s="10"/>
      <c r="D278" s="10"/>
      <c r="E278" s="10"/>
      <c r="F278" s="10"/>
      <c r="H278" s="29">
        <f>IF('TAM Projet 1'!AJ269&gt;0,IF(_TauxActuariel1,(('TAM Projet 1'!AJ269+1)^(1/_NbechAn1))-1,'TAM Projet 1'!AJ269/_NbechAn1),H277)</f>
        <v>8.3333333333333339E-4</v>
      </c>
      <c r="I278" s="28">
        <f>IF('TAM Projet 1'!AM269&gt;0,'TAM Projet 1'!AM269,IF('TAM Projet 1'!AL269&gt;0,IF(AND(_EchFIXE1,H278&gt;0),ROUND(('TAM Projet 1'!AT269-'TAM Projet 1'!AK269)*H278/(1-((1+H278)^-'TAM Projet 1'!AL269)),_NbDeci1),ROUND('TAM Projet 1'!AT269/'TAM Projet 1'!AL269,_NbDeci1)),I277))</f>
        <v>187406.04</v>
      </c>
      <c r="J278" s="10"/>
      <c r="K278" s="10"/>
      <c r="L278" s="10"/>
      <c r="M278" s="10"/>
      <c r="O278" s="186">
        <v>276</v>
      </c>
    </row>
    <row r="279" spans="1:15" x14ac:dyDescent="0.2">
      <c r="A279" s="29">
        <f>IF('TAM Projet 1'!T270&gt;0,IF(_TauxActuariel,(('TAM Projet 1'!T270+1)^(1/_NbEchAn))-1,'TAM Projet 1'!T270/_NbEchAn),A278)</f>
        <v>1.5499999999999999E-3</v>
      </c>
      <c r="B279" s="28">
        <f>IF('TAM Projet 1'!W270&gt;0,'TAM Projet 1'!W270,IF('TAM Projet 1'!V270&gt;0,IF(AND(_EchFIXE,A279&gt;0),ROUND(('TAM Projet 1'!AD270-'TAM Projet 1'!U270)*A279/(1-((1+A279)^-'TAM Projet 1'!V270)),_NbDeci),ROUND('TAM Projet 1'!AD270/'TAM Projet 1'!V270,_NbDeci)),B278))</f>
        <v>768.98</v>
      </c>
      <c r="C279" s="10"/>
      <c r="D279" s="10"/>
      <c r="E279" s="10"/>
      <c r="F279" s="10"/>
      <c r="H279" s="29">
        <f>IF('TAM Projet 1'!AJ270&gt;0,IF(_TauxActuariel1,(('TAM Projet 1'!AJ270+1)^(1/_NbechAn1))-1,'TAM Projet 1'!AJ270/_NbechAn1),H278)</f>
        <v>8.3333333333333339E-4</v>
      </c>
      <c r="I279" s="28">
        <f>IF('TAM Projet 1'!AM270&gt;0,'TAM Projet 1'!AM270,IF('TAM Projet 1'!AL270&gt;0,IF(AND(_EchFIXE1,H279&gt;0),ROUND(('TAM Projet 1'!AT270-'TAM Projet 1'!AK270)*H279/(1-((1+H279)^-'TAM Projet 1'!AL270)),_NbDeci1),ROUND('TAM Projet 1'!AT270/'TAM Projet 1'!AL270,_NbDeci1)),I278))</f>
        <v>187406.04</v>
      </c>
      <c r="J279" s="10"/>
      <c r="K279" s="10"/>
      <c r="L279" s="10"/>
      <c r="M279" s="10"/>
      <c r="O279" s="186">
        <v>277</v>
      </c>
    </row>
    <row r="280" spans="1:15" x14ac:dyDescent="0.2">
      <c r="A280" s="29">
        <f>IF('TAM Projet 1'!T271&gt;0,IF(_TauxActuariel,(('TAM Projet 1'!T271+1)^(1/_NbEchAn))-1,'TAM Projet 1'!T271/_NbEchAn),A279)</f>
        <v>1.5499999999999999E-3</v>
      </c>
      <c r="B280" s="28">
        <f>IF('TAM Projet 1'!W271&gt;0,'TAM Projet 1'!W271,IF('TAM Projet 1'!V271&gt;0,IF(AND(_EchFIXE,A280&gt;0),ROUND(('TAM Projet 1'!AD271-'TAM Projet 1'!U271)*A280/(1-((1+A280)^-'TAM Projet 1'!V271)),_NbDeci),ROUND('TAM Projet 1'!AD271/'TAM Projet 1'!V271,_NbDeci)),B279))</f>
        <v>768.98</v>
      </c>
      <c r="C280" s="10"/>
      <c r="D280" s="10"/>
      <c r="E280" s="10"/>
      <c r="F280" s="10"/>
      <c r="H280" s="29">
        <f>IF('TAM Projet 1'!AJ271&gt;0,IF(_TauxActuariel1,(('TAM Projet 1'!AJ271+1)^(1/_NbechAn1))-1,'TAM Projet 1'!AJ271/_NbechAn1),H279)</f>
        <v>8.3333333333333339E-4</v>
      </c>
      <c r="I280" s="28">
        <f>IF('TAM Projet 1'!AM271&gt;0,'TAM Projet 1'!AM271,IF('TAM Projet 1'!AL271&gt;0,IF(AND(_EchFIXE1,H280&gt;0),ROUND(('TAM Projet 1'!AT271-'TAM Projet 1'!AK271)*H280/(1-((1+H280)^-'TAM Projet 1'!AL271)),_NbDeci1),ROUND('TAM Projet 1'!AT271/'TAM Projet 1'!AL271,_NbDeci1)),I279))</f>
        <v>187406.04</v>
      </c>
      <c r="J280" s="10"/>
      <c r="K280" s="10"/>
      <c r="L280" s="10"/>
      <c r="M280" s="10"/>
      <c r="O280" s="186">
        <v>278</v>
      </c>
    </row>
    <row r="281" spans="1:15" x14ac:dyDescent="0.2">
      <c r="A281" s="29">
        <f>IF('TAM Projet 1'!T272&gt;0,IF(_TauxActuariel,(('TAM Projet 1'!T272+1)^(1/_NbEchAn))-1,'TAM Projet 1'!T272/_NbEchAn),A280)</f>
        <v>1.5499999999999999E-3</v>
      </c>
      <c r="B281" s="28">
        <f>IF('TAM Projet 1'!W272&gt;0,'TAM Projet 1'!W272,IF('TAM Projet 1'!V272&gt;0,IF(AND(_EchFIXE,A281&gt;0),ROUND(('TAM Projet 1'!AD272-'TAM Projet 1'!U272)*A281/(1-((1+A281)^-'TAM Projet 1'!V272)),_NbDeci),ROUND('TAM Projet 1'!AD272/'TAM Projet 1'!V272,_NbDeci)),B280))</f>
        <v>768.98</v>
      </c>
      <c r="C281" s="10"/>
      <c r="D281" s="10"/>
      <c r="E281" s="10"/>
      <c r="F281" s="10"/>
      <c r="H281" s="29">
        <f>IF('TAM Projet 1'!AJ272&gt;0,IF(_TauxActuariel1,(('TAM Projet 1'!AJ272+1)^(1/_NbechAn1))-1,'TAM Projet 1'!AJ272/_NbechAn1),H280)</f>
        <v>8.3333333333333339E-4</v>
      </c>
      <c r="I281" s="28">
        <f>IF('TAM Projet 1'!AM272&gt;0,'TAM Projet 1'!AM272,IF('TAM Projet 1'!AL272&gt;0,IF(AND(_EchFIXE1,H281&gt;0),ROUND(('TAM Projet 1'!AT272-'TAM Projet 1'!AK272)*H281/(1-((1+H281)^-'TAM Projet 1'!AL272)),_NbDeci1),ROUND('TAM Projet 1'!AT272/'TAM Projet 1'!AL272,_NbDeci1)),I280))</f>
        <v>187406.04</v>
      </c>
      <c r="J281" s="10"/>
      <c r="K281" s="10"/>
      <c r="L281" s="10"/>
      <c r="M281" s="10"/>
      <c r="O281" s="186">
        <v>279</v>
      </c>
    </row>
    <row r="282" spans="1:15" x14ac:dyDescent="0.2">
      <c r="A282" s="29">
        <f>IF('TAM Projet 1'!T273&gt;0,IF(_TauxActuariel,(('TAM Projet 1'!T273+1)^(1/_NbEchAn))-1,'TAM Projet 1'!T273/_NbEchAn),A281)</f>
        <v>1.5499999999999999E-3</v>
      </c>
      <c r="B282" s="28">
        <f>IF('TAM Projet 1'!W273&gt;0,'TAM Projet 1'!W273,IF('TAM Projet 1'!V273&gt;0,IF(AND(_EchFIXE,A282&gt;0),ROUND(('TAM Projet 1'!AD273-'TAM Projet 1'!U273)*A282/(1-((1+A282)^-'TAM Projet 1'!V273)),_NbDeci),ROUND('TAM Projet 1'!AD273/'TAM Projet 1'!V273,_NbDeci)),B281))</f>
        <v>768.98</v>
      </c>
      <c r="C282" s="10"/>
      <c r="D282" s="10"/>
      <c r="E282" s="10"/>
      <c r="F282" s="10"/>
      <c r="H282" s="29">
        <f>IF('TAM Projet 1'!AJ273&gt;0,IF(_TauxActuariel1,(('TAM Projet 1'!AJ273+1)^(1/_NbechAn1))-1,'TAM Projet 1'!AJ273/_NbechAn1),H281)</f>
        <v>8.3333333333333339E-4</v>
      </c>
      <c r="I282" s="28">
        <f>IF('TAM Projet 1'!AM273&gt;0,'TAM Projet 1'!AM273,IF('TAM Projet 1'!AL273&gt;0,IF(AND(_EchFIXE1,H282&gt;0),ROUND(('TAM Projet 1'!AT273-'TAM Projet 1'!AK273)*H282/(1-((1+H282)^-'TAM Projet 1'!AL273)),_NbDeci1),ROUND('TAM Projet 1'!AT273/'TAM Projet 1'!AL273,_NbDeci1)),I281))</f>
        <v>187406.04</v>
      </c>
      <c r="J282" s="10"/>
      <c r="K282" s="10"/>
      <c r="L282" s="10"/>
      <c r="M282" s="10"/>
      <c r="O282" s="186">
        <v>280</v>
      </c>
    </row>
    <row r="283" spans="1:15" x14ac:dyDescent="0.2">
      <c r="A283" s="29">
        <f>IF('TAM Projet 1'!T274&gt;0,IF(_TauxActuariel,(('TAM Projet 1'!T274+1)^(1/_NbEchAn))-1,'TAM Projet 1'!T274/_NbEchAn),A282)</f>
        <v>1.5499999999999999E-3</v>
      </c>
      <c r="B283" s="28">
        <f>IF('TAM Projet 1'!W274&gt;0,'TAM Projet 1'!W274,IF('TAM Projet 1'!V274&gt;0,IF(AND(_EchFIXE,A283&gt;0),ROUND(('TAM Projet 1'!AD274-'TAM Projet 1'!U274)*A283/(1-((1+A283)^-'TAM Projet 1'!V274)),_NbDeci),ROUND('TAM Projet 1'!AD274/'TAM Projet 1'!V274,_NbDeci)),B282))</f>
        <v>768.98</v>
      </c>
      <c r="C283" s="10"/>
      <c r="D283" s="10"/>
      <c r="E283" s="10"/>
      <c r="F283" s="10"/>
      <c r="H283" s="29">
        <f>IF('TAM Projet 1'!AJ274&gt;0,IF(_TauxActuariel1,(('TAM Projet 1'!AJ274+1)^(1/_NbechAn1))-1,'TAM Projet 1'!AJ274/_NbechAn1),H282)</f>
        <v>8.3333333333333339E-4</v>
      </c>
      <c r="I283" s="28">
        <f>IF('TAM Projet 1'!AM274&gt;0,'TAM Projet 1'!AM274,IF('TAM Projet 1'!AL274&gt;0,IF(AND(_EchFIXE1,H283&gt;0),ROUND(('TAM Projet 1'!AT274-'TAM Projet 1'!AK274)*H283/(1-((1+H283)^-'TAM Projet 1'!AL274)),_NbDeci1),ROUND('TAM Projet 1'!AT274/'TAM Projet 1'!AL274,_NbDeci1)),I282))</f>
        <v>187406.04</v>
      </c>
      <c r="J283" s="10"/>
      <c r="K283" s="10"/>
      <c r="L283" s="10"/>
      <c r="M283" s="10"/>
      <c r="O283" s="186">
        <v>281</v>
      </c>
    </row>
    <row r="284" spans="1:15" x14ac:dyDescent="0.2">
      <c r="A284" s="29">
        <f>IF('TAM Projet 1'!T275&gt;0,IF(_TauxActuariel,(('TAM Projet 1'!T275+1)^(1/_NbEchAn))-1,'TAM Projet 1'!T275/_NbEchAn),A283)</f>
        <v>1.5499999999999999E-3</v>
      </c>
      <c r="B284" s="28">
        <f>IF('TAM Projet 1'!W275&gt;0,'TAM Projet 1'!W275,IF('TAM Projet 1'!V275&gt;0,IF(AND(_EchFIXE,A284&gt;0),ROUND(('TAM Projet 1'!AD275-'TAM Projet 1'!U275)*A284/(1-((1+A284)^-'TAM Projet 1'!V275)),_NbDeci),ROUND('TAM Projet 1'!AD275/'TAM Projet 1'!V275,_NbDeci)),B283))</f>
        <v>768.98</v>
      </c>
      <c r="C284" s="10"/>
      <c r="D284" s="10"/>
      <c r="E284" s="10"/>
      <c r="F284" s="10"/>
      <c r="H284" s="29">
        <f>IF('TAM Projet 1'!AJ275&gt;0,IF(_TauxActuariel1,(('TAM Projet 1'!AJ275+1)^(1/_NbechAn1))-1,'TAM Projet 1'!AJ275/_NbechAn1),H283)</f>
        <v>8.3333333333333339E-4</v>
      </c>
      <c r="I284" s="28">
        <f>IF('TAM Projet 1'!AM275&gt;0,'TAM Projet 1'!AM275,IF('TAM Projet 1'!AL275&gt;0,IF(AND(_EchFIXE1,H284&gt;0),ROUND(('TAM Projet 1'!AT275-'TAM Projet 1'!AK275)*H284/(1-((1+H284)^-'TAM Projet 1'!AL275)),_NbDeci1),ROUND('TAM Projet 1'!AT275/'TAM Projet 1'!AL275,_NbDeci1)),I283))</f>
        <v>187406.04</v>
      </c>
      <c r="J284" s="10"/>
      <c r="K284" s="10"/>
      <c r="L284" s="10"/>
      <c r="M284" s="10"/>
      <c r="O284" s="186">
        <v>282</v>
      </c>
    </row>
    <row r="285" spans="1:15" x14ac:dyDescent="0.2">
      <c r="A285" s="29">
        <f>IF('TAM Projet 1'!T276&gt;0,IF(_TauxActuariel,(('TAM Projet 1'!T276+1)^(1/_NbEchAn))-1,'TAM Projet 1'!T276/_NbEchAn),A284)</f>
        <v>1.5499999999999999E-3</v>
      </c>
      <c r="B285" s="28">
        <f>IF('TAM Projet 1'!W276&gt;0,'TAM Projet 1'!W276,IF('TAM Projet 1'!V276&gt;0,IF(AND(_EchFIXE,A285&gt;0),ROUND(('TAM Projet 1'!AD276-'TAM Projet 1'!U276)*A285/(1-((1+A285)^-'TAM Projet 1'!V276)),_NbDeci),ROUND('TAM Projet 1'!AD276/'TAM Projet 1'!V276,_NbDeci)),B284))</f>
        <v>768.98</v>
      </c>
      <c r="C285" s="10"/>
      <c r="D285" s="10"/>
      <c r="E285" s="10"/>
      <c r="F285" s="10"/>
      <c r="H285" s="29">
        <f>IF('TAM Projet 1'!AJ276&gt;0,IF(_TauxActuariel1,(('TAM Projet 1'!AJ276+1)^(1/_NbechAn1))-1,'TAM Projet 1'!AJ276/_NbechAn1),H284)</f>
        <v>8.3333333333333339E-4</v>
      </c>
      <c r="I285" s="28">
        <f>IF('TAM Projet 1'!AM276&gt;0,'TAM Projet 1'!AM276,IF('TAM Projet 1'!AL276&gt;0,IF(AND(_EchFIXE1,H285&gt;0),ROUND(('TAM Projet 1'!AT276-'TAM Projet 1'!AK276)*H285/(1-((1+H285)^-'TAM Projet 1'!AL276)),_NbDeci1),ROUND('TAM Projet 1'!AT276/'TAM Projet 1'!AL276,_NbDeci1)),I284))</f>
        <v>187406.04</v>
      </c>
      <c r="J285" s="10"/>
      <c r="K285" s="10"/>
      <c r="L285" s="10"/>
      <c r="M285" s="10"/>
      <c r="O285" s="186">
        <v>283</v>
      </c>
    </row>
    <row r="286" spans="1:15" x14ac:dyDescent="0.2">
      <c r="A286" s="29">
        <f>IF('TAM Projet 1'!T277&gt;0,IF(_TauxActuariel,(('TAM Projet 1'!T277+1)^(1/_NbEchAn))-1,'TAM Projet 1'!T277/_NbEchAn),A285)</f>
        <v>1.5499999999999999E-3</v>
      </c>
      <c r="B286" s="28">
        <f>IF('TAM Projet 1'!W277&gt;0,'TAM Projet 1'!W277,IF('TAM Projet 1'!V277&gt;0,IF(AND(_EchFIXE,A286&gt;0),ROUND(('TAM Projet 1'!AD277-'TAM Projet 1'!U277)*A286/(1-((1+A286)^-'TAM Projet 1'!V277)),_NbDeci),ROUND('TAM Projet 1'!AD277/'TAM Projet 1'!V277,_NbDeci)),B285))</f>
        <v>768.98</v>
      </c>
      <c r="C286" s="10"/>
      <c r="D286" s="10"/>
      <c r="E286" s="10"/>
      <c r="F286" s="10"/>
      <c r="H286" s="29">
        <f>IF('TAM Projet 1'!AJ277&gt;0,IF(_TauxActuariel1,(('TAM Projet 1'!AJ277+1)^(1/_NbechAn1))-1,'TAM Projet 1'!AJ277/_NbechAn1),H285)</f>
        <v>8.3333333333333339E-4</v>
      </c>
      <c r="I286" s="28">
        <f>IF('TAM Projet 1'!AM277&gt;0,'TAM Projet 1'!AM277,IF('TAM Projet 1'!AL277&gt;0,IF(AND(_EchFIXE1,H286&gt;0),ROUND(('TAM Projet 1'!AT277-'TAM Projet 1'!AK277)*H286/(1-((1+H286)^-'TAM Projet 1'!AL277)),_NbDeci1),ROUND('TAM Projet 1'!AT277/'TAM Projet 1'!AL277,_NbDeci1)),I285))</f>
        <v>187406.04</v>
      </c>
      <c r="J286" s="10"/>
      <c r="K286" s="10"/>
      <c r="L286" s="10"/>
      <c r="M286" s="10"/>
      <c r="O286" s="186">
        <v>284</v>
      </c>
    </row>
    <row r="287" spans="1:15" x14ac:dyDescent="0.2">
      <c r="A287" s="29">
        <f>IF('TAM Projet 1'!T278&gt;0,IF(_TauxActuariel,(('TAM Projet 1'!T278+1)^(1/_NbEchAn))-1,'TAM Projet 1'!T278/_NbEchAn),A286)</f>
        <v>1.5499999999999999E-3</v>
      </c>
      <c r="B287" s="28">
        <f>IF('TAM Projet 1'!W278&gt;0,'TAM Projet 1'!W278,IF('TAM Projet 1'!V278&gt;0,IF(AND(_EchFIXE,A287&gt;0),ROUND(('TAM Projet 1'!AD278-'TAM Projet 1'!U278)*A287/(1-((1+A287)^-'TAM Projet 1'!V278)),_NbDeci),ROUND('TAM Projet 1'!AD278/'TAM Projet 1'!V278,_NbDeci)),B286))</f>
        <v>768.98</v>
      </c>
      <c r="C287" s="10"/>
      <c r="D287" s="10"/>
      <c r="E287" s="10"/>
      <c r="F287" s="10"/>
      <c r="H287" s="29">
        <f>IF('TAM Projet 1'!AJ278&gt;0,IF(_TauxActuariel1,(('TAM Projet 1'!AJ278+1)^(1/_NbechAn1))-1,'TAM Projet 1'!AJ278/_NbechAn1),H286)</f>
        <v>8.3333333333333339E-4</v>
      </c>
      <c r="I287" s="28">
        <f>IF('TAM Projet 1'!AM278&gt;0,'TAM Projet 1'!AM278,IF('TAM Projet 1'!AL278&gt;0,IF(AND(_EchFIXE1,H287&gt;0),ROUND(('TAM Projet 1'!AT278-'TAM Projet 1'!AK278)*H287/(1-((1+H287)^-'TAM Projet 1'!AL278)),_NbDeci1),ROUND('TAM Projet 1'!AT278/'TAM Projet 1'!AL278,_NbDeci1)),I286))</f>
        <v>187406.04</v>
      </c>
      <c r="J287" s="10"/>
      <c r="K287" s="10"/>
      <c r="L287" s="10"/>
      <c r="M287" s="10"/>
      <c r="O287" s="186">
        <v>285</v>
      </c>
    </row>
    <row r="288" spans="1:15" x14ac:dyDescent="0.2">
      <c r="A288" s="29">
        <f>IF('TAM Projet 1'!T279&gt;0,IF(_TauxActuariel,(('TAM Projet 1'!T279+1)^(1/_NbEchAn))-1,'TAM Projet 1'!T279/_NbEchAn),A287)</f>
        <v>1.5499999999999999E-3</v>
      </c>
      <c r="B288" s="28">
        <f>IF('TAM Projet 1'!W279&gt;0,'TAM Projet 1'!W279,IF('TAM Projet 1'!V279&gt;0,IF(AND(_EchFIXE,A288&gt;0),ROUND(('TAM Projet 1'!AD279-'TAM Projet 1'!U279)*A288/(1-((1+A288)^-'TAM Projet 1'!V279)),_NbDeci),ROUND('TAM Projet 1'!AD279/'TAM Projet 1'!V279,_NbDeci)),B287))</f>
        <v>768.98</v>
      </c>
      <c r="C288" s="10"/>
      <c r="D288" s="10"/>
      <c r="E288" s="10"/>
      <c r="F288" s="10"/>
      <c r="H288" s="29">
        <f>IF('TAM Projet 1'!AJ279&gt;0,IF(_TauxActuariel1,(('TAM Projet 1'!AJ279+1)^(1/_NbechAn1))-1,'TAM Projet 1'!AJ279/_NbechAn1),H287)</f>
        <v>8.3333333333333339E-4</v>
      </c>
      <c r="I288" s="28">
        <f>IF('TAM Projet 1'!AM279&gt;0,'TAM Projet 1'!AM279,IF('TAM Projet 1'!AL279&gt;0,IF(AND(_EchFIXE1,H288&gt;0),ROUND(('TAM Projet 1'!AT279-'TAM Projet 1'!AK279)*H288/(1-((1+H288)^-'TAM Projet 1'!AL279)),_NbDeci1),ROUND('TAM Projet 1'!AT279/'TAM Projet 1'!AL279,_NbDeci1)),I287))</f>
        <v>187406.04</v>
      </c>
      <c r="J288" s="10"/>
      <c r="K288" s="10"/>
      <c r="L288" s="10"/>
      <c r="M288" s="10"/>
      <c r="O288" s="186">
        <v>286</v>
      </c>
    </row>
    <row r="289" spans="1:15" x14ac:dyDescent="0.2">
      <c r="A289" s="29">
        <f>IF('TAM Projet 1'!T280&gt;0,IF(_TauxActuariel,(('TAM Projet 1'!T280+1)^(1/_NbEchAn))-1,'TAM Projet 1'!T280/_NbEchAn),A288)</f>
        <v>1.5499999999999999E-3</v>
      </c>
      <c r="B289" s="28">
        <f>IF('TAM Projet 1'!W280&gt;0,'TAM Projet 1'!W280,IF('TAM Projet 1'!V280&gt;0,IF(AND(_EchFIXE,A289&gt;0),ROUND(('TAM Projet 1'!AD280-'TAM Projet 1'!U280)*A289/(1-((1+A289)^-'TAM Projet 1'!V280)),_NbDeci),ROUND('TAM Projet 1'!AD280/'TAM Projet 1'!V280,_NbDeci)),B288))</f>
        <v>768.98</v>
      </c>
      <c r="C289" s="10"/>
      <c r="D289" s="10"/>
      <c r="E289" s="10"/>
      <c r="F289" s="10"/>
      <c r="H289" s="29">
        <f>IF('TAM Projet 1'!AJ280&gt;0,IF(_TauxActuariel1,(('TAM Projet 1'!AJ280+1)^(1/_NbechAn1))-1,'TAM Projet 1'!AJ280/_NbechAn1),H288)</f>
        <v>8.3333333333333339E-4</v>
      </c>
      <c r="I289" s="28">
        <f>IF('TAM Projet 1'!AM280&gt;0,'TAM Projet 1'!AM280,IF('TAM Projet 1'!AL280&gt;0,IF(AND(_EchFIXE1,H289&gt;0),ROUND(('TAM Projet 1'!AT280-'TAM Projet 1'!AK280)*H289/(1-((1+H289)^-'TAM Projet 1'!AL280)),_NbDeci1),ROUND('TAM Projet 1'!AT280/'TAM Projet 1'!AL280,_NbDeci1)),I288))</f>
        <v>187406.04</v>
      </c>
      <c r="J289" s="10"/>
      <c r="K289" s="10"/>
      <c r="L289" s="10"/>
      <c r="M289" s="10"/>
      <c r="O289" s="186">
        <v>287</v>
      </c>
    </row>
    <row r="290" spans="1:15" x14ac:dyDescent="0.2">
      <c r="A290" s="29">
        <f>IF('TAM Projet 1'!T281&gt;0,IF(_TauxActuariel,(('TAM Projet 1'!T281+1)^(1/_NbEchAn))-1,'TAM Projet 1'!T281/_NbEchAn),A289)</f>
        <v>1.5499999999999999E-3</v>
      </c>
      <c r="B290" s="28">
        <f>IF('TAM Projet 1'!W281&gt;0,'TAM Projet 1'!W281,IF('TAM Projet 1'!V281&gt;0,IF(AND(_EchFIXE,A290&gt;0),ROUND(('TAM Projet 1'!AD281-'TAM Projet 1'!U281)*A290/(1-((1+A290)^-'TAM Projet 1'!V281)),_NbDeci),ROUND('TAM Projet 1'!AD281/'TAM Projet 1'!V281,_NbDeci)),B289))</f>
        <v>768.98</v>
      </c>
      <c r="C290" s="10"/>
      <c r="D290" s="10"/>
      <c r="E290" s="10"/>
      <c r="F290" s="10"/>
      <c r="H290" s="29">
        <f>IF('TAM Projet 1'!AJ281&gt;0,IF(_TauxActuariel1,(('TAM Projet 1'!AJ281+1)^(1/_NbechAn1))-1,'TAM Projet 1'!AJ281/_NbechAn1),H289)</f>
        <v>8.3333333333333339E-4</v>
      </c>
      <c r="I290" s="28">
        <f>IF('TAM Projet 1'!AM281&gt;0,'TAM Projet 1'!AM281,IF('TAM Projet 1'!AL281&gt;0,IF(AND(_EchFIXE1,H290&gt;0),ROUND(('TAM Projet 1'!AT281-'TAM Projet 1'!AK281)*H290/(1-((1+H290)^-'TAM Projet 1'!AL281)),_NbDeci1),ROUND('TAM Projet 1'!AT281/'TAM Projet 1'!AL281,_NbDeci1)),I289))</f>
        <v>187406.04</v>
      </c>
      <c r="J290" s="10"/>
      <c r="K290" s="10"/>
      <c r="L290" s="10"/>
      <c r="M290" s="10"/>
      <c r="O290" s="186">
        <v>288</v>
      </c>
    </row>
    <row r="291" spans="1:15" x14ac:dyDescent="0.2">
      <c r="A291" s="29">
        <f>IF('TAM Projet 1'!T282&gt;0,IF(_TauxActuariel,(('TAM Projet 1'!T282+1)^(1/_NbEchAn))-1,'TAM Projet 1'!T282/_NbEchAn),A290)</f>
        <v>1.5499999999999999E-3</v>
      </c>
      <c r="B291" s="28">
        <f>IF('TAM Projet 1'!W282&gt;0,'TAM Projet 1'!W282,IF('TAM Projet 1'!V282&gt;0,IF(AND(_EchFIXE,A291&gt;0),ROUND(('TAM Projet 1'!AD282-'TAM Projet 1'!U282)*A291/(1-((1+A291)^-'TAM Projet 1'!V282)),_NbDeci),ROUND('TAM Projet 1'!AD282/'TAM Projet 1'!V282,_NbDeci)),B290))</f>
        <v>768.98</v>
      </c>
      <c r="C291" s="10"/>
      <c r="D291" s="10"/>
      <c r="E291" s="10"/>
      <c r="F291" s="10"/>
      <c r="H291" s="29">
        <f>IF('TAM Projet 1'!AJ282&gt;0,IF(_TauxActuariel1,(('TAM Projet 1'!AJ282+1)^(1/_NbechAn1))-1,'TAM Projet 1'!AJ282/_NbechAn1),H290)</f>
        <v>8.3333333333333339E-4</v>
      </c>
      <c r="I291" s="28">
        <f>IF('TAM Projet 1'!AM282&gt;0,'TAM Projet 1'!AM282,IF('TAM Projet 1'!AL282&gt;0,IF(AND(_EchFIXE1,H291&gt;0),ROUND(('TAM Projet 1'!AT282-'TAM Projet 1'!AK282)*H291/(1-((1+H291)^-'TAM Projet 1'!AL282)),_NbDeci1),ROUND('TAM Projet 1'!AT282/'TAM Projet 1'!AL282,_NbDeci1)),I290))</f>
        <v>187406.04</v>
      </c>
      <c r="J291" s="10"/>
      <c r="K291" s="10"/>
      <c r="L291" s="10"/>
      <c r="M291" s="10"/>
      <c r="O291" s="186">
        <v>289</v>
      </c>
    </row>
    <row r="292" spans="1:15" x14ac:dyDescent="0.2">
      <c r="A292" s="29">
        <f>IF('TAM Projet 1'!T283&gt;0,IF(_TauxActuariel,(('TAM Projet 1'!T283+1)^(1/_NbEchAn))-1,'TAM Projet 1'!T283/_NbEchAn),A291)</f>
        <v>1.5499999999999999E-3</v>
      </c>
      <c r="B292" s="28">
        <f>IF('TAM Projet 1'!W283&gt;0,'TAM Projet 1'!W283,IF('TAM Projet 1'!V283&gt;0,IF(AND(_EchFIXE,A292&gt;0),ROUND(('TAM Projet 1'!AD283-'TAM Projet 1'!U283)*A292/(1-((1+A292)^-'TAM Projet 1'!V283)),_NbDeci),ROUND('TAM Projet 1'!AD283/'TAM Projet 1'!V283,_NbDeci)),B291))</f>
        <v>768.98</v>
      </c>
      <c r="C292" s="10"/>
      <c r="D292" s="10"/>
      <c r="E292" s="10"/>
      <c r="F292" s="10"/>
      <c r="H292" s="29">
        <f>IF('TAM Projet 1'!AJ283&gt;0,IF(_TauxActuariel1,(('TAM Projet 1'!AJ283+1)^(1/_NbechAn1))-1,'TAM Projet 1'!AJ283/_NbechAn1),H291)</f>
        <v>8.3333333333333339E-4</v>
      </c>
      <c r="I292" s="28">
        <f>IF('TAM Projet 1'!AM283&gt;0,'TAM Projet 1'!AM283,IF('TAM Projet 1'!AL283&gt;0,IF(AND(_EchFIXE1,H292&gt;0),ROUND(('TAM Projet 1'!AT283-'TAM Projet 1'!AK283)*H292/(1-((1+H292)^-'TAM Projet 1'!AL283)),_NbDeci1),ROUND('TAM Projet 1'!AT283/'TAM Projet 1'!AL283,_NbDeci1)),I291))</f>
        <v>187406.04</v>
      </c>
      <c r="J292" s="10"/>
      <c r="K292" s="10"/>
      <c r="L292" s="10"/>
      <c r="M292" s="10"/>
      <c r="O292" s="186">
        <v>290</v>
      </c>
    </row>
    <row r="293" spans="1:15" x14ac:dyDescent="0.2">
      <c r="A293" s="29">
        <f>IF('TAM Projet 1'!T284&gt;0,IF(_TauxActuariel,(('TAM Projet 1'!T284+1)^(1/_NbEchAn))-1,'TAM Projet 1'!T284/_NbEchAn),A292)</f>
        <v>1.5499999999999999E-3</v>
      </c>
      <c r="B293" s="28">
        <f>IF('TAM Projet 1'!W284&gt;0,'TAM Projet 1'!W284,IF('TAM Projet 1'!V284&gt;0,IF(AND(_EchFIXE,A293&gt;0),ROUND(('TAM Projet 1'!AD284-'TAM Projet 1'!U284)*A293/(1-((1+A293)^-'TAM Projet 1'!V284)),_NbDeci),ROUND('TAM Projet 1'!AD284/'TAM Projet 1'!V284,_NbDeci)),B292))</f>
        <v>768.98</v>
      </c>
      <c r="C293" s="10"/>
      <c r="D293" s="10"/>
      <c r="E293" s="10"/>
      <c r="F293" s="10"/>
      <c r="H293" s="29">
        <f>IF('TAM Projet 1'!AJ284&gt;0,IF(_TauxActuariel1,(('TAM Projet 1'!AJ284+1)^(1/_NbechAn1))-1,'TAM Projet 1'!AJ284/_NbechAn1),H292)</f>
        <v>8.3333333333333339E-4</v>
      </c>
      <c r="I293" s="28">
        <f>IF('TAM Projet 1'!AM284&gt;0,'TAM Projet 1'!AM284,IF('TAM Projet 1'!AL284&gt;0,IF(AND(_EchFIXE1,H293&gt;0),ROUND(('TAM Projet 1'!AT284-'TAM Projet 1'!AK284)*H293/(1-((1+H293)^-'TAM Projet 1'!AL284)),_NbDeci1),ROUND('TAM Projet 1'!AT284/'TAM Projet 1'!AL284,_NbDeci1)),I292))</f>
        <v>187406.04</v>
      </c>
      <c r="J293" s="10"/>
      <c r="K293" s="10"/>
      <c r="L293" s="10"/>
      <c r="M293" s="10"/>
      <c r="O293" s="186">
        <v>291</v>
      </c>
    </row>
    <row r="294" spans="1:15" x14ac:dyDescent="0.2">
      <c r="A294" s="29">
        <f>IF('TAM Projet 1'!T285&gt;0,IF(_TauxActuariel,(('TAM Projet 1'!T285+1)^(1/_NbEchAn))-1,'TAM Projet 1'!T285/_NbEchAn),A293)</f>
        <v>1.5499999999999999E-3</v>
      </c>
      <c r="B294" s="28">
        <f>IF('TAM Projet 1'!W285&gt;0,'TAM Projet 1'!W285,IF('TAM Projet 1'!V285&gt;0,IF(AND(_EchFIXE,A294&gt;0),ROUND(('TAM Projet 1'!AD285-'TAM Projet 1'!U285)*A294/(1-((1+A294)^-'TAM Projet 1'!V285)),_NbDeci),ROUND('TAM Projet 1'!AD285/'TAM Projet 1'!V285,_NbDeci)),B293))</f>
        <v>768.98</v>
      </c>
      <c r="C294" s="10"/>
      <c r="D294" s="10"/>
      <c r="E294" s="10"/>
      <c r="F294" s="10"/>
      <c r="H294" s="29">
        <f>IF('TAM Projet 1'!AJ285&gt;0,IF(_TauxActuariel1,(('TAM Projet 1'!AJ285+1)^(1/_NbechAn1))-1,'TAM Projet 1'!AJ285/_NbechAn1),H293)</f>
        <v>8.3333333333333339E-4</v>
      </c>
      <c r="I294" s="28">
        <f>IF('TAM Projet 1'!AM285&gt;0,'TAM Projet 1'!AM285,IF('TAM Projet 1'!AL285&gt;0,IF(AND(_EchFIXE1,H294&gt;0),ROUND(('TAM Projet 1'!AT285-'TAM Projet 1'!AK285)*H294/(1-((1+H294)^-'TAM Projet 1'!AL285)),_NbDeci1),ROUND('TAM Projet 1'!AT285/'TAM Projet 1'!AL285,_NbDeci1)),I293))</f>
        <v>187406.04</v>
      </c>
      <c r="J294" s="10"/>
      <c r="K294" s="10"/>
      <c r="L294" s="10"/>
      <c r="M294" s="10"/>
      <c r="O294" s="186">
        <v>292</v>
      </c>
    </row>
    <row r="295" spans="1:15" x14ac:dyDescent="0.2">
      <c r="A295" s="29">
        <f>IF('TAM Projet 1'!T286&gt;0,IF(_TauxActuariel,(('TAM Projet 1'!T286+1)^(1/_NbEchAn))-1,'TAM Projet 1'!T286/_NbEchAn),A294)</f>
        <v>1.5499999999999999E-3</v>
      </c>
      <c r="B295" s="28">
        <f>IF('TAM Projet 1'!W286&gt;0,'TAM Projet 1'!W286,IF('TAM Projet 1'!V286&gt;0,IF(AND(_EchFIXE,A295&gt;0),ROUND(('TAM Projet 1'!AD286-'TAM Projet 1'!U286)*A295/(1-((1+A295)^-'TAM Projet 1'!V286)),_NbDeci),ROUND('TAM Projet 1'!AD286/'TAM Projet 1'!V286,_NbDeci)),B294))</f>
        <v>768.98</v>
      </c>
      <c r="C295" s="10"/>
      <c r="D295" s="10"/>
      <c r="E295" s="10"/>
      <c r="F295" s="10"/>
      <c r="H295" s="29">
        <f>IF('TAM Projet 1'!AJ286&gt;0,IF(_TauxActuariel1,(('TAM Projet 1'!AJ286+1)^(1/_NbechAn1))-1,'TAM Projet 1'!AJ286/_NbechAn1),H294)</f>
        <v>8.3333333333333339E-4</v>
      </c>
      <c r="I295" s="28">
        <f>IF('TAM Projet 1'!AM286&gt;0,'TAM Projet 1'!AM286,IF('TAM Projet 1'!AL286&gt;0,IF(AND(_EchFIXE1,H295&gt;0),ROUND(('TAM Projet 1'!AT286-'TAM Projet 1'!AK286)*H295/(1-((1+H295)^-'TAM Projet 1'!AL286)),_NbDeci1),ROUND('TAM Projet 1'!AT286/'TAM Projet 1'!AL286,_NbDeci1)),I294))</f>
        <v>187406.04</v>
      </c>
      <c r="J295" s="10"/>
      <c r="K295" s="10"/>
      <c r="L295" s="10"/>
      <c r="M295" s="10"/>
      <c r="O295" s="186">
        <v>293</v>
      </c>
    </row>
    <row r="296" spans="1:15" x14ac:dyDescent="0.2">
      <c r="A296" s="29">
        <f>IF('TAM Projet 1'!T287&gt;0,IF(_TauxActuariel,(('TAM Projet 1'!T287+1)^(1/_NbEchAn))-1,'TAM Projet 1'!T287/_NbEchAn),A295)</f>
        <v>1.5499999999999999E-3</v>
      </c>
      <c r="B296" s="28">
        <f>IF('TAM Projet 1'!W287&gt;0,'TAM Projet 1'!W287,IF('TAM Projet 1'!V287&gt;0,IF(AND(_EchFIXE,A296&gt;0),ROUND(('TAM Projet 1'!AD287-'TAM Projet 1'!U287)*A296/(1-((1+A296)^-'TAM Projet 1'!V287)),_NbDeci),ROUND('TAM Projet 1'!AD287/'TAM Projet 1'!V287,_NbDeci)),B295))</f>
        <v>768.98</v>
      </c>
      <c r="C296" s="10"/>
      <c r="D296" s="10"/>
      <c r="E296" s="10"/>
      <c r="F296" s="10"/>
      <c r="H296" s="29">
        <f>IF('TAM Projet 1'!AJ287&gt;0,IF(_TauxActuariel1,(('TAM Projet 1'!AJ287+1)^(1/_NbechAn1))-1,'TAM Projet 1'!AJ287/_NbechAn1),H295)</f>
        <v>8.3333333333333339E-4</v>
      </c>
      <c r="I296" s="28">
        <f>IF('TAM Projet 1'!AM287&gt;0,'TAM Projet 1'!AM287,IF('TAM Projet 1'!AL287&gt;0,IF(AND(_EchFIXE1,H296&gt;0),ROUND(('TAM Projet 1'!AT287-'TAM Projet 1'!AK287)*H296/(1-((1+H296)^-'TAM Projet 1'!AL287)),_NbDeci1),ROUND('TAM Projet 1'!AT287/'TAM Projet 1'!AL287,_NbDeci1)),I295))</f>
        <v>187406.04</v>
      </c>
      <c r="J296" s="10"/>
      <c r="K296" s="10"/>
      <c r="L296" s="10"/>
      <c r="M296" s="10"/>
      <c r="O296" s="186">
        <v>294</v>
      </c>
    </row>
    <row r="297" spans="1:15" x14ac:dyDescent="0.2">
      <c r="A297" s="29">
        <f>IF('TAM Projet 1'!T288&gt;0,IF(_TauxActuariel,(('TAM Projet 1'!T288+1)^(1/_NbEchAn))-1,'TAM Projet 1'!T288/_NbEchAn),A296)</f>
        <v>1.5499999999999999E-3</v>
      </c>
      <c r="B297" s="28">
        <f>IF('TAM Projet 1'!W288&gt;0,'TAM Projet 1'!W288,IF('TAM Projet 1'!V288&gt;0,IF(AND(_EchFIXE,A297&gt;0),ROUND(('TAM Projet 1'!AD288-'TAM Projet 1'!U288)*A297/(1-((1+A297)^-'TAM Projet 1'!V288)),_NbDeci),ROUND('TAM Projet 1'!AD288/'TAM Projet 1'!V288,_NbDeci)),B296))</f>
        <v>768.98</v>
      </c>
      <c r="C297" s="10"/>
      <c r="D297" s="10"/>
      <c r="E297" s="10"/>
      <c r="F297" s="10"/>
      <c r="H297" s="29">
        <f>IF('TAM Projet 1'!AJ288&gt;0,IF(_TauxActuariel1,(('TAM Projet 1'!AJ288+1)^(1/_NbechAn1))-1,'TAM Projet 1'!AJ288/_NbechAn1),H296)</f>
        <v>8.3333333333333339E-4</v>
      </c>
      <c r="I297" s="28">
        <f>IF('TAM Projet 1'!AM288&gt;0,'TAM Projet 1'!AM288,IF('TAM Projet 1'!AL288&gt;0,IF(AND(_EchFIXE1,H297&gt;0),ROUND(('TAM Projet 1'!AT288-'TAM Projet 1'!AK288)*H297/(1-((1+H297)^-'TAM Projet 1'!AL288)),_NbDeci1),ROUND('TAM Projet 1'!AT288/'TAM Projet 1'!AL288,_NbDeci1)),I296))</f>
        <v>187406.04</v>
      </c>
      <c r="J297" s="10"/>
      <c r="K297" s="10"/>
      <c r="L297" s="10"/>
      <c r="M297" s="10"/>
      <c r="O297" s="186">
        <v>295</v>
      </c>
    </row>
    <row r="298" spans="1:15" x14ac:dyDescent="0.2">
      <c r="A298" s="29">
        <f>IF('TAM Projet 1'!T289&gt;0,IF(_TauxActuariel,(('TAM Projet 1'!T289+1)^(1/_NbEchAn))-1,'TAM Projet 1'!T289/_NbEchAn),A297)</f>
        <v>1.5499999999999999E-3</v>
      </c>
      <c r="B298" s="28">
        <f>IF('TAM Projet 1'!W289&gt;0,'TAM Projet 1'!W289,IF('TAM Projet 1'!V289&gt;0,IF(AND(_EchFIXE,A298&gt;0),ROUND(('TAM Projet 1'!AD289-'TAM Projet 1'!U289)*A298/(1-((1+A298)^-'TAM Projet 1'!V289)),_NbDeci),ROUND('TAM Projet 1'!AD289/'TAM Projet 1'!V289,_NbDeci)),B297))</f>
        <v>768.98</v>
      </c>
      <c r="C298" s="10"/>
      <c r="D298" s="10"/>
      <c r="E298" s="10"/>
      <c r="F298" s="10"/>
      <c r="H298" s="29">
        <f>IF('TAM Projet 1'!AJ289&gt;0,IF(_TauxActuariel1,(('TAM Projet 1'!AJ289+1)^(1/_NbechAn1))-1,'TAM Projet 1'!AJ289/_NbechAn1),H297)</f>
        <v>8.3333333333333339E-4</v>
      </c>
      <c r="I298" s="28">
        <f>IF('TAM Projet 1'!AM289&gt;0,'TAM Projet 1'!AM289,IF('TAM Projet 1'!AL289&gt;0,IF(AND(_EchFIXE1,H298&gt;0),ROUND(('TAM Projet 1'!AT289-'TAM Projet 1'!AK289)*H298/(1-((1+H298)^-'TAM Projet 1'!AL289)),_NbDeci1),ROUND('TAM Projet 1'!AT289/'TAM Projet 1'!AL289,_NbDeci1)),I297))</f>
        <v>187406.04</v>
      </c>
      <c r="J298" s="10"/>
      <c r="K298" s="10"/>
      <c r="L298" s="10"/>
      <c r="M298" s="10"/>
      <c r="O298" s="186">
        <v>296</v>
      </c>
    </row>
    <row r="299" spans="1:15" x14ac:dyDescent="0.2">
      <c r="A299" s="29">
        <f>IF('TAM Projet 1'!T290&gt;0,IF(_TauxActuariel,(('TAM Projet 1'!T290+1)^(1/_NbEchAn))-1,'TAM Projet 1'!T290/_NbEchAn),A298)</f>
        <v>1.5499999999999999E-3</v>
      </c>
      <c r="B299" s="28">
        <f>IF('TAM Projet 1'!W290&gt;0,'TAM Projet 1'!W290,IF('TAM Projet 1'!V290&gt;0,IF(AND(_EchFIXE,A299&gt;0),ROUND(('TAM Projet 1'!AD290-'TAM Projet 1'!U290)*A299/(1-((1+A299)^-'TAM Projet 1'!V290)),_NbDeci),ROUND('TAM Projet 1'!AD290/'TAM Projet 1'!V290,_NbDeci)),B298))</f>
        <v>768.98</v>
      </c>
      <c r="C299" s="10"/>
      <c r="D299" s="10"/>
      <c r="E299" s="10"/>
      <c r="F299" s="10"/>
      <c r="H299" s="29">
        <f>IF('TAM Projet 1'!AJ290&gt;0,IF(_TauxActuariel1,(('TAM Projet 1'!AJ290+1)^(1/_NbechAn1))-1,'TAM Projet 1'!AJ290/_NbechAn1),H298)</f>
        <v>8.3333333333333339E-4</v>
      </c>
      <c r="I299" s="28">
        <f>IF('TAM Projet 1'!AM290&gt;0,'TAM Projet 1'!AM290,IF('TAM Projet 1'!AL290&gt;0,IF(AND(_EchFIXE1,H299&gt;0),ROUND(('TAM Projet 1'!AT290-'TAM Projet 1'!AK290)*H299/(1-((1+H299)^-'TAM Projet 1'!AL290)),_NbDeci1),ROUND('TAM Projet 1'!AT290/'TAM Projet 1'!AL290,_NbDeci1)),I298))</f>
        <v>187406.04</v>
      </c>
      <c r="J299" s="10"/>
      <c r="K299" s="10"/>
      <c r="L299" s="10"/>
      <c r="M299" s="10"/>
      <c r="O299" s="186">
        <v>297</v>
      </c>
    </row>
    <row r="300" spans="1:15" x14ac:dyDescent="0.2">
      <c r="A300" s="29">
        <f>IF('TAM Projet 1'!T291&gt;0,IF(_TauxActuariel,(('TAM Projet 1'!T291+1)^(1/_NbEchAn))-1,'TAM Projet 1'!T291/_NbEchAn),A299)</f>
        <v>1.5499999999999999E-3</v>
      </c>
      <c r="B300" s="28">
        <f>IF('TAM Projet 1'!W291&gt;0,'TAM Projet 1'!W291,IF('TAM Projet 1'!V291&gt;0,IF(AND(_EchFIXE,A300&gt;0),ROUND(('TAM Projet 1'!AD291-'TAM Projet 1'!U291)*A300/(1-((1+A300)^-'TAM Projet 1'!V291)),_NbDeci),ROUND('TAM Projet 1'!AD291/'TAM Projet 1'!V291,_NbDeci)),B299))</f>
        <v>768.98</v>
      </c>
      <c r="C300" s="10"/>
      <c r="D300" s="10"/>
      <c r="E300" s="10"/>
      <c r="F300" s="10"/>
      <c r="H300" s="29">
        <f>IF('TAM Projet 1'!AJ291&gt;0,IF(_TauxActuariel1,(('TAM Projet 1'!AJ291+1)^(1/_NbechAn1))-1,'TAM Projet 1'!AJ291/_NbechAn1),H299)</f>
        <v>8.3333333333333339E-4</v>
      </c>
      <c r="I300" s="28">
        <f>IF('TAM Projet 1'!AM291&gt;0,'TAM Projet 1'!AM291,IF('TAM Projet 1'!AL291&gt;0,IF(AND(_EchFIXE1,H300&gt;0),ROUND(('TAM Projet 1'!AT291-'TAM Projet 1'!AK291)*H300/(1-((1+H300)^-'TAM Projet 1'!AL291)),_NbDeci1),ROUND('TAM Projet 1'!AT291/'TAM Projet 1'!AL291,_NbDeci1)),I299))</f>
        <v>187406.04</v>
      </c>
      <c r="J300" s="10"/>
      <c r="K300" s="10"/>
      <c r="L300" s="10"/>
      <c r="M300" s="10"/>
      <c r="O300" s="186">
        <v>298</v>
      </c>
    </row>
    <row r="301" spans="1:15" x14ac:dyDescent="0.2">
      <c r="A301" s="29">
        <f>IF('TAM Projet 1'!T292&gt;0,IF(_TauxActuariel,(('TAM Projet 1'!T292+1)^(1/_NbEchAn))-1,'TAM Projet 1'!T292/_NbEchAn),A300)</f>
        <v>1.5499999999999999E-3</v>
      </c>
      <c r="B301" s="28">
        <f>IF('TAM Projet 1'!W292&gt;0,'TAM Projet 1'!W292,IF('TAM Projet 1'!V292&gt;0,IF(AND(_EchFIXE,A301&gt;0),ROUND(('TAM Projet 1'!AD292-'TAM Projet 1'!U292)*A301/(1-((1+A301)^-'TAM Projet 1'!V292)),_NbDeci),ROUND('TAM Projet 1'!AD292/'TAM Projet 1'!V292,_NbDeci)),B300))</f>
        <v>768.98</v>
      </c>
      <c r="C301" s="10"/>
      <c r="D301" s="10"/>
      <c r="E301" s="10"/>
      <c r="F301" s="10"/>
      <c r="H301" s="29">
        <f>IF('TAM Projet 1'!AJ292&gt;0,IF(_TauxActuariel1,(('TAM Projet 1'!AJ292+1)^(1/_NbechAn1))-1,'TAM Projet 1'!AJ292/_NbechAn1),H300)</f>
        <v>8.3333333333333339E-4</v>
      </c>
      <c r="I301" s="28">
        <f>IF('TAM Projet 1'!AM292&gt;0,'TAM Projet 1'!AM292,IF('TAM Projet 1'!AL292&gt;0,IF(AND(_EchFIXE1,H301&gt;0),ROUND(('TAM Projet 1'!AT292-'TAM Projet 1'!AK292)*H301/(1-((1+H301)^-'TAM Projet 1'!AL292)),_NbDeci1),ROUND('TAM Projet 1'!AT292/'TAM Projet 1'!AL292,_NbDeci1)),I300))</f>
        <v>187406.04</v>
      </c>
      <c r="J301" s="10"/>
      <c r="K301" s="10"/>
      <c r="L301" s="10"/>
      <c r="M301" s="10"/>
      <c r="O301" s="186">
        <v>299</v>
      </c>
    </row>
    <row r="302" spans="1:15" x14ac:dyDescent="0.2">
      <c r="A302" s="29">
        <f>IF('TAM Projet 1'!T293&gt;0,IF(_TauxActuariel,(('TAM Projet 1'!T293+1)^(1/_NbEchAn))-1,'TAM Projet 1'!T293/_NbEchAn),A301)</f>
        <v>1.5499999999999999E-3</v>
      </c>
      <c r="B302" s="28">
        <f>IF('TAM Projet 1'!W293&gt;0,'TAM Projet 1'!W293,IF('TAM Projet 1'!V293&gt;0,IF(AND(_EchFIXE,A302&gt;0),ROUND(('TAM Projet 1'!AD293-'TAM Projet 1'!U293)*A302/(1-((1+A302)^-'TAM Projet 1'!V293)),_NbDeci),ROUND('TAM Projet 1'!AD293/'TAM Projet 1'!V293,_NbDeci)),B301))</f>
        <v>768.98</v>
      </c>
      <c r="C302" s="10"/>
      <c r="D302" s="10"/>
      <c r="E302" s="10"/>
      <c r="F302" s="10"/>
      <c r="H302" s="29">
        <f>IF('TAM Projet 1'!AJ293&gt;0,IF(_TauxActuariel1,(('TAM Projet 1'!AJ293+1)^(1/_NbechAn1))-1,'TAM Projet 1'!AJ293/_NbechAn1),H301)</f>
        <v>8.3333333333333339E-4</v>
      </c>
      <c r="I302" s="28">
        <f>IF('TAM Projet 1'!AM293&gt;0,'TAM Projet 1'!AM293,IF('TAM Projet 1'!AL293&gt;0,IF(AND(_EchFIXE1,H302&gt;0),ROUND(('TAM Projet 1'!AT293-'TAM Projet 1'!AK293)*H302/(1-((1+H302)^-'TAM Projet 1'!AL293)),_NbDeci1),ROUND('TAM Projet 1'!AT293/'TAM Projet 1'!AL293,_NbDeci1)),I301))</f>
        <v>187406.04</v>
      </c>
      <c r="J302" s="10"/>
      <c r="K302" s="10"/>
      <c r="L302" s="10"/>
      <c r="M302" s="10"/>
      <c r="O302" s="186">
        <v>300</v>
      </c>
    </row>
    <row r="303" spans="1:15" x14ac:dyDescent="0.2">
      <c r="A303" s="29">
        <f>IF('TAM Projet 1'!T294&gt;0,IF(_TauxActuariel,(('TAM Projet 1'!T294+1)^(1/_NbEchAn))-1,'TAM Projet 1'!T294/_NbEchAn),A302)</f>
        <v>1.5499999999999999E-3</v>
      </c>
      <c r="B303" s="28">
        <f>IF('TAM Projet 1'!W294&gt;0,'TAM Projet 1'!W294,IF('TAM Projet 1'!V294&gt;0,IF(AND(_EchFIXE,A303&gt;0),ROUND(('TAM Projet 1'!AD294-'TAM Projet 1'!U294)*A303/(1-((1+A303)^-'TAM Projet 1'!V294)),_NbDeci),ROUND('TAM Projet 1'!AD294/'TAM Projet 1'!V294,_NbDeci)),B302))</f>
        <v>768.98</v>
      </c>
      <c r="C303" s="10"/>
      <c r="D303" s="10"/>
      <c r="E303" s="10"/>
      <c r="F303" s="10"/>
      <c r="H303" s="29">
        <f>IF('TAM Projet 1'!AJ294&gt;0,IF(_TauxActuariel1,(('TAM Projet 1'!AJ294+1)^(1/_NbechAn1))-1,'TAM Projet 1'!AJ294/_NbechAn1),H302)</f>
        <v>8.3333333333333339E-4</v>
      </c>
      <c r="I303" s="28">
        <f>IF('TAM Projet 1'!AM294&gt;0,'TAM Projet 1'!AM294,IF('TAM Projet 1'!AL294&gt;0,IF(AND(_EchFIXE1,H303&gt;0),ROUND(('TAM Projet 1'!AT294-'TAM Projet 1'!AK294)*H303/(1-((1+H303)^-'TAM Projet 1'!AL294)),_NbDeci1),ROUND('TAM Projet 1'!AT294/'TAM Projet 1'!AL294,_NbDeci1)),I302))</f>
        <v>187406.04</v>
      </c>
      <c r="J303" s="10"/>
      <c r="K303" s="10"/>
      <c r="L303" s="10"/>
      <c r="M303" s="10"/>
      <c r="O303" s="186">
        <v>301</v>
      </c>
    </row>
    <row r="304" spans="1:15" x14ac:dyDescent="0.2">
      <c r="A304" s="29">
        <f>IF('TAM Projet 1'!T295&gt;0,IF(_TauxActuariel,(('TAM Projet 1'!T295+1)^(1/_NbEchAn))-1,'TAM Projet 1'!T295/_NbEchAn),A303)</f>
        <v>1.5499999999999999E-3</v>
      </c>
      <c r="B304" s="28">
        <f>IF('TAM Projet 1'!W295&gt;0,'TAM Projet 1'!W295,IF('TAM Projet 1'!V295&gt;0,IF(AND(_EchFIXE,A304&gt;0),ROUND(('TAM Projet 1'!AD295-'TAM Projet 1'!U295)*A304/(1-((1+A304)^-'TAM Projet 1'!V295)),_NbDeci),ROUND('TAM Projet 1'!AD295/'TAM Projet 1'!V295,_NbDeci)),B303))</f>
        <v>768.98</v>
      </c>
      <c r="C304" s="10"/>
      <c r="D304" s="10"/>
      <c r="E304" s="10"/>
      <c r="F304" s="10"/>
      <c r="H304" s="29">
        <f>IF('TAM Projet 1'!AJ295&gt;0,IF(_TauxActuariel1,(('TAM Projet 1'!AJ295+1)^(1/_NbechAn1))-1,'TAM Projet 1'!AJ295/_NbechAn1),H303)</f>
        <v>8.3333333333333339E-4</v>
      </c>
      <c r="I304" s="28">
        <f>IF('TAM Projet 1'!AM295&gt;0,'TAM Projet 1'!AM295,IF('TAM Projet 1'!AL295&gt;0,IF(AND(_EchFIXE1,H304&gt;0),ROUND(('TAM Projet 1'!AT295-'TAM Projet 1'!AK295)*H304/(1-((1+H304)^-'TAM Projet 1'!AL295)),_NbDeci1),ROUND('TAM Projet 1'!AT295/'TAM Projet 1'!AL295,_NbDeci1)),I303))</f>
        <v>187406.04</v>
      </c>
      <c r="J304" s="10"/>
      <c r="K304" s="10"/>
      <c r="L304" s="10"/>
      <c r="M304" s="10"/>
      <c r="O304" s="186">
        <v>302</v>
      </c>
    </row>
    <row r="305" spans="1:15" x14ac:dyDescent="0.2">
      <c r="A305" s="29">
        <f>IF('TAM Projet 1'!T296&gt;0,IF(_TauxActuariel,(('TAM Projet 1'!T296+1)^(1/_NbEchAn))-1,'TAM Projet 1'!T296/_NbEchAn),A304)</f>
        <v>1.5499999999999999E-3</v>
      </c>
      <c r="B305" s="28">
        <f>IF('TAM Projet 1'!W296&gt;0,'TAM Projet 1'!W296,IF('TAM Projet 1'!V296&gt;0,IF(AND(_EchFIXE,A305&gt;0),ROUND(('TAM Projet 1'!AD296-'TAM Projet 1'!U296)*A305/(1-((1+A305)^-'TAM Projet 1'!V296)),_NbDeci),ROUND('TAM Projet 1'!AD296/'TAM Projet 1'!V296,_NbDeci)),B304))</f>
        <v>768.98</v>
      </c>
      <c r="C305" s="10"/>
      <c r="D305" s="10"/>
      <c r="E305" s="10"/>
      <c r="F305" s="10"/>
      <c r="H305" s="29">
        <f>IF('TAM Projet 1'!AJ296&gt;0,IF(_TauxActuariel1,(('TAM Projet 1'!AJ296+1)^(1/_NbechAn1))-1,'TAM Projet 1'!AJ296/_NbechAn1),H304)</f>
        <v>8.3333333333333339E-4</v>
      </c>
      <c r="I305" s="28">
        <f>IF('TAM Projet 1'!AM296&gt;0,'TAM Projet 1'!AM296,IF('TAM Projet 1'!AL296&gt;0,IF(AND(_EchFIXE1,H305&gt;0),ROUND(('TAM Projet 1'!AT296-'TAM Projet 1'!AK296)*H305/(1-((1+H305)^-'TAM Projet 1'!AL296)),_NbDeci1),ROUND('TAM Projet 1'!AT296/'TAM Projet 1'!AL296,_NbDeci1)),I304))</f>
        <v>187406.04</v>
      </c>
      <c r="J305" s="10"/>
      <c r="K305" s="10"/>
      <c r="L305" s="10"/>
      <c r="M305" s="10"/>
      <c r="O305" s="186">
        <v>303</v>
      </c>
    </row>
    <row r="306" spans="1:15" x14ac:dyDescent="0.2">
      <c r="A306" s="29">
        <f>IF('TAM Projet 1'!T297&gt;0,IF(_TauxActuariel,(('TAM Projet 1'!T297+1)^(1/_NbEchAn))-1,'TAM Projet 1'!T297/_NbEchAn),A305)</f>
        <v>1.5499999999999999E-3</v>
      </c>
      <c r="B306" s="28">
        <f>IF('TAM Projet 1'!W297&gt;0,'TAM Projet 1'!W297,IF('TAM Projet 1'!V297&gt;0,IF(AND(_EchFIXE,A306&gt;0),ROUND(('TAM Projet 1'!AD297-'TAM Projet 1'!U297)*A306/(1-((1+A306)^-'TAM Projet 1'!V297)),_NbDeci),ROUND('TAM Projet 1'!AD297/'TAM Projet 1'!V297,_NbDeci)),B305))</f>
        <v>768.98</v>
      </c>
      <c r="C306" s="10"/>
      <c r="D306" s="10"/>
      <c r="E306" s="10"/>
      <c r="F306" s="10"/>
      <c r="H306" s="29">
        <f>IF('TAM Projet 1'!AJ297&gt;0,IF(_TauxActuariel1,(('TAM Projet 1'!AJ297+1)^(1/_NbechAn1))-1,'TAM Projet 1'!AJ297/_NbechAn1),H305)</f>
        <v>8.3333333333333339E-4</v>
      </c>
      <c r="I306" s="28">
        <f>IF('TAM Projet 1'!AM297&gt;0,'TAM Projet 1'!AM297,IF('TAM Projet 1'!AL297&gt;0,IF(AND(_EchFIXE1,H306&gt;0),ROUND(('TAM Projet 1'!AT297-'TAM Projet 1'!AK297)*H306/(1-((1+H306)^-'TAM Projet 1'!AL297)),_NbDeci1),ROUND('TAM Projet 1'!AT297/'TAM Projet 1'!AL297,_NbDeci1)),I305))</f>
        <v>187406.04</v>
      </c>
      <c r="J306" s="10"/>
      <c r="K306" s="10"/>
      <c r="L306" s="10"/>
      <c r="M306" s="10"/>
      <c r="O306" s="186">
        <v>304</v>
      </c>
    </row>
    <row r="307" spans="1:15" x14ac:dyDescent="0.2">
      <c r="A307" s="29">
        <f>IF('TAM Projet 1'!T298&gt;0,IF(_TauxActuariel,(('TAM Projet 1'!T298+1)^(1/_NbEchAn))-1,'TAM Projet 1'!T298/_NbEchAn),A306)</f>
        <v>1.5499999999999999E-3</v>
      </c>
      <c r="B307" s="28">
        <f>IF('TAM Projet 1'!W298&gt;0,'TAM Projet 1'!W298,IF('TAM Projet 1'!V298&gt;0,IF(AND(_EchFIXE,A307&gt;0),ROUND(('TAM Projet 1'!AD298-'TAM Projet 1'!U298)*A307/(1-((1+A307)^-'TAM Projet 1'!V298)),_NbDeci),ROUND('TAM Projet 1'!AD298/'TAM Projet 1'!V298,_NbDeci)),B306))</f>
        <v>768.98</v>
      </c>
      <c r="C307" s="10"/>
      <c r="D307" s="10"/>
      <c r="E307" s="10"/>
      <c r="F307" s="10"/>
      <c r="H307" s="29">
        <f>IF('TAM Projet 1'!AJ298&gt;0,IF(_TauxActuariel1,(('TAM Projet 1'!AJ298+1)^(1/_NbechAn1))-1,'TAM Projet 1'!AJ298/_NbechAn1),H306)</f>
        <v>8.3333333333333339E-4</v>
      </c>
      <c r="I307" s="28">
        <f>IF('TAM Projet 1'!AM298&gt;0,'TAM Projet 1'!AM298,IF('TAM Projet 1'!AL298&gt;0,IF(AND(_EchFIXE1,H307&gt;0),ROUND(('TAM Projet 1'!AT298-'TAM Projet 1'!AK298)*H307/(1-((1+H307)^-'TAM Projet 1'!AL298)),_NbDeci1),ROUND('TAM Projet 1'!AT298/'TAM Projet 1'!AL298,_NbDeci1)),I306))</f>
        <v>187406.04</v>
      </c>
      <c r="J307" s="10"/>
      <c r="K307" s="10"/>
      <c r="L307" s="10"/>
      <c r="M307" s="10"/>
      <c r="O307" s="186">
        <v>305</v>
      </c>
    </row>
    <row r="308" spans="1:15" x14ac:dyDescent="0.2">
      <c r="A308" s="29">
        <f>IF('TAM Projet 1'!T299&gt;0,IF(_TauxActuariel,(('TAM Projet 1'!T299+1)^(1/_NbEchAn))-1,'TAM Projet 1'!T299/_NbEchAn),A307)</f>
        <v>1.5499999999999999E-3</v>
      </c>
      <c r="B308" s="28">
        <f>IF('TAM Projet 1'!W299&gt;0,'TAM Projet 1'!W299,IF('TAM Projet 1'!V299&gt;0,IF(AND(_EchFIXE,A308&gt;0),ROUND(('TAM Projet 1'!AD299-'TAM Projet 1'!U299)*A308/(1-((1+A308)^-'TAM Projet 1'!V299)),_NbDeci),ROUND('TAM Projet 1'!AD299/'TAM Projet 1'!V299,_NbDeci)),B307))</f>
        <v>768.98</v>
      </c>
      <c r="C308" s="10"/>
      <c r="D308" s="10"/>
      <c r="E308" s="10"/>
      <c r="F308" s="10"/>
      <c r="H308" s="29">
        <f>IF('TAM Projet 1'!AJ299&gt;0,IF(_TauxActuariel1,(('TAM Projet 1'!AJ299+1)^(1/_NbechAn1))-1,'TAM Projet 1'!AJ299/_NbechAn1),H307)</f>
        <v>8.3333333333333339E-4</v>
      </c>
      <c r="I308" s="28">
        <f>IF('TAM Projet 1'!AM299&gt;0,'TAM Projet 1'!AM299,IF('TAM Projet 1'!AL299&gt;0,IF(AND(_EchFIXE1,H308&gt;0),ROUND(('TAM Projet 1'!AT299-'TAM Projet 1'!AK299)*H308/(1-((1+H308)^-'TAM Projet 1'!AL299)),_NbDeci1),ROUND('TAM Projet 1'!AT299/'TAM Projet 1'!AL299,_NbDeci1)),I307))</f>
        <v>187406.04</v>
      </c>
      <c r="J308" s="10"/>
      <c r="K308" s="10"/>
      <c r="L308" s="10"/>
      <c r="M308" s="10"/>
      <c r="O308" s="186">
        <v>306</v>
      </c>
    </row>
    <row r="309" spans="1:15" x14ac:dyDescent="0.2">
      <c r="A309" s="29">
        <f>IF('TAM Projet 1'!T300&gt;0,IF(_TauxActuariel,(('TAM Projet 1'!T300+1)^(1/_NbEchAn))-1,'TAM Projet 1'!T300/_NbEchAn),A308)</f>
        <v>1.5499999999999999E-3</v>
      </c>
      <c r="B309" s="28">
        <f>IF('TAM Projet 1'!W300&gt;0,'TAM Projet 1'!W300,IF('TAM Projet 1'!V300&gt;0,IF(AND(_EchFIXE,A309&gt;0),ROUND(('TAM Projet 1'!AD300-'TAM Projet 1'!U300)*A309/(1-((1+A309)^-'TAM Projet 1'!V300)),_NbDeci),ROUND('TAM Projet 1'!AD300/'TAM Projet 1'!V300,_NbDeci)),B308))</f>
        <v>768.98</v>
      </c>
      <c r="C309" s="10"/>
      <c r="D309" s="10"/>
      <c r="E309" s="10"/>
      <c r="F309" s="10"/>
      <c r="H309" s="29">
        <f>IF('TAM Projet 1'!AJ300&gt;0,IF(_TauxActuariel1,(('TAM Projet 1'!AJ300+1)^(1/_NbechAn1))-1,'TAM Projet 1'!AJ300/_NbechAn1),H308)</f>
        <v>8.3333333333333339E-4</v>
      </c>
      <c r="I309" s="28">
        <f>IF('TAM Projet 1'!AM300&gt;0,'TAM Projet 1'!AM300,IF('TAM Projet 1'!AL300&gt;0,IF(AND(_EchFIXE1,H309&gt;0),ROUND(('TAM Projet 1'!AT300-'TAM Projet 1'!AK300)*H309/(1-((1+H309)^-'TAM Projet 1'!AL300)),_NbDeci1),ROUND('TAM Projet 1'!AT300/'TAM Projet 1'!AL300,_NbDeci1)),I308))</f>
        <v>187406.04</v>
      </c>
      <c r="J309" s="10"/>
      <c r="K309" s="10"/>
      <c r="L309" s="10"/>
      <c r="M309" s="10"/>
      <c r="O309" s="186">
        <v>307</v>
      </c>
    </row>
    <row r="310" spans="1:15" x14ac:dyDescent="0.2">
      <c r="A310" s="29">
        <f>IF('TAM Projet 1'!T301&gt;0,IF(_TauxActuariel,(('TAM Projet 1'!T301+1)^(1/_NbEchAn))-1,'TAM Projet 1'!T301/_NbEchAn),A309)</f>
        <v>1.5499999999999999E-3</v>
      </c>
      <c r="B310" s="28">
        <f>IF('TAM Projet 1'!W301&gt;0,'TAM Projet 1'!W301,IF('TAM Projet 1'!V301&gt;0,IF(AND(_EchFIXE,A310&gt;0),ROUND(('TAM Projet 1'!AD301-'TAM Projet 1'!U301)*A310/(1-((1+A310)^-'TAM Projet 1'!V301)),_NbDeci),ROUND('TAM Projet 1'!AD301/'TAM Projet 1'!V301,_NbDeci)),B309))</f>
        <v>768.98</v>
      </c>
      <c r="C310" s="10"/>
      <c r="D310" s="10"/>
      <c r="E310" s="10"/>
      <c r="F310" s="10"/>
      <c r="H310" s="29">
        <f>IF('TAM Projet 1'!AJ301&gt;0,IF(_TauxActuariel1,(('TAM Projet 1'!AJ301+1)^(1/_NbechAn1))-1,'TAM Projet 1'!AJ301/_NbechAn1),H309)</f>
        <v>8.3333333333333339E-4</v>
      </c>
      <c r="I310" s="28">
        <f>IF('TAM Projet 1'!AM301&gt;0,'TAM Projet 1'!AM301,IF('TAM Projet 1'!AL301&gt;0,IF(AND(_EchFIXE1,H310&gt;0),ROUND(('TAM Projet 1'!AT301-'TAM Projet 1'!AK301)*H310/(1-((1+H310)^-'TAM Projet 1'!AL301)),_NbDeci1),ROUND('TAM Projet 1'!AT301/'TAM Projet 1'!AL301,_NbDeci1)),I309))</f>
        <v>187406.04</v>
      </c>
      <c r="J310" s="10"/>
      <c r="K310" s="10"/>
      <c r="L310" s="10"/>
      <c r="M310" s="10"/>
      <c r="O310" s="186">
        <v>308</v>
      </c>
    </row>
    <row r="311" spans="1:15" x14ac:dyDescent="0.2">
      <c r="A311" s="29">
        <f>IF('TAM Projet 1'!T302&gt;0,IF(_TauxActuariel,(('TAM Projet 1'!T302+1)^(1/_NbEchAn))-1,'TAM Projet 1'!T302/_NbEchAn),A310)</f>
        <v>1.5499999999999999E-3</v>
      </c>
      <c r="B311" s="28">
        <f>IF('TAM Projet 1'!W302&gt;0,'TAM Projet 1'!W302,IF('TAM Projet 1'!V302&gt;0,IF(AND(_EchFIXE,A311&gt;0),ROUND(('TAM Projet 1'!AD302-'TAM Projet 1'!U302)*A311/(1-((1+A311)^-'TAM Projet 1'!V302)),_NbDeci),ROUND('TAM Projet 1'!AD302/'TAM Projet 1'!V302,_NbDeci)),B310))</f>
        <v>768.98</v>
      </c>
      <c r="C311" s="10"/>
      <c r="D311" s="10"/>
      <c r="E311" s="10"/>
      <c r="F311" s="10"/>
      <c r="H311" s="29">
        <f>IF('TAM Projet 1'!AJ302&gt;0,IF(_TauxActuariel1,(('TAM Projet 1'!AJ302+1)^(1/_NbechAn1))-1,'TAM Projet 1'!AJ302/_NbechAn1),H310)</f>
        <v>8.3333333333333339E-4</v>
      </c>
      <c r="I311" s="28">
        <f>IF('TAM Projet 1'!AM302&gt;0,'TAM Projet 1'!AM302,IF('TAM Projet 1'!AL302&gt;0,IF(AND(_EchFIXE1,H311&gt;0),ROUND(('TAM Projet 1'!AT302-'TAM Projet 1'!AK302)*H311/(1-((1+H311)^-'TAM Projet 1'!AL302)),_NbDeci1),ROUND('TAM Projet 1'!AT302/'TAM Projet 1'!AL302,_NbDeci1)),I310))</f>
        <v>187406.04</v>
      </c>
      <c r="J311" s="10"/>
      <c r="K311" s="10"/>
      <c r="L311" s="10"/>
      <c r="M311" s="10"/>
      <c r="O311" s="186">
        <v>309</v>
      </c>
    </row>
    <row r="312" spans="1:15" x14ac:dyDescent="0.2">
      <c r="A312" s="29">
        <f>IF('TAM Projet 1'!T303&gt;0,IF(_TauxActuariel,(('TAM Projet 1'!T303+1)^(1/_NbEchAn))-1,'TAM Projet 1'!T303/_NbEchAn),A311)</f>
        <v>1.5499999999999999E-3</v>
      </c>
      <c r="B312" s="28">
        <f>IF('TAM Projet 1'!W303&gt;0,'TAM Projet 1'!W303,IF('TAM Projet 1'!V303&gt;0,IF(AND(_EchFIXE,A312&gt;0),ROUND(('TAM Projet 1'!AD303-'TAM Projet 1'!U303)*A312/(1-((1+A312)^-'TAM Projet 1'!V303)),_NbDeci),ROUND('TAM Projet 1'!AD303/'TAM Projet 1'!V303,_NbDeci)),B311))</f>
        <v>768.98</v>
      </c>
      <c r="C312" s="10"/>
      <c r="D312" s="10"/>
      <c r="E312" s="10"/>
      <c r="F312" s="10"/>
      <c r="H312" s="29">
        <f>IF('TAM Projet 1'!AJ303&gt;0,IF(_TauxActuariel1,(('TAM Projet 1'!AJ303+1)^(1/_NbechAn1))-1,'TAM Projet 1'!AJ303/_NbechAn1),H311)</f>
        <v>8.3333333333333339E-4</v>
      </c>
      <c r="I312" s="28">
        <f>IF('TAM Projet 1'!AM303&gt;0,'TAM Projet 1'!AM303,IF('TAM Projet 1'!AL303&gt;0,IF(AND(_EchFIXE1,H312&gt;0),ROUND(('TAM Projet 1'!AT303-'TAM Projet 1'!AK303)*H312/(1-((1+H312)^-'TAM Projet 1'!AL303)),_NbDeci1),ROUND('TAM Projet 1'!AT303/'TAM Projet 1'!AL303,_NbDeci1)),I311))</f>
        <v>187406.04</v>
      </c>
      <c r="J312" s="10"/>
      <c r="K312" s="10"/>
      <c r="L312" s="10"/>
      <c r="M312" s="10"/>
      <c r="O312" s="186">
        <v>310</v>
      </c>
    </row>
    <row r="313" spans="1:15" x14ac:dyDescent="0.2">
      <c r="A313" s="29">
        <f>IF('TAM Projet 1'!T304&gt;0,IF(_TauxActuariel,(('TAM Projet 1'!T304+1)^(1/_NbEchAn))-1,'TAM Projet 1'!T304/_NbEchAn),A312)</f>
        <v>1.5499999999999999E-3</v>
      </c>
      <c r="B313" s="28">
        <f>IF('TAM Projet 1'!W304&gt;0,'TAM Projet 1'!W304,IF('TAM Projet 1'!V304&gt;0,IF(AND(_EchFIXE,A313&gt;0),ROUND(('TAM Projet 1'!AD304-'TAM Projet 1'!U304)*A313/(1-((1+A313)^-'TAM Projet 1'!V304)),_NbDeci),ROUND('TAM Projet 1'!AD304/'TAM Projet 1'!V304,_NbDeci)),B312))</f>
        <v>768.98</v>
      </c>
      <c r="C313" s="10"/>
      <c r="D313" s="10"/>
      <c r="E313" s="10"/>
      <c r="F313" s="10"/>
      <c r="H313" s="29">
        <f>IF('TAM Projet 1'!AJ304&gt;0,IF(_TauxActuariel1,(('TAM Projet 1'!AJ304+1)^(1/_NbechAn1))-1,'TAM Projet 1'!AJ304/_NbechAn1),H312)</f>
        <v>8.3333333333333339E-4</v>
      </c>
      <c r="I313" s="28">
        <f>IF('TAM Projet 1'!AM304&gt;0,'TAM Projet 1'!AM304,IF('TAM Projet 1'!AL304&gt;0,IF(AND(_EchFIXE1,H313&gt;0),ROUND(('TAM Projet 1'!AT304-'TAM Projet 1'!AK304)*H313/(1-((1+H313)^-'TAM Projet 1'!AL304)),_NbDeci1),ROUND('TAM Projet 1'!AT304/'TAM Projet 1'!AL304,_NbDeci1)),I312))</f>
        <v>187406.04</v>
      </c>
      <c r="J313" s="10"/>
      <c r="K313" s="10"/>
      <c r="L313" s="10"/>
      <c r="M313" s="10"/>
      <c r="O313" s="186">
        <v>311</v>
      </c>
    </row>
    <row r="314" spans="1:15" x14ac:dyDescent="0.2">
      <c r="A314" s="29">
        <f>IF('TAM Projet 1'!T305&gt;0,IF(_TauxActuariel,(('TAM Projet 1'!T305+1)^(1/_NbEchAn))-1,'TAM Projet 1'!T305/_NbEchAn),A313)</f>
        <v>1.5499999999999999E-3</v>
      </c>
      <c r="B314" s="28">
        <f>IF('TAM Projet 1'!W305&gt;0,'TAM Projet 1'!W305,IF('TAM Projet 1'!V305&gt;0,IF(AND(_EchFIXE,A314&gt;0),ROUND(('TAM Projet 1'!AD305-'TAM Projet 1'!U305)*A314/(1-((1+A314)^-'TAM Projet 1'!V305)),_NbDeci),ROUND('TAM Projet 1'!AD305/'TAM Projet 1'!V305,_NbDeci)),B313))</f>
        <v>768.98</v>
      </c>
      <c r="C314" s="10"/>
      <c r="D314" s="10"/>
      <c r="E314" s="10"/>
      <c r="F314" s="10"/>
      <c r="H314" s="29">
        <f>IF('TAM Projet 1'!AJ305&gt;0,IF(_TauxActuariel1,(('TAM Projet 1'!AJ305+1)^(1/_NbechAn1))-1,'TAM Projet 1'!AJ305/_NbechAn1),H313)</f>
        <v>8.3333333333333339E-4</v>
      </c>
      <c r="I314" s="28">
        <f>IF('TAM Projet 1'!AM305&gt;0,'TAM Projet 1'!AM305,IF('TAM Projet 1'!AL305&gt;0,IF(AND(_EchFIXE1,H314&gt;0),ROUND(('TAM Projet 1'!AT305-'TAM Projet 1'!AK305)*H314/(1-((1+H314)^-'TAM Projet 1'!AL305)),_NbDeci1),ROUND('TAM Projet 1'!AT305/'TAM Projet 1'!AL305,_NbDeci1)),I313))</f>
        <v>187406.04</v>
      </c>
      <c r="J314" s="10"/>
      <c r="K314" s="10"/>
      <c r="L314" s="10"/>
      <c r="M314" s="10"/>
      <c r="O314" s="186">
        <v>312</v>
      </c>
    </row>
    <row r="315" spans="1:15" x14ac:dyDescent="0.2">
      <c r="A315" s="29">
        <f>IF('TAM Projet 1'!T306&gt;0,IF(_TauxActuariel,(('TAM Projet 1'!T306+1)^(1/_NbEchAn))-1,'TAM Projet 1'!T306/_NbEchAn),A314)</f>
        <v>1.5499999999999999E-3</v>
      </c>
      <c r="B315" s="28">
        <f>IF('TAM Projet 1'!W306&gt;0,'TAM Projet 1'!W306,IF('TAM Projet 1'!V306&gt;0,IF(AND(_EchFIXE,A315&gt;0),ROUND(('TAM Projet 1'!AD306-'TAM Projet 1'!U306)*A315/(1-((1+A315)^-'TAM Projet 1'!V306)),_NbDeci),ROUND('TAM Projet 1'!AD306/'TAM Projet 1'!V306,_NbDeci)),B314))</f>
        <v>768.98</v>
      </c>
      <c r="C315" s="10"/>
      <c r="D315" s="10"/>
      <c r="E315" s="10"/>
      <c r="F315" s="10"/>
      <c r="H315" s="29">
        <f>IF('TAM Projet 1'!AJ306&gt;0,IF(_TauxActuariel1,(('TAM Projet 1'!AJ306+1)^(1/_NbechAn1))-1,'TAM Projet 1'!AJ306/_NbechAn1),H314)</f>
        <v>8.3333333333333339E-4</v>
      </c>
      <c r="I315" s="28">
        <f>IF('TAM Projet 1'!AM306&gt;0,'TAM Projet 1'!AM306,IF('TAM Projet 1'!AL306&gt;0,IF(AND(_EchFIXE1,H315&gt;0),ROUND(('TAM Projet 1'!AT306-'TAM Projet 1'!AK306)*H315/(1-((1+H315)^-'TAM Projet 1'!AL306)),_NbDeci1),ROUND('TAM Projet 1'!AT306/'TAM Projet 1'!AL306,_NbDeci1)),I314))</f>
        <v>187406.04</v>
      </c>
      <c r="J315" s="10"/>
      <c r="K315" s="10"/>
      <c r="L315" s="10"/>
      <c r="M315" s="10"/>
      <c r="O315" s="186">
        <v>313</v>
      </c>
    </row>
    <row r="316" spans="1:15" x14ac:dyDescent="0.2">
      <c r="A316" s="29">
        <f>IF('TAM Projet 1'!T307&gt;0,IF(_TauxActuariel,(('TAM Projet 1'!T307+1)^(1/_NbEchAn))-1,'TAM Projet 1'!T307/_NbEchAn),A315)</f>
        <v>1.5499999999999999E-3</v>
      </c>
      <c r="B316" s="28">
        <f>IF('TAM Projet 1'!W307&gt;0,'TAM Projet 1'!W307,IF('TAM Projet 1'!V307&gt;0,IF(AND(_EchFIXE,A316&gt;0),ROUND(('TAM Projet 1'!AD307-'TAM Projet 1'!U307)*A316/(1-((1+A316)^-'TAM Projet 1'!V307)),_NbDeci),ROUND('TAM Projet 1'!AD307/'TAM Projet 1'!V307,_NbDeci)),B315))</f>
        <v>768.98</v>
      </c>
      <c r="C316" s="10"/>
      <c r="D316" s="10"/>
      <c r="E316" s="10"/>
      <c r="F316" s="10"/>
      <c r="H316" s="29">
        <f>IF('TAM Projet 1'!AJ307&gt;0,IF(_TauxActuariel1,(('TAM Projet 1'!AJ307+1)^(1/_NbechAn1))-1,'TAM Projet 1'!AJ307/_NbechAn1),H315)</f>
        <v>8.3333333333333339E-4</v>
      </c>
      <c r="I316" s="28">
        <f>IF('TAM Projet 1'!AM307&gt;0,'TAM Projet 1'!AM307,IF('TAM Projet 1'!AL307&gt;0,IF(AND(_EchFIXE1,H316&gt;0),ROUND(('TAM Projet 1'!AT307-'TAM Projet 1'!AK307)*H316/(1-((1+H316)^-'TAM Projet 1'!AL307)),_NbDeci1),ROUND('TAM Projet 1'!AT307/'TAM Projet 1'!AL307,_NbDeci1)),I315))</f>
        <v>187406.04</v>
      </c>
      <c r="J316" s="10"/>
      <c r="K316" s="10"/>
      <c r="L316" s="10"/>
      <c r="M316" s="10"/>
      <c r="O316" s="186">
        <v>314</v>
      </c>
    </row>
    <row r="317" spans="1:15" x14ac:dyDescent="0.2">
      <c r="A317" s="29">
        <f>IF('TAM Projet 1'!T308&gt;0,IF(_TauxActuariel,(('TAM Projet 1'!T308+1)^(1/_NbEchAn))-1,'TAM Projet 1'!T308/_NbEchAn),A316)</f>
        <v>1.5499999999999999E-3</v>
      </c>
      <c r="B317" s="28">
        <f>IF('TAM Projet 1'!W308&gt;0,'TAM Projet 1'!W308,IF('TAM Projet 1'!V308&gt;0,IF(AND(_EchFIXE,A317&gt;0),ROUND(('TAM Projet 1'!AD308-'TAM Projet 1'!U308)*A317/(1-((1+A317)^-'TAM Projet 1'!V308)),_NbDeci),ROUND('TAM Projet 1'!AD308/'TAM Projet 1'!V308,_NbDeci)),B316))</f>
        <v>768.98</v>
      </c>
      <c r="C317" s="10"/>
      <c r="D317" s="10"/>
      <c r="E317" s="10"/>
      <c r="F317" s="10"/>
      <c r="H317" s="29">
        <f>IF('TAM Projet 1'!AJ308&gt;0,IF(_TauxActuariel1,(('TAM Projet 1'!AJ308+1)^(1/_NbechAn1))-1,'TAM Projet 1'!AJ308/_NbechAn1),H316)</f>
        <v>8.3333333333333339E-4</v>
      </c>
      <c r="I317" s="28">
        <f>IF('TAM Projet 1'!AM308&gt;0,'TAM Projet 1'!AM308,IF('TAM Projet 1'!AL308&gt;0,IF(AND(_EchFIXE1,H317&gt;0),ROUND(('TAM Projet 1'!AT308-'TAM Projet 1'!AK308)*H317/(1-((1+H317)^-'TAM Projet 1'!AL308)),_NbDeci1),ROUND('TAM Projet 1'!AT308/'TAM Projet 1'!AL308,_NbDeci1)),I316))</f>
        <v>187406.04</v>
      </c>
      <c r="J317" s="10"/>
      <c r="K317" s="10"/>
      <c r="L317" s="10"/>
      <c r="M317" s="10"/>
      <c r="O317" s="186">
        <v>315</v>
      </c>
    </row>
    <row r="318" spans="1:15" x14ac:dyDescent="0.2">
      <c r="A318" s="29">
        <f>IF('TAM Projet 1'!T309&gt;0,IF(_TauxActuariel,(('TAM Projet 1'!T309+1)^(1/_NbEchAn))-1,'TAM Projet 1'!T309/_NbEchAn),A317)</f>
        <v>1.5499999999999999E-3</v>
      </c>
      <c r="B318" s="28">
        <f>IF('TAM Projet 1'!W309&gt;0,'TAM Projet 1'!W309,IF('TAM Projet 1'!V309&gt;0,IF(AND(_EchFIXE,A318&gt;0),ROUND(('TAM Projet 1'!AD309-'TAM Projet 1'!U309)*A318/(1-((1+A318)^-'TAM Projet 1'!V309)),_NbDeci),ROUND('TAM Projet 1'!AD309/'TAM Projet 1'!V309,_NbDeci)),B317))</f>
        <v>768.98</v>
      </c>
      <c r="C318" s="10"/>
      <c r="D318" s="10"/>
      <c r="E318" s="10"/>
      <c r="F318" s="10"/>
      <c r="H318" s="29">
        <f>IF('TAM Projet 1'!AJ309&gt;0,IF(_TauxActuariel1,(('TAM Projet 1'!AJ309+1)^(1/_NbechAn1))-1,'TAM Projet 1'!AJ309/_NbechAn1),H317)</f>
        <v>8.3333333333333339E-4</v>
      </c>
      <c r="I318" s="28">
        <f>IF('TAM Projet 1'!AM309&gt;0,'TAM Projet 1'!AM309,IF('TAM Projet 1'!AL309&gt;0,IF(AND(_EchFIXE1,H318&gt;0),ROUND(('TAM Projet 1'!AT309-'TAM Projet 1'!AK309)*H318/(1-((1+H318)^-'TAM Projet 1'!AL309)),_NbDeci1),ROUND('TAM Projet 1'!AT309/'TAM Projet 1'!AL309,_NbDeci1)),I317))</f>
        <v>187406.04</v>
      </c>
      <c r="J318" s="10"/>
      <c r="K318" s="10"/>
      <c r="L318" s="10"/>
      <c r="M318" s="10"/>
      <c r="O318" s="186">
        <v>316</v>
      </c>
    </row>
    <row r="319" spans="1:15" x14ac:dyDescent="0.2">
      <c r="A319" s="29">
        <f>IF('TAM Projet 1'!T310&gt;0,IF(_TauxActuariel,(('TAM Projet 1'!T310+1)^(1/_NbEchAn))-1,'TAM Projet 1'!T310/_NbEchAn),A318)</f>
        <v>1.5499999999999999E-3</v>
      </c>
      <c r="B319" s="28">
        <f>IF('TAM Projet 1'!W310&gt;0,'TAM Projet 1'!W310,IF('TAM Projet 1'!V310&gt;0,IF(AND(_EchFIXE,A319&gt;0),ROUND(('TAM Projet 1'!AD310-'TAM Projet 1'!U310)*A319/(1-((1+A319)^-'TAM Projet 1'!V310)),_NbDeci),ROUND('TAM Projet 1'!AD310/'TAM Projet 1'!V310,_NbDeci)),B318))</f>
        <v>768.98</v>
      </c>
      <c r="C319" s="10"/>
      <c r="D319" s="10"/>
      <c r="E319" s="10"/>
      <c r="F319" s="10"/>
      <c r="H319" s="29">
        <f>IF('TAM Projet 1'!AJ310&gt;0,IF(_TauxActuariel1,(('TAM Projet 1'!AJ310+1)^(1/_NbechAn1))-1,'TAM Projet 1'!AJ310/_NbechAn1),H318)</f>
        <v>8.3333333333333339E-4</v>
      </c>
      <c r="I319" s="28">
        <f>IF('TAM Projet 1'!AM310&gt;0,'TAM Projet 1'!AM310,IF('TAM Projet 1'!AL310&gt;0,IF(AND(_EchFIXE1,H319&gt;0),ROUND(('TAM Projet 1'!AT310-'TAM Projet 1'!AK310)*H319/(1-((1+H319)^-'TAM Projet 1'!AL310)),_NbDeci1),ROUND('TAM Projet 1'!AT310/'TAM Projet 1'!AL310,_NbDeci1)),I318))</f>
        <v>187406.04</v>
      </c>
      <c r="J319" s="10"/>
      <c r="K319" s="10"/>
      <c r="L319" s="10"/>
      <c r="M319" s="10"/>
      <c r="O319" s="186">
        <v>317</v>
      </c>
    </row>
    <row r="320" spans="1:15" x14ac:dyDescent="0.2">
      <c r="A320" s="29">
        <f>IF('TAM Projet 1'!T311&gt;0,IF(_TauxActuariel,(('TAM Projet 1'!T311+1)^(1/_NbEchAn))-1,'TAM Projet 1'!T311/_NbEchAn),A319)</f>
        <v>1.5499999999999999E-3</v>
      </c>
      <c r="B320" s="28">
        <f>IF('TAM Projet 1'!W311&gt;0,'TAM Projet 1'!W311,IF('TAM Projet 1'!V311&gt;0,IF(AND(_EchFIXE,A320&gt;0),ROUND(('TAM Projet 1'!AD311-'TAM Projet 1'!U311)*A320/(1-((1+A320)^-'TAM Projet 1'!V311)),_NbDeci),ROUND('TAM Projet 1'!AD311/'TAM Projet 1'!V311,_NbDeci)),B319))</f>
        <v>768.98</v>
      </c>
      <c r="C320" s="10"/>
      <c r="D320" s="10"/>
      <c r="E320" s="10"/>
      <c r="F320" s="10"/>
      <c r="H320" s="29">
        <f>IF('TAM Projet 1'!AJ311&gt;0,IF(_TauxActuariel1,(('TAM Projet 1'!AJ311+1)^(1/_NbechAn1))-1,'TAM Projet 1'!AJ311/_NbechAn1),H319)</f>
        <v>8.3333333333333339E-4</v>
      </c>
      <c r="I320" s="28">
        <f>IF('TAM Projet 1'!AM311&gt;0,'TAM Projet 1'!AM311,IF('TAM Projet 1'!AL311&gt;0,IF(AND(_EchFIXE1,H320&gt;0),ROUND(('TAM Projet 1'!AT311-'TAM Projet 1'!AK311)*H320/(1-((1+H320)^-'TAM Projet 1'!AL311)),_NbDeci1),ROUND('TAM Projet 1'!AT311/'TAM Projet 1'!AL311,_NbDeci1)),I319))</f>
        <v>187406.04</v>
      </c>
      <c r="J320" s="10"/>
      <c r="K320" s="10"/>
      <c r="L320" s="10"/>
      <c r="M320" s="10"/>
      <c r="O320" s="186">
        <v>318</v>
      </c>
    </row>
    <row r="321" spans="1:15" x14ac:dyDescent="0.2">
      <c r="A321" s="29">
        <f>IF('TAM Projet 1'!T312&gt;0,IF(_TauxActuariel,(('TAM Projet 1'!T312+1)^(1/_NbEchAn))-1,'TAM Projet 1'!T312/_NbEchAn),A320)</f>
        <v>1.5499999999999999E-3</v>
      </c>
      <c r="B321" s="28">
        <f>IF('TAM Projet 1'!W312&gt;0,'TAM Projet 1'!W312,IF('TAM Projet 1'!V312&gt;0,IF(AND(_EchFIXE,A321&gt;0),ROUND(('TAM Projet 1'!AD312-'TAM Projet 1'!U312)*A321/(1-((1+A321)^-'TAM Projet 1'!V312)),_NbDeci),ROUND('TAM Projet 1'!AD312/'TAM Projet 1'!V312,_NbDeci)),B320))</f>
        <v>768.98</v>
      </c>
      <c r="C321" s="10"/>
      <c r="D321" s="10"/>
      <c r="E321" s="10"/>
      <c r="F321" s="10"/>
      <c r="H321" s="29">
        <f>IF('TAM Projet 1'!AJ312&gt;0,IF(_TauxActuariel1,(('TAM Projet 1'!AJ312+1)^(1/_NbechAn1))-1,'TAM Projet 1'!AJ312/_NbechAn1),H320)</f>
        <v>8.3333333333333339E-4</v>
      </c>
      <c r="I321" s="28">
        <f>IF('TAM Projet 1'!AM312&gt;0,'TAM Projet 1'!AM312,IF('TAM Projet 1'!AL312&gt;0,IF(AND(_EchFIXE1,H321&gt;0),ROUND(('TAM Projet 1'!AT312-'TAM Projet 1'!AK312)*H321/(1-((1+H321)^-'TAM Projet 1'!AL312)),_NbDeci1),ROUND('TAM Projet 1'!AT312/'TAM Projet 1'!AL312,_NbDeci1)),I320))</f>
        <v>187406.04</v>
      </c>
      <c r="J321" s="10"/>
      <c r="K321" s="10"/>
      <c r="L321" s="10"/>
      <c r="M321" s="10"/>
      <c r="O321" s="186">
        <v>319</v>
      </c>
    </row>
    <row r="322" spans="1:15" x14ac:dyDescent="0.2">
      <c r="A322" s="29">
        <f>IF('TAM Projet 1'!T313&gt;0,IF(_TauxActuariel,(('TAM Projet 1'!T313+1)^(1/_NbEchAn))-1,'TAM Projet 1'!T313/_NbEchAn),A321)</f>
        <v>1.5499999999999999E-3</v>
      </c>
      <c r="B322" s="28">
        <f>IF('TAM Projet 1'!W313&gt;0,'TAM Projet 1'!W313,IF('TAM Projet 1'!V313&gt;0,IF(AND(_EchFIXE,A322&gt;0),ROUND(('TAM Projet 1'!AD313-'TAM Projet 1'!U313)*A322/(1-((1+A322)^-'TAM Projet 1'!V313)),_NbDeci),ROUND('TAM Projet 1'!AD313/'TAM Projet 1'!V313,_NbDeci)),B321))</f>
        <v>768.98</v>
      </c>
      <c r="C322" s="10"/>
      <c r="D322" s="10"/>
      <c r="E322" s="10"/>
      <c r="F322" s="10"/>
      <c r="H322" s="29">
        <f>IF('TAM Projet 1'!AJ313&gt;0,IF(_TauxActuariel1,(('TAM Projet 1'!AJ313+1)^(1/_NbechAn1))-1,'TAM Projet 1'!AJ313/_NbechAn1),H321)</f>
        <v>8.3333333333333339E-4</v>
      </c>
      <c r="I322" s="28">
        <f>IF('TAM Projet 1'!AM313&gt;0,'TAM Projet 1'!AM313,IF('TAM Projet 1'!AL313&gt;0,IF(AND(_EchFIXE1,H322&gt;0),ROUND(('TAM Projet 1'!AT313-'TAM Projet 1'!AK313)*H322/(1-((1+H322)^-'TAM Projet 1'!AL313)),_NbDeci1),ROUND('TAM Projet 1'!AT313/'TAM Projet 1'!AL313,_NbDeci1)),I321))</f>
        <v>187406.04</v>
      </c>
      <c r="J322" s="10"/>
      <c r="K322" s="10"/>
      <c r="L322" s="10"/>
      <c r="M322" s="10"/>
      <c r="O322" s="186">
        <v>320</v>
      </c>
    </row>
    <row r="323" spans="1:15" x14ac:dyDescent="0.2">
      <c r="A323" s="29">
        <f>IF('TAM Projet 1'!T314&gt;0,IF(_TauxActuariel,(('TAM Projet 1'!T314+1)^(1/_NbEchAn))-1,'TAM Projet 1'!T314/_NbEchAn),A322)</f>
        <v>1.5499999999999999E-3</v>
      </c>
      <c r="B323" s="28">
        <f>IF('TAM Projet 1'!W314&gt;0,'TAM Projet 1'!W314,IF('TAM Projet 1'!V314&gt;0,IF(AND(_EchFIXE,A323&gt;0),ROUND(('TAM Projet 1'!AD314-'TAM Projet 1'!U314)*A323/(1-((1+A323)^-'TAM Projet 1'!V314)),_NbDeci),ROUND('TAM Projet 1'!AD314/'TAM Projet 1'!V314,_NbDeci)),B322))</f>
        <v>768.98</v>
      </c>
      <c r="C323" s="10"/>
      <c r="D323" s="10"/>
      <c r="E323" s="10"/>
      <c r="F323" s="10"/>
      <c r="H323" s="29">
        <f>IF('TAM Projet 1'!AJ314&gt;0,IF(_TauxActuariel1,(('TAM Projet 1'!AJ314+1)^(1/_NbechAn1))-1,'TAM Projet 1'!AJ314/_NbechAn1),H322)</f>
        <v>8.3333333333333339E-4</v>
      </c>
      <c r="I323" s="28">
        <f>IF('TAM Projet 1'!AM314&gt;0,'TAM Projet 1'!AM314,IF('TAM Projet 1'!AL314&gt;0,IF(AND(_EchFIXE1,H323&gt;0),ROUND(('TAM Projet 1'!AT314-'TAM Projet 1'!AK314)*H323/(1-((1+H323)^-'TAM Projet 1'!AL314)),_NbDeci1),ROUND('TAM Projet 1'!AT314/'TAM Projet 1'!AL314,_NbDeci1)),I322))</f>
        <v>187406.04</v>
      </c>
      <c r="J323" s="10"/>
      <c r="K323" s="10"/>
      <c r="L323" s="10"/>
      <c r="M323" s="10"/>
      <c r="O323" s="186">
        <v>321</v>
      </c>
    </row>
    <row r="324" spans="1:15" x14ac:dyDescent="0.2">
      <c r="A324" s="29">
        <f>IF('TAM Projet 1'!T315&gt;0,IF(_TauxActuariel,(('TAM Projet 1'!T315+1)^(1/_NbEchAn))-1,'TAM Projet 1'!T315/_NbEchAn),A323)</f>
        <v>1.5499999999999999E-3</v>
      </c>
      <c r="B324" s="28">
        <f>IF('TAM Projet 1'!W315&gt;0,'TAM Projet 1'!W315,IF('TAM Projet 1'!V315&gt;0,IF(AND(_EchFIXE,A324&gt;0),ROUND(('TAM Projet 1'!AD315-'TAM Projet 1'!U315)*A324/(1-((1+A324)^-'TAM Projet 1'!V315)),_NbDeci),ROUND('TAM Projet 1'!AD315/'TAM Projet 1'!V315,_NbDeci)),B323))</f>
        <v>768.98</v>
      </c>
      <c r="C324" s="10"/>
      <c r="D324" s="10"/>
      <c r="E324" s="10"/>
      <c r="F324" s="10"/>
      <c r="H324" s="29">
        <f>IF('TAM Projet 1'!AJ315&gt;0,IF(_TauxActuariel1,(('TAM Projet 1'!AJ315+1)^(1/_NbechAn1))-1,'TAM Projet 1'!AJ315/_NbechAn1),H323)</f>
        <v>8.3333333333333339E-4</v>
      </c>
      <c r="I324" s="28">
        <f>IF('TAM Projet 1'!AM315&gt;0,'TAM Projet 1'!AM315,IF('TAM Projet 1'!AL315&gt;0,IF(AND(_EchFIXE1,H324&gt;0),ROUND(('TAM Projet 1'!AT315-'TAM Projet 1'!AK315)*H324/(1-((1+H324)^-'TAM Projet 1'!AL315)),_NbDeci1),ROUND('TAM Projet 1'!AT315/'TAM Projet 1'!AL315,_NbDeci1)),I323))</f>
        <v>187406.04</v>
      </c>
      <c r="J324" s="10"/>
      <c r="K324" s="10"/>
      <c r="L324" s="10"/>
      <c r="M324" s="10"/>
      <c r="O324" s="186">
        <v>322</v>
      </c>
    </row>
    <row r="325" spans="1:15" x14ac:dyDescent="0.2">
      <c r="A325" s="29">
        <f>IF('TAM Projet 1'!T316&gt;0,IF(_TauxActuariel,(('TAM Projet 1'!T316+1)^(1/_NbEchAn))-1,'TAM Projet 1'!T316/_NbEchAn),A324)</f>
        <v>1.5499999999999999E-3</v>
      </c>
      <c r="B325" s="28">
        <f>IF('TAM Projet 1'!W316&gt;0,'TAM Projet 1'!W316,IF('TAM Projet 1'!V316&gt;0,IF(AND(_EchFIXE,A325&gt;0),ROUND(('TAM Projet 1'!AD316-'TAM Projet 1'!U316)*A325/(1-((1+A325)^-'TAM Projet 1'!V316)),_NbDeci),ROUND('TAM Projet 1'!AD316/'TAM Projet 1'!V316,_NbDeci)),B324))</f>
        <v>768.98</v>
      </c>
      <c r="C325" s="10"/>
      <c r="D325" s="10"/>
      <c r="E325" s="10"/>
      <c r="F325" s="10"/>
      <c r="H325" s="29">
        <f>IF('TAM Projet 1'!AJ316&gt;0,IF(_TauxActuariel1,(('TAM Projet 1'!AJ316+1)^(1/_NbechAn1))-1,'TAM Projet 1'!AJ316/_NbechAn1),H324)</f>
        <v>8.3333333333333339E-4</v>
      </c>
      <c r="I325" s="28">
        <f>IF('TAM Projet 1'!AM316&gt;0,'TAM Projet 1'!AM316,IF('TAM Projet 1'!AL316&gt;0,IF(AND(_EchFIXE1,H325&gt;0),ROUND(('TAM Projet 1'!AT316-'TAM Projet 1'!AK316)*H325/(1-((1+H325)^-'TAM Projet 1'!AL316)),_NbDeci1),ROUND('TAM Projet 1'!AT316/'TAM Projet 1'!AL316,_NbDeci1)),I324))</f>
        <v>187406.04</v>
      </c>
      <c r="J325" s="10"/>
      <c r="K325" s="10"/>
      <c r="L325" s="10"/>
      <c r="M325" s="10"/>
      <c r="O325" s="186">
        <v>323</v>
      </c>
    </row>
    <row r="326" spans="1:15" x14ac:dyDescent="0.2">
      <c r="A326" s="29">
        <f>IF('TAM Projet 1'!T317&gt;0,IF(_TauxActuariel,(('TAM Projet 1'!T317+1)^(1/_NbEchAn))-1,'TAM Projet 1'!T317/_NbEchAn),A325)</f>
        <v>1.5499999999999999E-3</v>
      </c>
      <c r="B326" s="28">
        <f>IF('TAM Projet 1'!W317&gt;0,'TAM Projet 1'!W317,IF('TAM Projet 1'!V317&gt;0,IF(AND(_EchFIXE,A326&gt;0),ROUND(('TAM Projet 1'!AD317-'TAM Projet 1'!U317)*A326/(1-((1+A326)^-'TAM Projet 1'!V317)),_NbDeci),ROUND('TAM Projet 1'!AD317/'TAM Projet 1'!V317,_NbDeci)),B325))</f>
        <v>768.98</v>
      </c>
      <c r="C326" s="10"/>
      <c r="D326" s="10"/>
      <c r="E326" s="10"/>
      <c r="F326" s="10"/>
      <c r="H326" s="29">
        <f>IF('TAM Projet 1'!AJ317&gt;0,IF(_TauxActuariel1,(('TAM Projet 1'!AJ317+1)^(1/_NbechAn1))-1,'TAM Projet 1'!AJ317/_NbechAn1),H325)</f>
        <v>8.3333333333333339E-4</v>
      </c>
      <c r="I326" s="28">
        <f>IF('TAM Projet 1'!AM317&gt;0,'TAM Projet 1'!AM317,IF('TAM Projet 1'!AL317&gt;0,IF(AND(_EchFIXE1,H326&gt;0),ROUND(('TAM Projet 1'!AT317-'TAM Projet 1'!AK317)*H326/(1-((1+H326)^-'TAM Projet 1'!AL317)),_NbDeci1),ROUND('TAM Projet 1'!AT317/'TAM Projet 1'!AL317,_NbDeci1)),I325))</f>
        <v>187406.04</v>
      </c>
      <c r="J326" s="10"/>
      <c r="K326" s="10"/>
      <c r="L326" s="10"/>
      <c r="M326" s="10"/>
      <c r="O326" s="186">
        <v>324</v>
      </c>
    </row>
    <row r="327" spans="1:15" x14ac:dyDescent="0.2">
      <c r="A327" s="29">
        <f>IF('TAM Projet 1'!T318&gt;0,IF(_TauxActuariel,(('TAM Projet 1'!T318+1)^(1/_NbEchAn))-1,'TAM Projet 1'!T318/_NbEchAn),A326)</f>
        <v>1.5499999999999999E-3</v>
      </c>
      <c r="B327" s="28">
        <f>IF('TAM Projet 1'!W318&gt;0,'TAM Projet 1'!W318,IF('TAM Projet 1'!V318&gt;0,IF(AND(_EchFIXE,A327&gt;0),ROUND(('TAM Projet 1'!AD318-'TAM Projet 1'!U318)*A327/(1-((1+A327)^-'TAM Projet 1'!V318)),_NbDeci),ROUND('TAM Projet 1'!AD318/'TAM Projet 1'!V318,_NbDeci)),B326))</f>
        <v>768.98</v>
      </c>
      <c r="C327" s="10"/>
      <c r="D327" s="10"/>
      <c r="E327" s="10"/>
      <c r="F327" s="10"/>
      <c r="H327" s="29">
        <f>IF('TAM Projet 1'!AJ318&gt;0,IF(_TauxActuariel1,(('TAM Projet 1'!AJ318+1)^(1/_NbechAn1))-1,'TAM Projet 1'!AJ318/_NbechAn1),H326)</f>
        <v>8.3333333333333339E-4</v>
      </c>
      <c r="I327" s="28">
        <f>IF('TAM Projet 1'!AM318&gt;0,'TAM Projet 1'!AM318,IF('TAM Projet 1'!AL318&gt;0,IF(AND(_EchFIXE1,H327&gt;0),ROUND(('TAM Projet 1'!AT318-'TAM Projet 1'!AK318)*H327/(1-((1+H327)^-'TAM Projet 1'!AL318)),_NbDeci1),ROUND('TAM Projet 1'!AT318/'TAM Projet 1'!AL318,_NbDeci1)),I326))</f>
        <v>187406.04</v>
      </c>
      <c r="J327" s="10"/>
      <c r="K327" s="10"/>
      <c r="L327" s="10"/>
      <c r="M327" s="10"/>
      <c r="O327" s="186">
        <v>325</v>
      </c>
    </row>
    <row r="328" spans="1:15" x14ac:dyDescent="0.2">
      <c r="A328" s="29">
        <f>IF('TAM Projet 1'!T319&gt;0,IF(_TauxActuariel,(('TAM Projet 1'!T319+1)^(1/_NbEchAn))-1,'TAM Projet 1'!T319/_NbEchAn),A327)</f>
        <v>1.5499999999999999E-3</v>
      </c>
      <c r="B328" s="28">
        <f>IF('TAM Projet 1'!W319&gt;0,'TAM Projet 1'!W319,IF('TAM Projet 1'!V319&gt;0,IF(AND(_EchFIXE,A328&gt;0),ROUND(('TAM Projet 1'!AD319-'TAM Projet 1'!U319)*A328/(1-((1+A328)^-'TAM Projet 1'!V319)),_NbDeci),ROUND('TAM Projet 1'!AD319/'TAM Projet 1'!V319,_NbDeci)),B327))</f>
        <v>768.98</v>
      </c>
      <c r="C328" s="10"/>
      <c r="D328" s="10"/>
      <c r="E328" s="10"/>
      <c r="F328" s="10"/>
      <c r="H328" s="29">
        <f>IF('TAM Projet 1'!AJ319&gt;0,IF(_TauxActuariel1,(('TAM Projet 1'!AJ319+1)^(1/_NbechAn1))-1,'TAM Projet 1'!AJ319/_NbechAn1),H327)</f>
        <v>8.3333333333333339E-4</v>
      </c>
      <c r="I328" s="28">
        <f>IF('TAM Projet 1'!AM319&gt;0,'TAM Projet 1'!AM319,IF('TAM Projet 1'!AL319&gt;0,IF(AND(_EchFIXE1,H328&gt;0),ROUND(('TAM Projet 1'!AT319-'TAM Projet 1'!AK319)*H328/(1-((1+H328)^-'TAM Projet 1'!AL319)),_NbDeci1),ROUND('TAM Projet 1'!AT319/'TAM Projet 1'!AL319,_NbDeci1)),I327))</f>
        <v>187406.04</v>
      </c>
      <c r="J328" s="10"/>
      <c r="K328" s="10"/>
      <c r="L328" s="10"/>
      <c r="M328" s="10"/>
      <c r="O328" s="186">
        <v>326</v>
      </c>
    </row>
    <row r="329" spans="1:15" x14ac:dyDescent="0.2">
      <c r="A329" s="29">
        <f>IF('TAM Projet 1'!T320&gt;0,IF(_TauxActuariel,(('TAM Projet 1'!T320+1)^(1/_NbEchAn))-1,'TAM Projet 1'!T320/_NbEchAn),A328)</f>
        <v>1.5499999999999999E-3</v>
      </c>
      <c r="B329" s="28">
        <f>IF('TAM Projet 1'!W320&gt;0,'TAM Projet 1'!W320,IF('TAM Projet 1'!V320&gt;0,IF(AND(_EchFIXE,A329&gt;0),ROUND(('TAM Projet 1'!AD320-'TAM Projet 1'!U320)*A329/(1-((1+A329)^-'TAM Projet 1'!V320)),_NbDeci),ROUND('TAM Projet 1'!AD320/'TAM Projet 1'!V320,_NbDeci)),B328))</f>
        <v>768.98</v>
      </c>
      <c r="C329" s="10"/>
      <c r="D329" s="10"/>
      <c r="E329" s="10"/>
      <c r="F329" s="10"/>
      <c r="H329" s="29">
        <f>IF('TAM Projet 1'!AJ320&gt;0,IF(_TauxActuariel1,(('TAM Projet 1'!AJ320+1)^(1/_NbechAn1))-1,'TAM Projet 1'!AJ320/_NbechAn1),H328)</f>
        <v>8.3333333333333339E-4</v>
      </c>
      <c r="I329" s="28">
        <f>IF('TAM Projet 1'!AM320&gt;0,'TAM Projet 1'!AM320,IF('TAM Projet 1'!AL320&gt;0,IF(AND(_EchFIXE1,H329&gt;0),ROUND(('TAM Projet 1'!AT320-'TAM Projet 1'!AK320)*H329/(1-((1+H329)^-'TAM Projet 1'!AL320)),_NbDeci1),ROUND('TAM Projet 1'!AT320/'TAM Projet 1'!AL320,_NbDeci1)),I328))</f>
        <v>187406.04</v>
      </c>
      <c r="J329" s="10"/>
      <c r="K329" s="10"/>
      <c r="L329" s="10"/>
      <c r="M329" s="10"/>
      <c r="O329" s="186">
        <v>327</v>
      </c>
    </row>
    <row r="330" spans="1:15" x14ac:dyDescent="0.2">
      <c r="A330" s="29">
        <f>IF('TAM Projet 1'!T321&gt;0,IF(_TauxActuariel,(('TAM Projet 1'!T321+1)^(1/_NbEchAn))-1,'TAM Projet 1'!T321/_NbEchAn),A329)</f>
        <v>1.5499999999999999E-3</v>
      </c>
      <c r="B330" s="28">
        <f>IF('TAM Projet 1'!W321&gt;0,'TAM Projet 1'!W321,IF('TAM Projet 1'!V321&gt;0,IF(AND(_EchFIXE,A330&gt;0),ROUND(('TAM Projet 1'!AD321-'TAM Projet 1'!U321)*A330/(1-((1+A330)^-'TAM Projet 1'!V321)),_NbDeci),ROUND('TAM Projet 1'!AD321/'TAM Projet 1'!V321,_NbDeci)),B329))</f>
        <v>768.98</v>
      </c>
      <c r="C330" s="10"/>
      <c r="D330" s="10"/>
      <c r="E330" s="10"/>
      <c r="F330" s="10"/>
      <c r="H330" s="29">
        <f>IF('TAM Projet 1'!AJ321&gt;0,IF(_TauxActuariel1,(('TAM Projet 1'!AJ321+1)^(1/_NbechAn1))-1,'TAM Projet 1'!AJ321/_NbechAn1),H329)</f>
        <v>8.3333333333333339E-4</v>
      </c>
      <c r="I330" s="28">
        <f>IF('TAM Projet 1'!AM321&gt;0,'TAM Projet 1'!AM321,IF('TAM Projet 1'!AL321&gt;0,IF(AND(_EchFIXE1,H330&gt;0),ROUND(('TAM Projet 1'!AT321-'TAM Projet 1'!AK321)*H330/(1-((1+H330)^-'TAM Projet 1'!AL321)),_NbDeci1),ROUND('TAM Projet 1'!AT321/'TAM Projet 1'!AL321,_NbDeci1)),I329))</f>
        <v>187406.04</v>
      </c>
      <c r="J330" s="10"/>
      <c r="K330" s="10"/>
      <c r="L330" s="10"/>
      <c r="M330" s="10"/>
      <c r="O330" s="186">
        <v>328</v>
      </c>
    </row>
    <row r="331" spans="1:15" x14ac:dyDescent="0.2">
      <c r="A331" s="29">
        <f>IF('TAM Projet 1'!T322&gt;0,IF(_TauxActuariel,(('TAM Projet 1'!T322+1)^(1/_NbEchAn))-1,'TAM Projet 1'!T322/_NbEchAn),A330)</f>
        <v>1.5499999999999999E-3</v>
      </c>
      <c r="B331" s="28">
        <f>IF('TAM Projet 1'!W322&gt;0,'TAM Projet 1'!W322,IF('TAM Projet 1'!V322&gt;0,IF(AND(_EchFIXE,A331&gt;0),ROUND(('TAM Projet 1'!AD322-'TAM Projet 1'!U322)*A331/(1-((1+A331)^-'TAM Projet 1'!V322)),_NbDeci),ROUND('TAM Projet 1'!AD322/'TAM Projet 1'!V322,_NbDeci)),B330))</f>
        <v>768.98</v>
      </c>
      <c r="C331" s="10"/>
      <c r="D331" s="10"/>
      <c r="E331" s="10"/>
      <c r="F331" s="10"/>
      <c r="H331" s="29">
        <f>IF('TAM Projet 1'!AJ322&gt;0,IF(_TauxActuariel1,(('TAM Projet 1'!AJ322+1)^(1/_NbechAn1))-1,'TAM Projet 1'!AJ322/_NbechAn1),H330)</f>
        <v>8.3333333333333339E-4</v>
      </c>
      <c r="I331" s="28">
        <f>IF('TAM Projet 1'!AM322&gt;0,'TAM Projet 1'!AM322,IF('TAM Projet 1'!AL322&gt;0,IF(AND(_EchFIXE1,H331&gt;0),ROUND(('TAM Projet 1'!AT322-'TAM Projet 1'!AK322)*H331/(1-((1+H331)^-'TAM Projet 1'!AL322)),_NbDeci1),ROUND('TAM Projet 1'!AT322/'TAM Projet 1'!AL322,_NbDeci1)),I330))</f>
        <v>187406.04</v>
      </c>
      <c r="J331" s="10"/>
      <c r="K331" s="10"/>
      <c r="L331" s="10"/>
      <c r="M331" s="10"/>
      <c r="O331" s="186">
        <v>329</v>
      </c>
    </row>
    <row r="332" spans="1:15" x14ac:dyDescent="0.2">
      <c r="A332" s="29">
        <f>IF('TAM Projet 1'!T323&gt;0,IF(_TauxActuariel,(('TAM Projet 1'!T323+1)^(1/_NbEchAn))-1,'TAM Projet 1'!T323/_NbEchAn),A331)</f>
        <v>1.5499999999999999E-3</v>
      </c>
      <c r="B332" s="28">
        <f>IF('TAM Projet 1'!W323&gt;0,'TAM Projet 1'!W323,IF('TAM Projet 1'!V323&gt;0,IF(AND(_EchFIXE,A332&gt;0),ROUND(('TAM Projet 1'!AD323-'TAM Projet 1'!U323)*A332/(1-((1+A332)^-'TAM Projet 1'!V323)),_NbDeci),ROUND('TAM Projet 1'!AD323/'TAM Projet 1'!V323,_NbDeci)),B331))</f>
        <v>768.98</v>
      </c>
      <c r="C332" s="10"/>
      <c r="D332" s="10"/>
      <c r="E332" s="10"/>
      <c r="F332" s="10"/>
      <c r="H332" s="29">
        <f>IF('TAM Projet 1'!AJ323&gt;0,IF(_TauxActuariel1,(('TAM Projet 1'!AJ323+1)^(1/_NbechAn1))-1,'TAM Projet 1'!AJ323/_NbechAn1),H331)</f>
        <v>8.3333333333333339E-4</v>
      </c>
      <c r="I332" s="28">
        <f>IF('TAM Projet 1'!AM323&gt;0,'TAM Projet 1'!AM323,IF('TAM Projet 1'!AL323&gt;0,IF(AND(_EchFIXE1,H332&gt;0),ROUND(('TAM Projet 1'!AT323-'TAM Projet 1'!AK323)*H332/(1-((1+H332)^-'TAM Projet 1'!AL323)),_NbDeci1),ROUND('TAM Projet 1'!AT323/'TAM Projet 1'!AL323,_NbDeci1)),I331))</f>
        <v>187406.04</v>
      </c>
      <c r="J332" s="10"/>
      <c r="K332" s="10"/>
      <c r="L332" s="10"/>
      <c r="M332" s="10"/>
      <c r="O332" s="186">
        <v>330</v>
      </c>
    </row>
    <row r="333" spans="1:15" x14ac:dyDescent="0.2">
      <c r="A333" s="29">
        <f>IF('TAM Projet 1'!T324&gt;0,IF(_TauxActuariel,(('TAM Projet 1'!T324+1)^(1/_NbEchAn))-1,'TAM Projet 1'!T324/_NbEchAn),A332)</f>
        <v>1.5499999999999999E-3</v>
      </c>
      <c r="B333" s="28">
        <f>IF('TAM Projet 1'!W324&gt;0,'TAM Projet 1'!W324,IF('TAM Projet 1'!V324&gt;0,IF(AND(_EchFIXE,A333&gt;0),ROUND(('TAM Projet 1'!AD324-'TAM Projet 1'!U324)*A333/(1-((1+A333)^-'TAM Projet 1'!V324)),_NbDeci),ROUND('TAM Projet 1'!AD324/'TAM Projet 1'!V324,_NbDeci)),B332))</f>
        <v>768.98</v>
      </c>
      <c r="C333" s="10"/>
      <c r="D333" s="10"/>
      <c r="E333" s="10"/>
      <c r="F333" s="10"/>
      <c r="H333" s="29">
        <f>IF('TAM Projet 1'!AJ324&gt;0,IF(_TauxActuariel1,(('TAM Projet 1'!AJ324+1)^(1/_NbechAn1))-1,'TAM Projet 1'!AJ324/_NbechAn1),H332)</f>
        <v>8.3333333333333339E-4</v>
      </c>
      <c r="I333" s="28">
        <f>IF('TAM Projet 1'!AM324&gt;0,'TAM Projet 1'!AM324,IF('TAM Projet 1'!AL324&gt;0,IF(AND(_EchFIXE1,H333&gt;0),ROUND(('TAM Projet 1'!AT324-'TAM Projet 1'!AK324)*H333/(1-((1+H333)^-'TAM Projet 1'!AL324)),_NbDeci1),ROUND('TAM Projet 1'!AT324/'TAM Projet 1'!AL324,_NbDeci1)),I332))</f>
        <v>187406.04</v>
      </c>
      <c r="J333" s="10"/>
      <c r="K333" s="10"/>
      <c r="L333" s="10"/>
      <c r="M333" s="10"/>
      <c r="O333" s="186">
        <v>331</v>
      </c>
    </row>
    <row r="334" spans="1:15" x14ac:dyDescent="0.2">
      <c r="A334" s="29">
        <f>IF('TAM Projet 1'!T325&gt;0,IF(_TauxActuariel,(('TAM Projet 1'!T325+1)^(1/_NbEchAn))-1,'TAM Projet 1'!T325/_NbEchAn),A333)</f>
        <v>1.5499999999999999E-3</v>
      </c>
      <c r="B334" s="28">
        <f>IF('TAM Projet 1'!W325&gt;0,'TAM Projet 1'!W325,IF('TAM Projet 1'!V325&gt;0,IF(AND(_EchFIXE,A334&gt;0),ROUND(('TAM Projet 1'!AD325-'TAM Projet 1'!U325)*A334/(1-((1+A334)^-'TAM Projet 1'!V325)),_NbDeci),ROUND('TAM Projet 1'!AD325/'TAM Projet 1'!V325,_NbDeci)),B333))</f>
        <v>768.98</v>
      </c>
      <c r="C334" s="10"/>
      <c r="D334" s="10"/>
      <c r="E334" s="10"/>
      <c r="F334" s="10"/>
      <c r="H334" s="29">
        <f>IF('TAM Projet 1'!AJ325&gt;0,IF(_TauxActuariel1,(('TAM Projet 1'!AJ325+1)^(1/_NbechAn1))-1,'TAM Projet 1'!AJ325/_NbechAn1),H333)</f>
        <v>8.3333333333333339E-4</v>
      </c>
      <c r="I334" s="28">
        <f>IF('TAM Projet 1'!AM325&gt;0,'TAM Projet 1'!AM325,IF('TAM Projet 1'!AL325&gt;0,IF(AND(_EchFIXE1,H334&gt;0),ROUND(('TAM Projet 1'!AT325-'TAM Projet 1'!AK325)*H334/(1-((1+H334)^-'TAM Projet 1'!AL325)),_NbDeci1),ROUND('TAM Projet 1'!AT325/'TAM Projet 1'!AL325,_NbDeci1)),I333))</f>
        <v>187406.04</v>
      </c>
      <c r="J334" s="10"/>
      <c r="K334" s="10"/>
      <c r="L334" s="10"/>
      <c r="M334" s="10"/>
      <c r="O334" s="186">
        <v>332</v>
      </c>
    </row>
    <row r="335" spans="1:15" x14ac:dyDescent="0.2">
      <c r="A335" s="29">
        <f>IF('TAM Projet 1'!T326&gt;0,IF(_TauxActuariel,(('TAM Projet 1'!T326+1)^(1/_NbEchAn))-1,'TAM Projet 1'!T326/_NbEchAn),A334)</f>
        <v>1.5499999999999999E-3</v>
      </c>
      <c r="B335" s="28">
        <f>IF('TAM Projet 1'!W326&gt;0,'TAM Projet 1'!W326,IF('TAM Projet 1'!V326&gt;0,IF(AND(_EchFIXE,A335&gt;0),ROUND(('TAM Projet 1'!AD326-'TAM Projet 1'!U326)*A335/(1-((1+A335)^-'TAM Projet 1'!V326)),_NbDeci),ROUND('TAM Projet 1'!AD326/'TAM Projet 1'!V326,_NbDeci)),B334))</f>
        <v>768.98</v>
      </c>
      <c r="C335" s="10"/>
      <c r="D335" s="10"/>
      <c r="E335" s="10"/>
      <c r="F335" s="10"/>
      <c r="H335" s="29">
        <f>IF('TAM Projet 1'!AJ326&gt;0,IF(_TauxActuariel1,(('TAM Projet 1'!AJ326+1)^(1/_NbechAn1))-1,'TAM Projet 1'!AJ326/_NbechAn1),H334)</f>
        <v>8.3333333333333339E-4</v>
      </c>
      <c r="I335" s="28">
        <f>IF('TAM Projet 1'!AM326&gt;0,'TAM Projet 1'!AM326,IF('TAM Projet 1'!AL326&gt;0,IF(AND(_EchFIXE1,H335&gt;0),ROUND(('TAM Projet 1'!AT326-'TAM Projet 1'!AK326)*H335/(1-((1+H335)^-'TAM Projet 1'!AL326)),_NbDeci1),ROUND('TAM Projet 1'!AT326/'TAM Projet 1'!AL326,_NbDeci1)),I334))</f>
        <v>187406.04</v>
      </c>
      <c r="J335" s="10"/>
      <c r="K335" s="10"/>
      <c r="L335" s="10"/>
      <c r="M335" s="10"/>
      <c r="O335" s="186">
        <v>333</v>
      </c>
    </row>
    <row r="336" spans="1:15" x14ac:dyDescent="0.2">
      <c r="A336" s="29">
        <f>IF('TAM Projet 1'!T327&gt;0,IF(_TauxActuariel,(('TAM Projet 1'!T327+1)^(1/_NbEchAn))-1,'TAM Projet 1'!T327/_NbEchAn),A335)</f>
        <v>1.5499999999999999E-3</v>
      </c>
      <c r="B336" s="28">
        <f>IF('TAM Projet 1'!W327&gt;0,'TAM Projet 1'!W327,IF('TAM Projet 1'!V327&gt;0,IF(AND(_EchFIXE,A336&gt;0),ROUND(('TAM Projet 1'!AD327-'TAM Projet 1'!U327)*A336/(1-((1+A336)^-'TAM Projet 1'!V327)),_NbDeci),ROUND('TAM Projet 1'!AD327/'TAM Projet 1'!V327,_NbDeci)),B335))</f>
        <v>768.98</v>
      </c>
      <c r="C336" s="10"/>
      <c r="D336" s="10"/>
      <c r="E336" s="10"/>
      <c r="F336" s="10"/>
      <c r="H336" s="29">
        <f>IF('TAM Projet 1'!AJ327&gt;0,IF(_TauxActuariel1,(('TAM Projet 1'!AJ327+1)^(1/_NbechAn1))-1,'TAM Projet 1'!AJ327/_NbechAn1),H335)</f>
        <v>8.3333333333333339E-4</v>
      </c>
      <c r="I336" s="28">
        <f>IF('TAM Projet 1'!AM327&gt;0,'TAM Projet 1'!AM327,IF('TAM Projet 1'!AL327&gt;0,IF(AND(_EchFIXE1,H336&gt;0),ROUND(('TAM Projet 1'!AT327-'TAM Projet 1'!AK327)*H336/(1-((1+H336)^-'TAM Projet 1'!AL327)),_NbDeci1),ROUND('TAM Projet 1'!AT327/'TAM Projet 1'!AL327,_NbDeci1)),I335))</f>
        <v>187406.04</v>
      </c>
      <c r="J336" s="10"/>
      <c r="K336" s="10"/>
      <c r="L336" s="10"/>
      <c r="M336" s="10"/>
      <c r="O336" s="186">
        <v>334</v>
      </c>
    </row>
    <row r="337" spans="1:15" x14ac:dyDescent="0.2">
      <c r="A337" s="29">
        <f>IF('TAM Projet 1'!T328&gt;0,IF(_TauxActuariel,(('TAM Projet 1'!T328+1)^(1/_NbEchAn))-1,'TAM Projet 1'!T328/_NbEchAn),A336)</f>
        <v>1.5499999999999999E-3</v>
      </c>
      <c r="B337" s="28">
        <f>IF('TAM Projet 1'!W328&gt;0,'TAM Projet 1'!W328,IF('TAM Projet 1'!V328&gt;0,IF(AND(_EchFIXE,A337&gt;0),ROUND(('TAM Projet 1'!AD328-'TAM Projet 1'!U328)*A337/(1-((1+A337)^-'TAM Projet 1'!V328)),_NbDeci),ROUND('TAM Projet 1'!AD328/'TAM Projet 1'!V328,_NbDeci)),B336))</f>
        <v>768.98</v>
      </c>
      <c r="C337" s="10"/>
      <c r="D337" s="10"/>
      <c r="E337" s="10"/>
      <c r="F337" s="10"/>
      <c r="H337" s="29">
        <f>IF('TAM Projet 1'!AJ328&gt;0,IF(_TauxActuariel1,(('TAM Projet 1'!AJ328+1)^(1/_NbechAn1))-1,'TAM Projet 1'!AJ328/_NbechAn1),H336)</f>
        <v>8.3333333333333339E-4</v>
      </c>
      <c r="I337" s="28">
        <f>IF('TAM Projet 1'!AM328&gt;0,'TAM Projet 1'!AM328,IF('TAM Projet 1'!AL328&gt;0,IF(AND(_EchFIXE1,H337&gt;0),ROUND(('TAM Projet 1'!AT328-'TAM Projet 1'!AK328)*H337/(1-((1+H337)^-'TAM Projet 1'!AL328)),_NbDeci1),ROUND('TAM Projet 1'!AT328/'TAM Projet 1'!AL328,_NbDeci1)),I336))</f>
        <v>187406.04</v>
      </c>
      <c r="J337" s="10"/>
      <c r="K337" s="10"/>
      <c r="L337" s="10"/>
      <c r="M337" s="10"/>
      <c r="O337" s="186">
        <v>335</v>
      </c>
    </row>
    <row r="338" spans="1:15" x14ac:dyDescent="0.2">
      <c r="A338" s="29">
        <f>IF('TAM Projet 1'!T329&gt;0,IF(_TauxActuariel,(('TAM Projet 1'!T329+1)^(1/_NbEchAn))-1,'TAM Projet 1'!T329/_NbEchAn),A337)</f>
        <v>1.5499999999999999E-3</v>
      </c>
      <c r="B338" s="28">
        <f>IF('TAM Projet 1'!W329&gt;0,'TAM Projet 1'!W329,IF('TAM Projet 1'!V329&gt;0,IF(AND(_EchFIXE,A338&gt;0),ROUND(('TAM Projet 1'!AD329-'TAM Projet 1'!U329)*A338/(1-((1+A338)^-'TAM Projet 1'!V329)),_NbDeci),ROUND('TAM Projet 1'!AD329/'TAM Projet 1'!V329,_NbDeci)),B337))</f>
        <v>768.98</v>
      </c>
      <c r="C338" s="10"/>
      <c r="D338" s="10"/>
      <c r="E338" s="10"/>
      <c r="F338" s="10"/>
      <c r="H338" s="29">
        <f>IF('TAM Projet 1'!AJ329&gt;0,IF(_TauxActuariel1,(('TAM Projet 1'!AJ329+1)^(1/_NbechAn1))-1,'TAM Projet 1'!AJ329/_NbechAn1),H337)</f>
        <v>8.3333333333333339E-4</v>
      </c>
      <c r="I338" s="28">
        <f>IF('TAM Projet 1'!AM329&gt;0,'TAM Projet 1'!AM329,IF('TAM Projet 1'!AL329&gt;0,IF(AND(_EchFIXE1,H338&gt;0),ROUND(('TAM Projet 1'!AT329-'TAM Projet 1'!AK329)*H338/(1-((1+H338)^-'TAM Projet 1'!AL329)),_NbDeci1),ROUND('TAM Projet 1'!AT329/'TAM Projet 1'!AL329,_NbDeci1)),I337))</f>
        <v>187406.04</v>
      </c>
      <c r="J338" s="10"/>
      <c r="K338" s="10"/>
      <c r="L338" s="10"/>
      <c r="M338" s="10"/>
      <c r="O338" s="186">
        <v>336</v>
      </c>
    </row>
    <row r="339" spans="1:15" x14ac:dyDescent="0.2">
      <c r="A339" s="29">
        <f>IF('TAM Projet 1'!T330&gt;0,IF(_TauxActuariel,(('TAM Projet 1'!T330+1)^(1/_NbEchAn))-1,'TAM Projet 1'!T330/_NbEchAn),A338)</f>
        <v>1.5499999999999999E-3</v>
      </c>
      <c r="B339" s="28">
        <f>IF('TAM Projet 1'!W330&gt;0,'TAM Projet 1'!W330,IF('TAM Projet 1'!V330&gt;0,IF(AND(_EchFIXE,A339&gt;0),ROUND(('TAM Projet 1'!AD330-'TAM Projet 1'!U330)*A339/(1-((1+A339)^-'TAM Projet 1'!V330)),_NbDeci),ROUND('TAM Projet 1'!AD330/'TAM Projet 1'!V330,_NbDeci)),B338))</f>
        <v>768.98</v>
      </c>
      <c r="C339" s="10"/>
      <c r="D339" s="10"/>
      <c r="E339" s="10"/>
      <c r="F339" s="10"/>
      <c r="H339" s="29">
        <f>IF('TAM Projet 1'!AJ330&gt;0,IF(_TauxActuariel1,(('TAM Projet 1'!AJ330+1)^(1/_NbechAn1))-1,'TAM Projet 1'!AJ330/_NbechAn1),H338)</f>
        <v>8.3333333333333339E-4</v>
      </c>
      <c r="I339" s="28">
        <f>IF('TAM Projet 1'!AM330&gt;0,'TAM Projet 1'!AM330,IF('TAM Projet 1'!AL330&gt;0,IF(AND(_EchFIXE1,H339&gt;0),ROUND(('TAM Projet 1'!AT330-'TAM Projet 1'!AK330)*H339/(1-((1+H339)^-'TAM Projet 1'!AL330)),_NbDeci1),ROUND('TAM Projet 1'!AT330/'TAM Projet 1'!AL330,_NbDeci1)),I338))</f>
        <v>187406.04</v>
      </c>
      <c r="J339" s="10"/>
      <c r="K339" s="10"/>
      <c r="L339" s="10"/>
      <c r="M339" s="10"/>
      <c r="O339" s="186">
        <v>337</v>
      </c>
    </row>
    <row r="340" spans="1:15" x14ac:dyDescent="0.2">
      <c r="A340" s="29">
        <f>IF('TAM Projet 1'!T331&gt;0,IF(_TauxActuariel,(('TAM Projet 1'!T331+1)^(1/_NbEchAn))-1,'TAM Projet 1'!T331/_NbEchAn),A339)</f>
        <v>1.5499999999999999E-3</v>
      </c>
      <c r="B340" s="28">
        <f>IF('TAM Projet 1'!W331&gt;0,'TAM Projet 1'!W331,IF('TAM Projet 1'!V331&gt;0,IF(AND(_EchFIXE,A340&gt;0),ROUND(('TAM Projet 1'!AD331-'TAM Projet 1'!U331)*A340/(1-((1+A340)^-'TAM Projet 1'!V331)),_NbDeci),ROUND('TAM Projet 1'!AD331/'TAM Projet 1'!V331,_NbDeci)),B339))</f>
        <v>768.98</v>
      </c>
      <c r="C340" s="10"/>
      <c r="D340" s="10"/>
      <c r="E340" s="10"/>
      <c r="F340" s="10"/>
      <c r="H340" s="29">
        <f>IF('TAM Projet 1'!AJ331&gt;0,IF(_TauxActuariel1,(('TAM Projet 1'!AJ331+1)^(1/_NbechAn1))-1,'TAM Projet 1'!AJ331/_NbechAn1),H339)</f>
        <v>8.3333333333333339E-4</v>
      </c>
      <c r="I340" s="28">
        <f>IF('TAM Projet 1'!AM331&gt;0,'TAM Projet 1'!AM331,IF('TAM Projet 1'!AL331&gt;0,IF(AND(_EchFIXE1,H340&gt;0),ROUND(('TAM Projet 1'!AT331-'TAM Projet 1'!AK331)*H340/(1-((1+H340)^-'TAM Projet 1'!AL331)),_NbDeci1),ROUND('TAM Projet 1'!AT331/'TAM Projet 1'!AL331,_NbDeci1)),I339))</f>
        <v>187406.04</v>
      </c>
      <c r="J340" s="10"/>
      <c r="K340" s="10"/>
      <c r="L340" s="10"/>
      <c r="M340" s="10"/>
      <c r="O340" s="186">
        <v>338</v>
      </c>
    </row>
    <row r="341" spans="1:15" x14ac:dyDescent="0.2">
      <c r="A341" s="29">
        <f>IF('TAM Projet 1'!T332&gt;0,IF(_TauxActuariel,(('TAM Projet 1'!T332+1)^(1/_NbEchAn))-1,'TAM Projet 1'!T332/_NbEchAn),A340)</f>
        <v>1.5499999999999999E-3</v>
      </c>
      <c r="B341" s="28">
        <f>IF('TAM Projet 1'!W332&gt;0,'TAM Projet 1'!W332,IF('TAM Projet 1'!V332&gt;0,IF(AND(_EchFIXE,A341&gt;0),ROUND(('TAM Projet 1'!AD332-'TAM Projet 1'!U332)*A341/(1-((1+A341)^-'TAM Projet 1'!V332)),_NbDeci),ROUND('TAM Projet 1'!AD332/'TAM Projet 1'!V332,_NbDeci)),B340))</f>
        <v>768.98</v>
      </c>
      <c r="C341" s="10"/>
      <c r="D341" s="10"/>
      <c r="E341" s="10"/>
      <c r="F341" s="10"/>
      <c r="H341" s="29">
        <f>IF('TAM Projet 1'!AJ332&gt;0,IF(_TauxActuariel1,(('TAM Projet 1'!AJ332+1)^(1/_NbechAn1))-1,'TAM Projet 1'!AJ332/_NbechAn1),H340)</f>
        <v>8.3333333333333339E-4</v>
      </c>
      <c r="I341" s="28">
        <f>IF('TAM Projet 1'!AM332&gt;0,'TAM Projet 1'!AM332,IF('TAM Projet 1'!AL332&gt;0,IF(AND(_EchFIXE1,H341&gt;0),ROUND(('TAM Projet 1'!AT332-'TAM Projet 1'!AK332)*H341/(1-((1+H341)^-'TAM Projet 1'!AL332)),_NbDeci1),ROUND('TAM Projet 1'!AT332/'TAM Projet 1'!AL332,_NbDeci1)),I340))</f>
        <v>187406.04</v>
      </c>
      <c r="J341" s="10"/>
      <c r="K341" s="10"/>
      <c r="L341" s="10"/>
      <c r="M341" s="10"/>
      <c r="O341" s="186">
        <v>339</v>
      </c>
    </row>
    <row r="342" spans="1:15" x14ac:dyDescent="0.2">
      <c r="A342" s="29">
        <f>IF('TAM Projet 1'!T333&gt;0,IF(_TauxActuariel,(('TAM Projet 1'!T333+1)^(1/_NbEchAn))-1,'TAM Projet 1'!T333/_NbEchAn),A341)</f>
        <v>1.5499999999999999E-3</v>
      </c>
      <c r="B342" s="28">
        <f>IF('TAM Projet 1'!W333&gt;0,'TAM Projet 1'!W333,IF('TAM Projet 1'!V333&gt;0,IF(AND(_EchFIXE,A342&gt;0),ROUND(('TAM Projet 1'!AD333-'TAM Projet 1'!U333)*A342/(1-((1+A342)^-'TAM Projet 1'!V333)),_NbDeci),ROUND('TAM Projet 1'!AD333/'TAM Projet 1'!V333,_NbDeci)),B341))</f>
        <v>768.98</v>
      </c>
      <c r="C342" s="10"/>
      <c r="D342" s="10"/>
      <c r="E342" s="10"/>
      <c r="F342" s="10"/>
      <c r="H342" s="29">
        <f>IF('TAM Projet 1'!AJ333&gt;0,IF(_TauxActuariel1,(('TAM Projet 1'!AJ333+1)^(1/_NbechAn1))-1,'TAM Projet 1'!AJ333/_NbechAn1),H341)</f>
        <v>8.3333333333333339E-4</v>
      </c>
      <c r="I342" s="28">
        <f>IF('TAM Projet 1'!AM333&gt;0,'TAM Projet 1'!AM333,IF('TAM Projet 1'!AL333&gt;0,IF(AND(_EchFIXE1,H342&gt;0),ROUND(('TAM Projet 1'!AT333-'TAM Projet 1'!AK333)*H342/(1-((1+H342)^-'TAM Projet 1'!AL333)),_NbDeci1),ROUND('TAM Projet 1'!AT333/'TAM Projet 1'!AL333,_NbDeci1)),I341))</f>
        <v>187406.04</v>
      </c>
      <c r="J342" s="10"/>
      <c r="K342" s="10"/>
      <c r="L342" s="10"/>
      <c r="M342" s="10"/>
      <c r="O342" s="186">
        <v>340</v>
      </c>
    </row>
    <row r="343" spans="1:15" x14ac:dyDescent="0.2">
      <c r="A343" s="29">
        <f>IF('TAM Projet 1'!T334&gt;0,IF(_TauxActuariel,(('TAM Projet 1'!T334+1)^(1/_NbEchAn))-1,'TAM Projet 1'!T334/_NbEchAn),A342)</f>
        <v>1.5499999999999999E-3</v>
      </c>
      <c r="B343" s="28">
        <f>IF('TAM Projet 1'!W334&gt;0,'TAM Projet 1'!W334,IF('TAM Projet 1'!V334&gt;0,IF(AND(_EchFIXE,A343&gt;0),ROUND(('TAM Projet 1'!AD334-'TAM Projet 1'!U334)*A343/(1-((1+A343)^-'TAM Projet 1'!V334)),_NbDeci),ROUND('TAM Projet 1'!AD334/'TAM Projet 1'!V334,_NbDeci)),B342))</f>
        <v>768.98</v>
      </c>
      <c r="C343" s="10"/>
      <c r="D343" s="10"/>
      <c r="E343" s="10"/>
      <c r="F343" s="10"/>
      <c r="H343" s="29">
        <f>IF('TAM Projet 1'!AJ334&gt;0,IF(_TauxActuariel1,(('TAM Projet 1'!AJ334+1)^(1/_NbechAn1))-1,'TAM Projet 1'!AJ334/_NbechAn1),H342)</f>
        <v>8.3333333333333339E-4</v>
      </c>
      <c r="I343" s="28">
        <f>IF('TAM Projet 1'!AM334&gt;0,'TAM Projet 1'!AM334,IF('TAM Projet 1'!AL334&gt;0,IF(AND(_EchFIXE1,H343&gt;0),ROUND(('TAM Projet 1'!AT334-'TAM Projet 1'!AK334)*H343/(1-((1+H343)^-'TAM Projet 1'!AL334)),_NbDeci1),ROUND('TAM Projet 1'!AT334/'TAM Projet 1'!AL334,_NbDeci1)),I342))</f>
        <v>187406.04</v>
      </c>
      <c r="J343" s="10"/>
      <c r="K343" s="10"/>
      <c r="L343" s="10"/>
      <c r="M343" s="10"/>
      <c r="O343" s="186">
        <v>341</v>
      </c>
    </row>
    <row r="344" spans="1:15" x14ac:dyDescent="0.2">
      <c r="A344" s="29">
        <f>IF('TAM Projet 1'!T335&gt;0,IF(_TauxActuariel,(('TAM Projet 1'!T335+1)^(1/_NbEchAn))-1,'TAM Projet 1'!T335/_NbEchAn),A343)</f>
        <v>1.5499999999999999E-3</v>
      </c>
      <c r="B344" s="28">
        <f>IF('TAM Projet 1'!W335&gt;0,'TAM Projet 1'!W335,IF('TAM Projet 1'!V335&gt;0,IF(AND(_EchFIXE,A344&gt;0),ROUND(('TAM Projet 1'!AD335-'TAM Projet 1'!U335)*A344/(1-((1+A344)^-'TAM Projet 1'!V335)),_NbDeci),ROUND('TAM Projet 1'!AD335/'TAM Projet 1'!V335,_NbDeci)),B343))</f>
        <v>768.98</v>
      </c>
      <c r="C344" s="10"/>
      <c r="D344" s="10"/>
      <c r="E344" s="10"/>
      <c r="F344" s="10"/>
      <c r="H344" s="29">
        <f>IF('TAM Projet 1'!AJ335&gt;0,IF(_TauxActuariel1,(('TAM Projet 1'!AJ335+1)^(1/_NbechAn1))-1,'TAM Projet 1'!AJ335/_NbechAn1),H343)</f>
        <v>8.3333333333333339E-4</v>
      </c>
      <c r="I344" s="28">
        <f>IF('TAM Projet 1'!AM335&gt;0,'TAM Projet 1'!AM335,IF('TAM Projet 1'!AL335&gt;0,IF(AND(_EchFIXE1,H344&gt;0),ROUND(('TAM Projet 1'!AT335-'TAM Projet 1'!AK335)*H344/(1-((1+H344)^-'TAM Projet 1'!AL335)),_NbDeci1),ROUND('TAM Projet 1'!AT335/'TAM Projet 1'!AL335,_NbDeci1)),I343))</f>
        <v>187406.04</v>
      </c>
      <c r="J344" s="10"/>
      <c r="K344" s="10"/>
      <c r="L344" s="10"/>
      <c r="M344" s="10"/>
      <c r="O344" s="186">
        <v>342</v>
      </c>
    </row>
    <row r="345" spans="1:15" x14ac:dyDescent="0.2">
      <c r="A345" s="29">
        <f>IF('TAM Projet 1'!T336&gt;0,IF(_TauxActuariel,(('TAM Projet 1'!T336+1)^(1/_NbEchAn))-1,'TAM Projet 1'!T336/_NbEchAn),A344)</f>
        <v>1.5499999999999999E-3</v>
      </c>
      <c r="B345" s="28">
        <f>IF('TAM Projet 1'!W336&gt;0,'TAM Projet 1'!W336,IF('TAM Projet 1'!V336&gt;0,IF(AND(_EchFIXE,A345&gt;0),ROUND(('TAM Projet 1'!AD336-'TAM Projet 1'!U336)*A345/(1-((1+A345)^-'TAM Projet 1'!V336)),_NbDeci),ROUND('TAM Projet 1'!AD336/'TAM Projet 1'!V336,_NbDeci)),B344))</f>
        <v>768.98</v>
      </c>
      <c r="C345" s="10"/>
      <c r="D345" s="10"/>
      <c r="E345" s="10"/>
      <c r="F345" s="10"/>
      <c r="H345" s="29">
        <f>IF('TAM Projet 1'!AJ336&gt;0,IF(_TauxActuariel1,(('TAM Projet 1'!AJ336+1)^(1/_NbechAn1))-1,'TAM Projet 1'!AJ336/_NbechAn1),H344)</f>
        <v>8.3333333333333339E-4</v>
      </c>
      <c r="I345" s="28">
        <f>IF('TAM Projet 1'!AM336&gt;0,'TAM Projet 1'!AM336,IF('TAM Projet 1'!AL336&gt;0,IF(AND(_EchFIXE1,H345&gt;0),ROUND(('TAM Projet 1'!AT336-'TAM Projet 1'!AK336)*H345/(1-((1+H345)^-'TAM Projet 1'!AL336)),_NbDeci1),ROUND('TAM Projet 1'!AT336/'TAM Projet 1'!AL336,_NbDeci1)),I344))</f>
        <v>187406.04</v>
      </c>
      <c r="J345" s="10"/>
      <c r="K345" s="10"/>
      <c r="L345" s="10"/>
      <c r="M345" s="10"/>
      <c r="O345" s="186">
        <v>343</v>
      </c>
    </row>
    <row r="346" spans="1:15" x14ac:dyDescent="0.2">
      <c r="A346" s="29">
        <f>IF('TAM Projet 1'!T337&gt;0,IF(_TauxActuariel,(('TAM Projet 1'!T337+1)^(1/_NbEchAn))-1,'TAM Projet 1'!T337/_NbEchAn),A345)</f>
        <v>1.5499999999999999E-3</v>
      </c>
      <c r="B346" s="28">
        <f>IF('TAM Projet 1'!W337&gt;0,'TAM Projet 1'!W337,IF('TAM Projet 1'!V337&gt;0,IF(AND(_EchFIXE,A346&gt;0),ROUND(('TAM Projet 1'!AD337-'TAM Projet 1'!U337)*A346/(1-((1+A346)^-'TAM Projet 1'!V337)),_NbDeci),ROUND('TAM Projet 1'!AD337/'TAM Projet 1'!V337,_NbDeci)),B345))</f>
        <v>768.98</v>
      </c>
      <c r="C346" s="10"/>
      <c r="D346" s="10"/>
      <c r="E346" s="10"/>
      <c r="F346" s="10"/>
      <c r="H346" s="29">
        <f>IF('TAM Projet 1'!AJ337&gt;0,IF(_TauxActuariel1,(('TAM Projet 1'!AJ337+1)^(1/_NbechAn1))-1,'TAM Projet 1'!AJ337/_NbechAn1),H345)</f>
        <v>8.3333333333333339E-4</v>
      </c>
      <c r="I346" s="28">
        <f>IF('TAM Projet 1'!AM337&gt;0,'TAM Projet 1'!AM337,IF('TAM Projet 1'!AL337&gt;0,IF(AND(_EchFIXE1,H346&gt;0),ROUND(('TAM Projet 1'!AT337-'TAM Projet 1'!AK337)*H346/(1-((1+H346)^-'TAM Projet 1'!AL337)),_NbDeci1),ROUND('TAM Projet 1'!AT337/'TAM Projet 1'!AL337,_NbDeci1)),I345))</f>
        <v>187406.04</v>
      </c>
      <c r="J346" s="10"/>
      <c r="K346" s="10"/>
      <c r="L346" s="10"/>
      <c r="M346" s="10"/>
      <c r="O346" s="186">
        <v>344</v>
      </c>
    </row>
    <row r="347" spans="1:15" x14ac:dyDescent="0.2">
      <c r="A347" s="29">
        <f>IF('TAM Projet 1'!T338&gt;0,IF(_TauxActuariel,(('TAM Projet 1'!T338+1)^(1/_NbEchAn))-1,'TAM Projet 1'!T338/_NbEchAn),A346)</f>
        <v>1.5499999999999999E-3</v>
      </c>
      <c r="B347" s="28">
        <f>IF('TAM Projet 1'!W338&gt;0,'TAM Projet 1'!W338,IF('TAM Projet 1'!V338&gt;0,IF(AND(_EchFIXE,A347&gt;0),ROUND(('TAM Projet 1'!AD338-'TAM Projet 1'!U338)*A347/(1-((1+A347)^-'TAM Projet 1'!V338)),_NbDeci),ROUND('TAM Projet 1'!AD338/'TAM Projet 1'!V338,_NbDeci)),B346))</f>
        <v>768.98</v>
      </c>
      <c r="C347" s="10"/>
      <c r="D347" s="10"/>
      <c r="E347" s="10"/>
      <c r="F347" s="10"/>
      <c r="H347" s="29">
        <f>IF('TAM Projet 1'!AJ338&gt;0,IF(_TauxActuariel1,(('TAM Projet 1'!AJ338+1)^(1/_NbechAn1))-1,'TAM Projet 1'!AJ338/_NbechAn1),H346)</f>
        <v>8.3333333333333339E-4</v>
      </c>
      <c r="I347" s="28">
        <f>IF('TAM Projet 1'!AM338&gt;0,'TAM Projet 1'!AM338,IF('TAM Projet 1'!AL338&gt;0,IF(AND(_EchFIXE1,H347&gt;0),ROUND(('TAM Projet 1'!AT338-'TAM Projet 1'!AK338)*H347/(1-((1+H347)^-'TAM Projet 1'!AL338)),_NbDeci1),ROUND('TAM Projet 1'!AT338/'TAM Projet 1'!AL338,_NbDeci1)),I346))</f>
        <v>187406.04</v>
      </c>
      <c r="J347" s="10"/>
      <c r="K347" s="10"/>
      <c r="L347" s="10"/>
      <c r="M347" s="10"/>
      <c r="O347" s="186">
        <v>345</v>
      </c>
    </row>
    <row r="348" spans="1:15" x14ac:dyDescent="0.2">
      <c r="A348" s="29">
        <f>IF('TAM Projet 1'!T339&gt;0,IF(_TauxActuariel,(('TAM Projet 1'!T339+1)^(1/_NbEchAn))-1,'TAM Projet 1'!T339/_NbEchAn),A347)</f>
        <v>1.5499999999999999E-3</v>
      </c>
      <c r="B348" s="28">
        <f>IF('TAM Projet 1'!W339&gt;0,'TAM Projet 1'!W339,IF('TAM Projet 1'!V339&gt;0,IF(AND(_EchFIXE,A348&gt;0),ROUND(('TAM Projet 1'!AD339-'TAM Projet 1'!U339)*A348/(1-((1+A348)^-'TAM Projet 1'!V339)),_NbDeci),ROUND('TAM Projet 1'!AD339/'TAM Projet 1'!V339,_NbDeci)),B347))</f>
        <v>768.98</v>
      </c>
      <c r="C348" s="10"/>
      <c r="D348" s="10"/>
      <c r="E348" s="10"/>
      <c r="F348" s="10"/>
      <c r="H348" s="29">
        <f>IF('TAM Projet 1'!AJ339&gt;0,IF(_TauxActuariel1,(('TAM Projet 1'!AJ339+1)^(1/_NbechAn1))-1,'TAM Projet 1'!AJ339/_NbechAn1),H347)</f>
        <v>8.3333333333333339E-4</v>
      </c>
      <c r="I348" s="28">
        <f>IF('TAM Projet 1'!AM339&gt;0,'TAM Projet 1'!AM339,IF('TAM Projet 1'!AL339&gt;0,IF(AND(_EchFIXE1,H348&gt;0),ROUND(('TAM Projet 1'!AT339-'TAM Projet 1'!AK339)*H348/(1-((1+H348)^-'TAM Projet 1'!AL339)),_NbDeci1),ROUND('TAM Projet 1'!AT339/'TAM Projet 1'!AL339,_NbDeci1)),I347))</f>
        <v>187406.04</v>
      </c>
      <c r="J348" s="10"/>
      <c r="K348" s="10"/>
      <c r="L348" s="10"/>
      <c r="M348" s="10"/>
      <c r="O348" s="186">
        <v>346</v>
      </c>
    </row>
    <row r="349" spans="1:15" x14ac:dyDescent="0.2">
      <c r="A349" s="29">
        <f>IF('TAM Projet 1'!T340&gt;0,IF(_TauxActuariel,(('TAM Projet 1'!T340+1)^(1/_NbEchAn))-1,'TAM Projet 1'!T340/_NbEchAn),A348)</f>
        <v>1.5499999999999999E-3</v>
      </c>
      <c r="B349" s="28">
        <f>IF('TAM Projet 1'!W340&gt;0,'TAM Projet 1'!W340,IF('TAM Projet 1'!V340&gt;0,IF(AND(_EchFIXE,A349&gt;0),ROUND(('TAM Projet 1'!AD340-'TAM Projet 1'!U340)*A349/(1-((1+A349)^-'TAM Projet 1'!V340)),_NbDeci),ROUND('TAM Projet 1'!AD340/'TAM Projet 1'!V340,_NbDeci)),B348))</f>
        <v>768.98</v>
      </c>
      <c r="C349" s="10"/>
      <c r="D349" s="10"/>
      <c r="E349" s="10"/>
      <c r="F349" s="10"/>
      <c r="H349" s="29">
        <f>IF('TAM Projet 1'!AJ340&gt;0,IF(_TauxActuariel1,(('TAM Projet 1'!AJ340+1)^(1/_NbechAn1))-1,'TAM Projet 1'!AJ340/_NbechAn1),H348)</f>
        <v>8.3333333333333339E-4</v>
      </c>
      <c r="I349" s="28">
        <f>IF('TAM Projet 1'!AM340&gt;0,'TAM Projet 1'!AM340,IF('TAM Projet 1'!AL340&gt;0,IF(AND(_EchFIXE1,H349&gt;0),ROUND(('TAM Projet 1'!AT340-'TAM Projet 1'!AK340)*H349/(1-((1+H349)^-'TAM Projet 1'!AL340)),_NbDeci1),ROUND('TAM Projet 1'!AT340/'TAM Projet 1'!AL340,_NbDeci1)),I348))</f>
        <v>187406.04</v>
      </c>
      <c r="J349" s="10"/>
      <c r="K349" s="10"/>
      <c r="L349" s="10"/>
      <c r="M349" s="10"/>
      <c r="O349" s="186">
        <v>347</v>
      </c>
    </row>
    <row r="350" spans="1:15" x14ac:dyDescent="0.2">
      <c r="A350" s="29">
        <f>IF('TAM Projet 1'!T341&gt;0,IF(_TauxActuariel,(('TAM Projet 1'!T341+1)^(1/_NbEchAn))-1,'TAM Projet 1'!T341/_NbEchAn),A349)</f>
        <v>1.5499999999999999E-3</v>
      </c>
      <c r="B350" s="28">
        <f>IF('TAM Projet 1'!W341&gt;0,'TAM Projet 1'!W341,IF('TAM Projet 1'!V341&gt;0,IF(AND(_EchFIXE,A350&gt;0),ROUND(('TAM Projet 1'!AD341-'TAM Projet 1'!U341)*A350/(1-((1+A350)^-'TAM Projet 1'!V341)),_NbDeci),ROUND('TAM Projet 1'!AD341/'TAM Projet 1'!V341,_NbDeci)),B349))</f>
        <v>768.98</v>
      </c>
      <c r="C350" s="10"/>
      <c r="D350" s="10"/>
      <c r="E350" s="10"/>
      <c r="F350" s="10"/>
      <c r="H350" s="29">
        <f>IF('TAM Projet 1'!AJ341&gt;0,IF(_TauxActuariel1,(('TAM Projet 1'!AJ341+1)^(1/_NbechAn1))-1,'TAM Projet 1'!AJ341/_NbechAn1),H349)</f>
        <v>8.3333333333333339E-4</v>
      </c>
      <c r="I350" s="28">
        <f>IF('TAM Projet 1'!AM341&gt;0,'TAM Projet 1'!AM341,IF('TAM Projet 1'!AL341&gt;0,IF(AND(_EchFIXE1,H350&gt;0),ROUND(('TAM Projet 1'!AT341-'TAM Projet 1'!AK341)*H350/(1-((1+H350)^-'TAM Projet 1'!AL341)),_NbDeci1),ROUND('TAM Projet 1'!AT341/'TAM Projet 1'!AL341,_NbDeci1)),I349))</f>
        <v>187406.04</v>
      </c>
      <c r="J350" s="10"/>
      <c r="K350" s="10"/>
      <c r="L350" s="10"/>
      <c r="M350" s="10"/>
      <c r="O350" s="186">
        <v>348</v>
      </c>
    </row>
    <row r="351" spans="1:15" x14ac:dyDescent="0.2">
      <c r="A351" s="29">
        <f>IF('TAM Projet 1'!T342&gt;0,IF(_TauxActuariel,(('TAM Projet 1'!T342+1)^(1/_NbEchAn))-1,'TAM Projet 1'!T342/_NbEchAn),A350)</f>
        <v>1.5499999999999999E-3</v>
      </c>
      <c r="B351" s="28">
        <f>IF('TAM Projet 1'!W342&gt;0,'TAM Projet 1'!W342,IF('TAM Projet 1'!V342&gt;0,IF(AND(_EchFIXE,A351&gt;0),ROUND(('TAM Projet 1'!AD342-'TAM Projet 1'!U342)*A351/(1-((1+A351)^-'TAM Projet 1'!V342)),_NbDeci),ROUND('TAM Projet 1'!AD342/'TAM Projet 1'!V342,_NbDeci)),B350))</f>
        <v>768.98</v>
      </c>
      <c r="C351" s="10"/>
      <c r="D351" s="10"/>
      <c r="E351" s="10"/>
      <c r="F351" s="10"/>
      <c r="H351" s="29">
        <f>IF('TAM Projet 1'!AJ342&gt;0,IF(_TauxActuariel1,(('TAM Projet 1'!AJ342+1)^(1/_NbechAn1))-1,'TAM Projet 1'!AJ342/_NbechAn1),H350)</f>
        <v>8.3333333333333339E-4</v>
      </c>
      <c r="I351" s="28">
        <f>IF('TAM Projet 1'!AM342&gt;0,'TAM Projet 1'!AM342,IF('TAM Projet 1'!AL342&gt;0,IF(AND(_EchFIXE1,H351&gt;0),ROUND(('TAM Projet 1'!AT342-'TAM Projet 1'!AK342)*H351/(1-((1+H351)^-'TAM Projet 1'!AL342)),_NbDeci1),ROUND('TAM Projet 1'!AT342/'TAM Projet 1'!AL342,_NbDeci1)),I350))</f>
        <v>187406.04</v>
      </c>
      <c r="J351" s="10"/>
      <c r="K351" s="10"/>
      <c r="L351" s="10"/>
      <c r="M351" s="10"/>
      <c r="O351" s="186">
        <v>349</v>
      </c>
    </row>
    <row r="352" spans="1:15" x14ac:dyDescent="0.2">
      <c r="A352" s="29">
        <f>IF('TAM Projet 1'!T343&gt;0,IF(_TauxActuariel,(('TAM Projet 1'!T343+1)^(1/_NbEchAn))-1,'TAM Projet 1'!T343/_NbEchAn),A351)</f>
        <v>1.5499999999999999E-3</v>
      </c>
      <c r="B352" s="28">
        <f>IF('TAM Projet 1'!W343&gt;0,'TAM Projet 1'!W343,IF('TAM Projet 1'!V343&gt;0,IF(AND(_EchFIXE,A352&gt;0),ROUND(('TAM Projet 1'!AD343-'TAM Projet 1'!U343)*A352/(1-((1+A352)^-'TAM Projet 1'!V343)),_NbDeci),ROUND('TAM Projet 1'!AD343/'TAM Projet 1'!V343,_NbDeci)),B351))</f>
        <v>768.98</v>
      </c>
      <c r="C352" s="10"/>
      <c r="D352" s="10"/>
      <c r="E352" s="10"/>
      <c r="F352" s="10"/>
      <c r="H352" s="29">
        <f>IF('TAM Projet 1'!AJ343&gt;0,IF(_TauxActuariel1,(('TAM Projet 1'!AJ343+1)^(1/_NbechAn1))-1,'TAM Projet 1'!AJ343/_NbechAn1),H351)</f>
        <v>8.3333333333333339E-4</v>
      </c>
      <c r="I352" s="28">
        <f>IF('TAM Projet 1'!AM343&gt;0,'TAM Projet 1'!AM343,IF('TAM Projet 1'!AL343&gt;0,IF(AND(_EchFIXE1,H352&gt;0),ROUND(('TAM Projet 1'!AT343-'TAM Projet 1'!AK343)*H352/(1-((1+H352)^-'TAM Projet 1'!AL343)),_NbDeci1),ROUND('TAM Projet 1'!AT343/'TAM Projet 1'!AL343,_NbDeci1)),I351))</f>
        <v>187406.04</v>
      </c>
      <c r="J352" s="10"/>
      <c r="K352" s="10"/>
      <c r="L352" s="10"/>
      <c r="M352" s="10"/>
      <c r="O352" s="186">
        <v>350</v>
      </c>
    </row>
    <row r="353" spans="1:15" x14ac:dyDescent="0.2">
      <c r="A353" s="29">
        <f>IF('TAM Projet 1'!T344&gt;0,IF(_TauxActuariel,(('TAM Projet 1'!T344+1)^(1/_NbEchAn))-1,'TAM Projet 1'!T344/_NbEchAn),A352)</f>
        <v>1.5499999999999999E-3</v>
      </c>
      <c r="B353" s="28">
        <f>IF('TAM Projet 1'!W344&gt;0,'TAM Projet 1'!W344,IF('TAM Projet 1'!V344&gt;0,IF(AND(_EchFIXE,A353&gt;0),ROUND(('TAM Projet 1'!AD344-'TAM Projet 1'!U344)*A353/(1-((1+A353)^-'TAM Projet 1'!V344)),_NbDeci),ROUND('TAM Projet 1'!AD344/'TAM Projet 1'!V344,_NbDeci)),B352))</f>
        <v>768.98</v>
      </c>
      <c r="C353" s="10"/>
      <c r="D353" s="10"/>
      <c r="E353" s="10"/>
      <c r="F353" s="10"/>
      <c r="H353" s="29">
        <f>IF('TAM Projet 1'!AJ344&gt;0,IF(_TauxActuariel1,(('TAM Projet 1'!AJ344+1)^(1/_NbechAn1))-1,'TAM Projet 1'!AJ344/_NbechAn1),H352)</f>
        <v>8.3333333333333339E-4</v>
      </c>
      <c r="I353" s="28">
        <f>IF('TAM Projet 1'!AM344&gt;0,'TAM Projet 1'!AM344,IF('TAM Projet 1'!AL344&gt;0,IF(AND(_EchFIXE1,H353&gt;0),ROUND(('TAM Projet 1'!AT344-'TAM Projet 1'!AK344)*H353/(1-((1+H353)^-'TAM Projet 1'!AL344)),_NbDeci1),ROUND('TAM Projet 1'!AT344/'TAM Projet 1'!AL344,_NbDeci1)),I352))</f>
        <v>187406.04</v>
      </c>
      <c r="J353" s="10"/>
      <c r="K353" s="10"/>
      <c r="L353" s="10"/>
      <c r="M353" s="10"/>
      <c r="O353" s="186">
        <v>351</v>
      </c>
    </row>
    <row r="354" spans="1:15" x14ac:dyDescent="0.2">
      <c r="A354" s="29">
        <f>IF('TAM Projet 1'!T345&gt;0,IF(_TauxActuariel,(('TAM Projet 1'!T345+1)^(1/_NbEchAn))-1,'TAM Projet 1'!T345/_NbEchAn),A353)</f>
        <v>1.5499999999999999E-3</v>
      </c>
      <c r="B354" s="28">
        <f>IF('TAM Projet 1'!W345&gt;0,'TAM Projet 1'!W345,IF('TAM Projet 1'!V345&gt;0,IF(AND(_EchFIXE,A354&gt;0),ROUND(('TAM Projet 1'!AD345-'TAM Projet 1'!U345)*A354/(1-((1+A354)^-'TAM Projet 1'!V345)),_NbDeci),ROUND('TAM Projet 1'!AD345/'TAM Projet 1'!V345,_NbDeci)),B353))</f>
        <v>768.98</v>
      </c>
      <c r="C354" s="10"/>
      <c r="D354" s="10"/>
      <c r="E354" s="10"/>
      <c r="F354" s="10"/>
      <c r="H354" s="29">
        <f>IF('TAM Projet 1'!AJ345&gt;0,IF(_TauxActuariel1,(('TAM Projet 1'!AJ345+1)^(1/_NbechAn1))-1,'TAM Projet 1'!AJ345/_NbechAn1),H353)</f>
        <v>8.3333333333333339E-4</v>
      </c>
      <c r="I354" s="28">
        <f>IF('TAM Projet 1'!AM345&gt;0,'TAM Projet 1'!AM345,IF('TAM Projet 1'!AL345&gt;0,IF(AND(_EchFIXE1,H354&gt;0),ROUND(('TAM Projet 1'!AT345-'TAM Projet 1'!AK345)*H354/(1-((1+H354)^-'TAM Projet 1'!AL345)),_NbDeci1),ROUND('TAM Projet 1'!AT345/'TAM Projet 1'!AL345,_NbDeci1)),I353))</f>
        <v>187406.04</v>
      </c>
      <c r="J354" s="10"/>
      <c r="K354" s="10"/>
      <c r="L354" s="10"/>
      <c r="M354" s="10"/>
      <c r="O354" s="186">
        <v>352</v>
      </c>
    </row>
    <row r="355" spans="1:15" x14ac:dyDescent="0.2">
      <c r="A355" s="29">
        <f>IF('TAM Projet 1'!T346&gt;0,IF(_TauxActuariel,(('TAM Projet 1'!T346+1)^(1/_NbEchAn))-1,'TAM Projet 1'!T346/_NbEchAn),A354)</f>
        <v>1.5499999999999999E-3</v>
      </c>
      <c r="B355" s="28">
        <f>IF('TAM Projet 1'!W346&gt;0,'TAM Projet 1'!W346,IF('TAM Projet 1'!V346&gt;0,IF(AND(_EchFIXE,A355&gt;0),ROUND(('TAM Projet 1'!AD346-'TAM Projet 1'!U346)*A355/(1-((1+A355)^-'TAM Projet 1'!V346)),_NbDeci),ROUND('TAM Projet 1'!AD346/'TAM Projet 1'!V346,_NbDeci)),B354))</f>
        <v>768.98</v>
      </c>
      <c r="C355" s="10"/>
      <c r="D355" s="10"/>
      <c r="E355" s="10"/>
      <c r="F355" s="10"/>
      <c r="H355" s="29">
        <f>IF('TAM Projet 1'!AJ346&gt;0,IF(_TauxActuariel1,(('TAM Projet 1'!AJ346+1)^(1/_NbechAn1))-1,'TAM Projet 1'!AJ346/_NbechAn1),H354)</f>
        <v>8.3333333333333339E-4</v>
      </c>
      <c r="I355" s="28">
        <f>IF('TAM Projet 1'!AM346&gt;0,'TAM Projet 1'!AM346,IF('TAM Projet 1'!AL346&gt;0,IF(AND(_EchFIXE1,H355&gt;0),ROUND(('TAM Projet 1'!AT346-'TAM Projet 1'!AK346)*H355/(1-((1+H355)^-'TAM Projet 1'!AL346)),_NbDeci1),ROUND('TAM Projet 1'!AT346/'TAM Projet 1'!AL346,_NbDeci1)),I354))</f>
        <v>187406.04</v>
      </c>
      <c r="J355" s="10"/>
      <c r="K355" s="10"/>
      <c r="L355" s="10"/>
      <c r="M355" s="10"/>
      <c r="O355" s="186">
        <v>353</v>
      </c>
    </row>
    <row r="356" spans="1:15" x14ac:dyDescent="0.2">
      <c r="A356" s="29">
        <f>IF('TAM Projet 1'!T347&gt;0,IF(_TauxActuariel,(('TAM Projet 1'!T347+1)^(1/_NbEchAn))-1,'TAM Projet 1'!T347/_NbEchAn),A355)</f>
        <v>1.5499999999999999E-3</v>
      </c>
      <c r="B356" s="28">
        <f>IF('TAM Projet 1'!W347&gt;0,'TAM Projet 1'!W347,IF('TAM Projet 1'!V347&gt;0,IF(AND(_EchFIXE,A356&gt;0),ROUND(('TAM Projet 1'!AD347-'TAM Projet 1'!U347)*A356/(1-((1+A356)^-'TAM Projet 1'!V347)),_NbDeci),ROUND('TAM Projet 1'!AD347/'TAM Projet 1'!V347,_NbDeci)),B355))</f>
        <v>768.98</v>
      </c>
      <c r="C356" s="10"/>
      <c r="D356" s="10"/>
      <c r="E356" s="10"/>
      <c r="F356" s="10"/>
      <c r="H356" s="29">
        <f>IF('TAM Projet 1'!AJ347&gt;0,IF(_TauxActuariel1,(('TAM Projet 1'!AJ347+1)^(1/_NbechAn1))-1,'TAM Projet 1'!AJ347/_NbechAn1),H355)</f>
        <v>8.3333333333333339E-4</v>
      </c>
      <c r="I356" s="28">
        <f>IF('TAM Projet 1'!AM347&gt;0,'TAM Projet 1'!AM347,IF('TAM Projet 1'!AL347&gt;0,IF(AND(_EchFIXE1,H356&gt;0),ROUND(('TAM Projet 1'!AT347-'TAM Projet 1'!AK347)*H356/(1-((1+H356)^-'TAM Projet 1'!AL347)),_NbDeci1),ROUND('TAM Projet 1'!AT347/'TAM Projet 1'!AL347,_NbDeci1)),I355))</f>
        <v>187406.04</v>
      </c>
      <c r="J356" s="10"/>
      <c r="K356" s="10"/>
      <c r="L356" s="10"/>
      <c r="M356" s="10"/>
      <c r="O356" s="186">
        <v>354</v>
      </c>
    </row>
    <row r="357" spans="1:15" x14ac:dyDescent="0.2">
      <c r="A357" s="29">
        <f>IF('TAM Projet 1'!T348&gt;0,IF(_TauxActuariel,(('TAM Projet 1'!T348+1)^(1/_NbEchAn))-1,'TAM Projet 1'!T348/_NbEchAn),A356)</f>
        <v>1.5499999999999999E-3</v>
      </c>
      <c r="B357" s="28">
        <f>IF('TAM Projet 1'!W348&gt;0,'TAM Projet 1'!W348,IF('TAM Projet 1'!V348&gt;0,IF(AND(_EchFIXE,A357&gt;0),ROUND(('TAM Projet 1'!AD348-'TAM Projet 1'!U348)*A357/(1-((1+A357)^-'TAM Projet 1'!V348)),_NbDeci),ROUND('TAM Projet 1'!AD348/'TAM Projet 1'!V348,_NbDeci)),B356))</f>
        <v>768.98</v>
      </c>
      <c r="C357" s="10"/>
      <c r="D357" s="10"/>
      <c r="E357" s="10"/>
      <c r="F357" s="10"/>
      <c r="H357" s="29">
        <f>IF('TAM Projet 1'!AJ348&gt;0,IF(_TauxActuariel1,(('TAM Projet 1'!AJ348+1)^(1/_NbechAn1))-1,'TAM Projet 1'!AJ348/_NbechAn1),H356)</f>
        <v>8.3333333333333339E-4</v>
      </c>
      <c r="I357" s="28">
        <f>IF('TAM Projet 1'!AM348&gt;0,'TAM Projet 1'!AM348,IF('TAM Projet 1'!AL348&gt;0,IF(AND(_EchFIXE1,H357&gt;0),ROUND(('TAM Projet 1'!AT348-'TAM Projet 1'!AK348)*H357/(1-((1+H357)^-'TAM Projet 1'!AL348)),_NbDeci1),ROUND('TAM Projet 1'!AT348/'TAM Projet 1'!AL348,_NbDeci1)),I356))</f>
        <v>187406.04</v>
      </c>
      <c r="J357" s="10"/>
      <c r="K357" s="10"/>
      <c r="L357" s="10"/>
      <c r="M357" s="10"/>
      <c r="O357" s="186">
        <v>355</v>
      </c>
    </row>
    <row r="358" spans="1:15" x14ac:dyDescent="0.2">
      <c r="A358" s="29">
        <f>IF('TAM Projet 1'!T349&gt;0,IF(_TauxActuariel,(('TAM Projet 1'!T349+1)^(1/_NbEchAn))-1,'TAM Projet 1'!T349/_NbEchAn),A357)</f>
        <v>1.5499999999999999E-3</v>
      </c>
      <c r="B358" s="28">
        <f>IF('TAM Projet 1'!W349&gt;0,'TAM Projet 1'!W349,IF('TAM Projet 1'!V349&gt;0,IF(AND(_EchFIXE,A358&gt;0),ROUND(('TAM Projet 1'!AD349-'TAM Projet 1'!U349)*A358/(1-((1+A358)^-'TAM Projet 1'!V349)),_NbDeci),ROUND('TAM Projet 1'!AD349/'TAM Projet 1'!V349,_NbDeci)),B357))</f>
        <v>768.98</v>
      </c>
      <c r="C358" s="10"/>
      <c r="D358" s="10"/>
      <c r="E358" s="10"/>
      <c r="F358" s="10"/>
      <c r="H358" s="29">
        <f>IF('TAM Projet 1'!AJ349&gt;0,IF(_TauxActuariel1,(('TAM Projet 1'!AJ349+1)^(1/_NbechAn1))-1,'TAM Projet 1'!AJ349/_NbechAn1),H357)</f>
        <v>8.3333333333333339E-4</v>
      </c>
      <c r="I358" s="28">
        <f>IF('TAM Projet 1'!AM349&gt;0,'TAM Projet 1'!AM349,IF('TAM Projet 1'!AL349&gt;0,IF(AND(_EchFIXE1,H358&gt;0),ROUND(('TAM Projet 1'!AT349-'TAM Projet 1'!AK349)*H358/(1-((1+H358)^-'TAM Projet 1'!AL349)),_NbDeci1),ROUND('TAM Projet 1'!AT349/'TAM Projet 1'!AL349,_NbDeci1)),I357))</f>
        <v>187406.04</v>
      </c>
      <c r="J358" s="10"/>
      <c r="K358" s="10"/>
      <c r="L358" s="10"/>
      <c r="M358" s="10"/>
      <c r="O358" s="186">
        <v>356</v>
      </c>
    </row>
    <row r="359" spans="1:15" x14ac:dyDescent="0.2">
      <c r="A359" s="29">
        <f>IF('TAM Projet 1'!T350&gt;0,IF(_TauxActuariel,(('TAM Projet 1'!T350+1)^(1/_NbEchAn))-1,'TAM Projet 1'!T350/_NbEchAn),A358)</f>
        <v>1.5499999999999999E-3</v>
      </c>
      <c r="B359" s="28">
        <f>IF('TAM Projet 1'!W350&gt;0,'TAM Projet 1'!W350,IF('TAM Projet 1'!V350&gt;0,IF(AND(_EchFIXE,A359&gt;0),ROUND(('TAM Projet 1'!AD350-'TAM Projet 1'!U350)*A359/(1-((1+A359)^-'TAM Projet 1'!V350)),_NbDeci),ROUND('TAM Projet 1'!AD350/'TAM Projet 1'!V350,_NbDeci)),B358))</f>
        <v>768.98</v>
      </c>
      <c r="C359" s="10"/>
      <c r="D359" s="10"/>
      <c r="E359" s="10"/>
      <c r="F359" s="10"/>
      <c r="H359" s="29">
        <f>IF('TAM Projet 1'!AJ350&gt;0,IF(_TauxActuariel1,(('TAM Projet 1'!AJ350+1)^(1/_NbechAn1))-1,'TAM Projet 1'!AJ350/_NbechAn1),H358)</f>
        <v>8.3333333333333339E-4</v>
      </c>
      <c r="I359" s="28">
        <f>IF('TAM Projet 1'!AM350&gt;0,'TAM Projet 1'!AM350,IF('TAM Projet 1'!AL350&gt;0,IF(AND(_EchFIXE1,H359&gt;0),ROUND(('TAM Projet 1'!AT350-'TAM Projet 1'!AK350)*H359/(1-((1+H359)^-'TAM Projet 1'!AL350)),_NbDeci1),ROUND('TAM Projet 1'!AT350/'TAM Projet 1'!AL350,_NbDeci1)),I358))</f>
        <v>187406.04</v>
      </c>
      <c r="J359" s="10"/>
      <c r="K359" s="10"/>
      <c r="L359" s="10"/>
      <c r="M359" s="10"/>
      <c r="O359" s="186">
        <v>357</v>
      </c>
    </row>
    <row r="360" spans="1:15" x14ac:dyDescent="0.2">
      <c r="A360" s="29">
        <f>IF('TAM Projet 1'!T351&gt;0,IF(_TauxActuariel,(('TAM Projet 1'!T351+1)^(1/_NbEchAn))-1,'TAM Projet 1'!T351/_NbEchAn),A359)</f>
        <v>1.5499999999999999E-3</v>
      </c>
      <c r="B360" s="28">
        <f>IF('TAM Projet 1'!W351&gt;0,'TAM Projet 1'!W351,IF('TAM Projet 1'!V351&gt;0,IF(AND(_EchFIXE,A360&gt;0),ROUND(('TAM Projet 1'!AD351-'TAM Projet 1'!U351)*A360/(1-((1+A360)^-'TAM Projet 1'!V351)),_NbDeci),ROUND('TAM Projet 1'!AD351/'TAM Projet 1'!V351,_NbDeci)),B359))</f>
        <v>768.98</v>
      </c>
      <c r="C360" s="10"/>
      <c r="D360" s="10"/>
      <c r="E360" s="10"/>
      <c r="F360" s="10"/>
      <c r="H360" s="29">
        <f>IF('TAM Projet 1'!AJ351&gt;0,IF(_TauxActuariel1,(('TAM Projet 1'!AJ351+1)^(1/_NbechAn1))-1,'TAM Projet 1'!AJ351/_NbechAn1),H359)</f>
        <v>8.3333333333333339E-4</v>
      </c>
      <c r="I360" s="28">
        <f>IF('TAM Projet 1'!AM351&gt;0,'TAM Projet 1'!AM351,IF('TAM Projet 1'!AL351&gt;0,IF(AND(_EchFIXE1,H360&gt;0),ROUND(('TAM Projet 1'!AT351-'TAM Projet 1'!AK351)*H360/(1-((1+H360)^-'TAM Projet 1'!AL351)),_NbDeci1),ROUND('TAM Projet 1'!AT351/'TAM Projet 1'!AL351,_NbDeci1)),I359))</f>
        <v>187406.04</v>
      </c>
      <c r="J360" s="10"/>
      <c r="K360" s="10"/>
      <c r="L360" s="10"/>
      <c r="M360" s="10"/>
      <c r="O360" s="186">
        <v>358</v>
      </c>
    </row>
    <row r="361" spans="1:15" x14ac:dyDescent="0.2">
      <c r="A361" s="29">
        <f>IF('TAM Projet 1'!T352&gt;0,IF(_TauxActuariel,(('TAM Projet 1'!T352+1)^(1/_NbEchAn))-1,'TAM Projet 1'!T352/_NbEchAn),A360)</f>
        <v>1.5499999999999999E-3</v>
      </c>
      <c r="B361" s="28">
        <f>IF('TAM Projet 1'!W352&gt;0,'TAM Projet 1'!W352,IF('TAM Projet 1'!V352&gt;0,IF(AND(_EchFIXE,A361&gt;0),ROUND(('TAM Projet 1'!AD352-'TAM Projet 1'!U352)*A361/(1-((1+A361)^-'TAM Projet 1'!V352)),_NbDeci),ROUND('TAM Projet 1'!AD352/'TAM Projet 1'!V352,_NbDeci)),B360))</f>
        <v>768.98</v>
      </c>
      <c r="C361" s="10"/>
      <c r="D361" s="10"/>
      <c r="E361" s="10"/>
      <c r="F361" s="10"/>
      <c r="H361" s="29">
        <f>IF('TAM Projet 1'!AJ352&gt;0,IF(_TauxActuariel1,(('TAM Projet 1'!AJ352+1)^(1/_NbechAn1))-1,'TAM Projet 1'!AJ352/_NbechAn1),H360)</f>
        <v>8.3333333333333339E-4</v>
      </c>
      <c r="I361" s="28">
        <f>IF('TAM Projet 1'!AM352&gt;0,'TAM Projet 1'!AM352,IF('TAM Projet 1'!AL352&gt;0,IF(AND(_EchFIXE1,H361&gt;0),ROUND(('TAM Projet 1'!AT352-'TAM Projet 1'!AK352)*H361/(1-((1+H361)^-'TAM Projet 1'!AL352)),_NbDeci1),ROUND('TAM Projet 1'!AT352/'TAM Projet 1'!AL352,_NbDeci1)),I360))</f>
        <v>187406.04</v>
      </c>
      <c r="J361" s="10"/>
      <c r="K361" s="10"/>
      <c r="L361" s="10"/>
      <c r="M361" s="10"/>
      <c r="O361" s="186">
        <v>359</v>
      </c>
    </row>
    <row r="362" spans="1:15" x14ac:dyDescent="0.2">
      <c r="A362" s="29">
        <f>IF('TAM Projet 1'!T353&gt;0,IF(_TauxActuariel,(('TAM Projet 1'!T353+1)^(1/_NbEchAn))-1,'TAM Projet 1'!T353/_NbEchAn),A361)</f>
        <v>1.5499999999999999E-3</v>
      </c>
      <c r="B362" s="28">
        <f>IF('TAM Projet 1'!W353&gt;0,'TAM Projet 1'!W353,IF('TAM Projet 1'!V353&gt;0,IF(AND(_EchFIXE,A362&gt;0),ROUND(('TAM Projet 1'!AD353-'TAM Projet 1'!U353)*A362/(1-((1+A362)^-'TAM Projet 1'!V353)),_NbDeci),ROUND('TAM Projet 1'!AD353/'TAM Projet 1'!V353,_NbDeci)),B361))</f>
        <v>768.98</v>
      </c>
      <c r="C362" s="10"/>
      <c r="D362" s="10"/>
      <c r="E362" s="10"/>
      <c r="F362" s="10"/>
      <c r="H362" s="29">
        <f>IF('TAM Projet 1'!AJ353&gt;0,IF(_TauxActuariel1,(('TAM Projet 1'!AJ353+1)^(1/_NbechAn1))-1,'TAM Projet 1'!AJ353/_NbechAn1),H361)</f>
        <v>8.3333333333333339E-4</v>
      </c>
      <c r="I362" s="28">
        <f>IF('TAM Projet 1'!AM353&gt;0,'TAM Projet 1'!AM353,IF('TAM Projet 1'!AL353&gt;0,IF(AND(_EchFIXE1,H362&gt;0),ROUND(('TAM Projet 1'!AT353-'TAM Projet 1'!AK353)*H362/(1-((1+H362)^-'TAM Projet 1'!AL353)),_NbDeci1),ROUND('TAM Projet 1'!AT353/'TAM Projet 1'!AL353,_NbDeci1)),I361))</f>
        <v>187406.04</v>
      </c>
      <c r="J362" s="10"/>
      <c r="K362" s="10"/>
      <c r="L362" s="10"/>
      <c r="M362" s="10"/>
      <c r="O362" s="186">
        <v>360</v>
      </c>
    </row>
    <row r="363" spans="1:15" x14ac:dyDescent="0.2">
      <c r="A363" s="29">
        <f>IF('TAM Projet 1'!T354&gt;0,IF(_TauxActuariel,(('TAM Projet 1'!T354+1)^(1/_NbEchAn))-1,'TAM Projet 1'!T354/_NbEchAn),A362)</f>
        <v>1.5499999999999999E-3</v>
      </c>
      <c r="B363" s="28">
        <f>IF('TAM Projet 1'!W354&gt;0,'TAM Projet 1'!W354,IF('TAM Projet 1'!V354&gt;0,IF(AND(_EchFIXE,A363&gt;0),ROUND(('TAM Projet 1'!AD354-'TAM Projet 1'!U354)*A363/(1-((1+A363)^-'TAM Projet 1'!V354)),_NbDeci),ROUND('TAM Projet 1'!AD354/'TAM Projet 1'!V354,_NbDeci)),B362))</f>
        <v>768.98</v>
      </c>
      <c r="C363" s="10"/>
      <c r="D363" s="10"/>
      <c r="E363" s="10"/>
      <c r="F363" s="10"/>
      <c r="H363" s="29">
        <f>IF('TAM Projet 1'!AJ354&gt;0,IF(_TauxActuariel1,(('TAM Projet 1'!AJ354+1)^(1/_NbechAn1))-1,'TAM Projet 1'!AJ354/_NbechAn1),H362)</f>
        <v>8.3333333333333339E-4</v>
      </c>
      <c r="I363" s="28">
        <f>IF('TAM Projet 1'!AM354&gt;0,'TAM Projet 1'!AM354,IF('TAM Projet 1'!AL354&gt;0,IF(AND(_EchFIXE1,H363&gt;0),ROUND(('TAM Projet 1'!AT354-'TAM Projet 1'!AK354)*H363/(1-((1+H363)^-'TAM Projet 1'!AL354)),_NbDeci1),ROUND('TAM Projet 1'!AT354/'TAM Projet 1'!AL354,_NbDeci1)),I362))</f>
        <v>187406.04</v>
      </c>
      <c r="J363" s="10"/>
      <c r="K363" s="10"/>
      <c r="L363" s="10"/>
      <c r="M363" s="10"/>
      <c r="O363" s="186">
        <v>361</v>
      </c>
    </row>
    <row r="364" spans="1:15" x14ac:dyDescent="0.2">
      <c r="A364" s="29">
        <f>IF('TAM Projet 1'!T355&gt;0,IF(_TauxActuariel,(('TAM Projet 1'!T355+1)^(1/_NbEchAn))-1,'TAM Projet 1'!T355/_NbEchAn),A363)</f>
        <v>1.5499999999999999E-3</v>
      </c>
      <c r="B364" s="28">
        <f>IF('TAM Projet 1'!W355&gt;0,'TAM Projet 1'!W355,IF('TAM Projet 1'!V355&gt;0,IF(AND(_EchFIXE,A364&gt;0),ROUND(('TAM Projet 1'!AD355-'TAM Projet 1'!U355)*A364/(1-((1+A364)^-'TAM Projet 1'!V355)),_NbDeci),ROUND('TAM Projet 1'!AD355/'TAM Projet 1'!V355,_NbDeci)),B363))</f>
        <v>768.98</v>
      </c>
      <c r="C364" s="10"/>
      <c r="D364" s="10"/>
      <c r="E364" s="10"/>
      <c r="F364" s="10"/>
      <c r="H364" s="29">
        <f>IF('TAM Projet 1'!AJ355&gt;0,IF(_TauxActuariel1,(('TAM Projet 1'!AJ355+1)^(1/_NbechAn1))-1,'TAM Projet 1'!AJ355/_NbechAn1),H363)</f>
        <v>8.3333333333333339E-4</v>
      </c>
      <c r="I364" s="28">
        <f>IF('TAM Projet 1'!AM355&gt;0,'TAM Projet 1'!AM355,IF('TAM Projet 1'!AL355&gt;0,IF(AND(_EchFIXE1,H364&gt;0),ROUND(('TAM Projet 1'!AT355-'TAM Projet 1'!AK355)*H364/(1-((1+H364)^-'TAM Projet 1'!AL355)),_NbDeci1),ROUND('TAM Projet 1'!AT355/'TAM Projet 1'!AL355,_NbDeci1)),I363))</f>
        <v>187406.04</v>
      </c>
      <c r="J364" s="10"/>
      <c r="K364" s="10"/>
      <c r="L364" s="10"/>
      <c r="M364" s="10"/>
      <c r="O364" s="186">
        <v>362</v>
      </c>
    </row>
    <row r="365" spans="1:15" x14ac:dyDescent="0.2">
      <c r="A365" s="29">
        <f>IF('TAM Projet 1'!T356&gt;0,IF(_TauxActuariel,(('TAM Projet 1'!T356+1)^(1/_NbEchAn))-1,'TAM Projet 1'!T356/_NbEchAn),A364)</f>
        <v>1.5499999999999999E-3</v>
      </c>
      <c r="B365" s="28">
        <f>IF('TAM Projet 1'!W356&gt;0,'TAM Projet 1'!W356,IF('TAM Projet 1'!V356&gt;0,IF(AND(_EchFIXE,A365&gt;0),ROUND(('TAM Projet 1'!AD356-'TAM Projet 1'!U356)*A365/(1-((1+A365)^-'TAM Projet 1'!V356)),_NbDeci),ROUND('TAM Projet 1'!AD356/'TAM Projet 1'!V356,_NbDeci)),B364))</f>
        <v>768.98</v>
      </c>
      <c r="C365" s="10"/>
      <c r="D365" s="10"/>
      <c r="E365" s="10"/>
      <c r="F365" s="10"/>
      <c r="H365" s="29">
        <f>IF('TAM Projet 1'!AJ356&gt;0,IF(_TauxActuariel1,(('TAM Projet 1'!AJ356+1)^(1/_NbechAn1))-1,'TAM Projet 1'!AJ356/_NbechAn1),H364)</f>
        <v>8.3333333333333339E-4</v>
      </c>
      <c r="I365" s="28">
        <f>IF('TAM Projet 1'!AM356&gt;0,'TAM Projet 1'!AM356,IF('TAM Projet 1'!AL356&gt;0,IF(AND(_EchFIXE1,H365&gt;0),ROUND(('TAM Projet 1'!AT356-'TAM Projet 1'!AK356)*H365/(1-((1+H365)^-'TAM Projet 1'!AL356)),_NbDeci1),ROUND('TAM Projet 1'!AT356/'TAM Projet 1'!AL356,_NbDeci1)),I364))</f>
        <v>187406.04</v>
      </c>
      <c r="J365" s="10"/>
      <c r="K365" s="10"/>
      <c r="L365" s="10"/>
      <c r="M365" s="10"/>
      <c r="O365" s="186">
        <v>363</v>
      </c>
    </row>
    <row r="366" spans="1:15" x14ac:dyDescent="0.2">
      <c r="A366" s="29">
        <f>IF('TAM Projet 1'!T357&gt;0,IF(_TauxActuariel,(('TAM Projet 1'!T357+1)^(1/_NbEchAn))-1,'TAM Projet 1'!T357/_NbEchAn),A365)</f>
        <v>1.5499999999999999E-3</v>
      </c>
      <c r="B366" s="28">
        <f>IF('TAM Projet 1'!W357&gt;0,'TAM Projet 1'!W357,IF('TAM Projet 1'!V357&gt;0,IF(AND(_EchFIXE,A366&gt;0),ROUND(('TAM Projet 1'!AD357-'TAM Projet 1'!U357)*A366/(1-((1+A366)^-'TAM Projet 1'!V357)),_NbDeci),ROUND('TAM Projet 1'!AD357/'TAM Projet 1'!V357,_NbDeci)),B365))</f>
        <v>768.98</v>
      </c>
      <c r="C366" s="10"/>
      <c r="D366" s="10"/>
      <c r="E366" s="10"/>
      <c r="F366" s="10"/>
      <c r="H366" s="29">
        <f>IF('TAM Projet 1'!AJ357&gt;0,IF(_TauxActuariel1,(('TAM Projet 1'!AJ357+1)^(1/_NbechAn1))-1,'TAM Projet 1'!AJ357/_NbechAn1),H365)</f>
        <v>8.3333333333333339E-4</v>
      </c>
      <c r="I366" s="28">
        <f>IF('TAM Projet 1'!AM357&gt;0,'TAM Projet 1'!AM357,IF('TAM Projet 1'!AL357&gt;0,IF(AND(_EchFIXE1,H366&gt;0),ROUND(('TAM Projet 1'!AT357-'TAM Projet 1'!AK357)*H366/(1-((1+H366)^-'TAM Projet 1'!AL357)),_NbDeci1),ROUND('TAM Projet 1'!AT357/'TAM Projet 1'!AL357,_NbDeci1)),I365))</f>
        <v>187406.04</v>
      </c>
      <c r="J366" s="10"/>
      <c r="K366" s="10"/>
      <c r="L366" s="10"/>
      <c r="M366" s="10"/>
      <c r="O366" s="186">
        <v>364</v>
      </c>
    </row>
    <row r="367" spans="1:15" x14ac:dyDescent="0.2">
      <c r="A367" s="29">
        <f>IF('TAM Projet 1'!T358&gt;0,IF(_TauxActuariel,(('TAM Projet 1'!T358+1)^(1/_NbEchAn))-1,'TAM Projet 1'!T358/_NbEchAn),A366)</f>
        <v>1.5499999999999999E-3</v>
      </c>
      <c r="B367" s="28">
        <f>IF('TAM Projet 1'!W358&gt;0,'TAM Projet 1'!W358,IF('TAM Projet 1'!V358&gt;0,IF(AND(_EchFIXE,A367&gt;0),ROUND(('TAM Projet 1'!AD358-'TAM Projet 1'!U358)*A367/(1-((1+A367)^-'TAM Projet 1'!V358)),_NbDeci),ROUND('TAM Projet 1'!AD358/'TAM Projet 1'!V358,_NbDeci)),B366))</f>
        <v>768.98</v>
      </c>
      <c r="C367" s="10"/>
      <c r="D367" s="10"/>
      <c r="E367" s="10"/>
      <c r="F367" s="10"/>
      <c r="H367" s="29">
        <f>IF('TAM Projet 1'!AJ358&gt;0,IF(_TauxActuariel1,(('TAM Projet 1'!AJ358+1)^(1/_NbechAn1))-1,'TAM Projet 1'!AJ358/_NbechAn1),H366)</f>
        <v>8.3333333333333339E-4</v>
      </c>
      <c r="I367" s="28">
        <f>IF('TAM Projet 1'!AM358&gt;0,'TAM Projet 1'!AM358,IF('TAM Projet 1'!AL358&gt;0,IF(AND(_EchFIXE1,H367&gt;0),ROUND(('TAM Projet 1'!AT358-'TAM Projet 1'!AK358)*H367/(1-((1+H367)^-'TAM Projet 1'!AL358)),_NbDeci1),ROUND('TAM Projet 1'!AT358/'TAM Projet 1'!AL358,_NbDeci1)),I366))</f>
        <v>187406.04</v>
      </c>
      <c r="J367" s="10"/>
      <c r="K367" s="10"/>
      <c r="L367" s="10"/>
      <c r="M367" s="10"/>
      <c r="O367" s="186">
        <v>365</v>
      </c>
    </row>
    <row r="368" spans="1:15" x14ac:dyDescent="0.2">
      <c r="A368" s="29">
        <f>IF('TAM Projet 1'!T359&gt;0,IF(_TauxActuariel,(('TAM Projet 1'!T359+1)^(1/_NbEchAn))-1,'TAM Projet 1'!T359/_NbEchAn),A367)</f>
        <v>1.5499999999999999E-3</v>
      </c>
      <c r="B368" s="28">
        <f>IF('TAM Projet 1'!W359&gt;0,'TAM Projet 1'!W359,IF('TAM Projet 1'!V359&gt;0,IF(AND(_EchFIXE,A368&gt;0),ROUND(('TAM Projet 1'!AD359-'TAM Projet 1'!U359)*A368/(1-((1+A368)^-'TAM Projet 1'!V359)),_NbDeci),ROUND('TAM Projet 1'!AD359/'TAM Projet 1'!V359,_NbDeci)),B367))</f>
        <v>768.98</v>
      </c>
      <c r="C368" s="10"/>
      <c r="D368" s="10"/>
      <c r="E368" s="10"/>
      <c r="F368" s="10"/>
      <c r="H368" s="29">
        <f>IF('TAM Projet 1'!AJ359&gt;0,IF(_TauxActuariel1,(('TAM Projet 1'!AJ359+1)^(1/_NbechAn1))-1,'TAM Projet 1'!AJ359/_NbechAn1),H367)</f>
        <v>8.3333333333333339E-4</v>
      </c>
      <c r="I368" s="28">
        <f>IF('TAM Projet 1'!AM359&gt;0,'TAM Projet 1'!AM359,IF('TAM Projet 1'!AL359&gt;0,IF(AND(_EchFIXE1,H368&gt;0),ROUND(('TAM Projet 1'!AT359-'TAM Projet 1'!AK359)*H368/(1-((1+H368)^-'TAM Projet 1'!AL359)),_NbDeci1),ROUND('TAM Projet 1'!AT359/'TAM Projet 1'!AL359,_NbDeci1)),I367))</f>
        <v>187406.04</v>
      </c>
      <c r="J368" s="10"/>
      <c r="K368" s="10"/>
      <c r="L368" s="10"/>
      <c r="M368" s="10"/>
      <c r="O368" s="186">
        <v>366</v>
      </c>
    </row>
    <row r="369" spans="1:15" x14ac:dyDescent="0.2">
      <c r="A369" s="29">
        <f>IF('TAM Projet 1'!T360&gt;0,IF(_TauxActuariel,(('TAM Projet 1'!T360+1)^(1/_NbEchAn))-1,'TAM Projet 1'!T360/_NbEchAn),A368)</f>
        <v>1.5499999999999999E-3</v>
      </c>
      <c r="B369" s="28">
        <f>IF('TAM Projet 1'!W360&gt;0,'TAM Projet 1'!W360,IF('TAM Projet 1'!V360&gt;0,IF(AND(_EchFIXE,A369&gt;0),ROUND(('TAM Projet 1'!AD360-'TAM Projet 1'!U360)*A369/(1-((1+A369)^-'TAM Projet 1'!V360)),_NbDeci),ROUND('TAM Projet 1'!AD360/'TAM Projet 1'!V360,_NbDeci)),B368))</f>
        <v>768.98</v>
      </c>
      <c r="C369" s="10"/>
      <c r="D369" s="10"/>
      <c r="E369" s="10"/>
      <c r="F369" s="10"/>
      <c r="H369" s="29">
        <f>IF('TAM Projet 1'!AJ360&gt;0,IF(_TauxActuariel1,(('TAM Projet 1'!AJ360+1)^(1/_NbechAn1))-1,'TAM Projet 1'!AJ360/_NbechAn1),H368)</f>
        <v>8.3333333333333339E-4</v>
      </c>
      <c r="I369" s="28">
        <f>IF('TAM Projet 1'!AM360&gt;0,'TAM Projet 1'!AM360,IF('TAM Projet 1'!AL360&gt;0,IF(AND(_EchFIXE1,H369&gt;0),ROUND(('TAM Projet 1'!AT360-'TAM Projet 1'!AK360)*H369/(1-((1+H369)^-'TAM Projet 1'!AL360)),_NbDeci1),ROUND('TAM Projet 1'!AT360/'TAM Projet 1'!AL360,_NbDeci1)),I368))</f>
        <v>187406.04</v>
      </c>
      <c r="J369" s="10"/>
      <c r="K369" s="10"/>
      <c r="L369" s="10"/>
      <c r="M369" s="10"/>
      <c r="O369" s="186">
        <v>367</v>
      </c>
    </row>
    <row r="370" spans="1:15" x14ac:dyDescent="0.2">
      <c r="A370" s="29">
        <f>IF('TAM Projet 1'!T361&gt;0,IF(_TauxActuariel,(('TAM Projet 1'!T361+1)^(1/_NbEchAn))-1,'TAM Projet 1'!T361/_NbEchAn),A369)</f>
        <v>1.5499999999999999E-3</v>
      </c>
      <c r="B370" s="28">
        <f>IF('TAM Projet 1'!W361&gt;0,'TAM Projet 1'!W361,IF('TAM Projet 1'!V361&gt;0,IF(AND(_EchFIXE,A370&gt;0),ROUND(('TAM Projet 1'!AD361-'TAM Projet 1'!U361)*A370/(1-((1+A370)^-'TAM Projet 1'!V361)),_NbDeci),ROUND('TAM Projet 1'!AD361/'TAM Projet 1'!V361,_NbDeci)),B369))</f>
        <v>768.98</v>
      </c>
      <c r="C370" s="10"/>
      <c r="D370" s="10"/>
      <c r="E370" s="10"/>
      <c r="F370" s="10"/>
      <c r="H370" s="29">
        <f>IF('TAM Projet 1'!AJ361&gt;0,IF(_TauxActuariel1,(('TAM Projet 1'!AJ361+1)^(1/_NbechAn1))-1,'TAM Projet 1'!AJ361/_NbechAn1),H369)</f>
        <v>8.3333333333333339E-4</v>
      </c>
      <c r="I370" s="28">
        <f>IF('TAM Projet 1'!AM361&gt;0,'TAM Projet 1'!AM361,IF('TAM Projet 1'!AL361&gt;0,IF(AND(_EchFIXE1,H370&gt;0),ROUND(('TAM Projet 1'!AT361-'TAM Projet 1'!AK361)*H370/(1-((1+H370)^-'TAM Projet 1'!AL361)),_NbDeci1),ROUND('TAM Projet 1'!AT361/'TAM Projet 1'!AL361,_NbDeci1)),I369))</f>
        <v>187406.04</v>
      </c>
      <c r="J370" s="10"/>
      <c r="K370" s="10"/>
      <c r="L370" s="10"/>
      <c r="M370" s="10"/>
      <c r="O370" s="186">
        <v>368</v>
      </c>
    </row>
    <row r="371" spans="1:15" x14ac:dyDescent="0.2">
      <c r="A371" s="29">
        <f>IF('TAM Projet 1'!T362&gt;0,IF(_TauxActuariel,(('TAM Projet 1'!T362+1)^(1/_NbEchAn))-1,'TAM Projet 1'!T362/_NbEchAn),A370)</f>
        <v>1.5499999999999999E-3</v>
      </c>
      <c r="B371" s="28">
        <f>IF('TAM Projet 1'!W362&gt;0,'TAM Projet 1'!W362,IF('TAM Projet 1'!V362&gt;0,IF(AND(_EchFIXE,A371&gt;0),ROUND(('TAM Projet 1'!AD362-'TAM Projet 1'!U362)*A371/(1-((1+A371)^-'TAM Projet 1'!V362)),_NbDeci),ROUND('TAM Projet 1'!AD362/'TAM Projet 1'!V362,_NbDeci)),B370))</f>
        <v>768.98</v>
      </c>
      <c r="C371" s="10"/>
      <c r="D371" s="10"/>
      <c r="E371" s="10"/>
      <c r="F371" s="10"/>
      <c r="H371" s="29">
        <f>IF('TAM Projet 1'!AJ362&gt;0,IF(_TauxActuariel1,(('TAM Projet 1'!AJ362+1)^(1/_NbechAn1))-1,'TAM Projet 1'!AJ362/_NbechAn1),H370)</f>
        <v>8.3333333333333339E-4</v>
      </c>
      <c r="I371" s="28">
        <f>IF('TAM Projet 1'!AM362&gt;0,'TAM Projet 1'!AM362,IF('TAM Projet 1'!AL362&gt;0,IF(AND(_EchFIXE1,H371&gt;0),ROUND(('TAM Projet 1'!AT362-'TAM Projet 1'!AK362)*H371/(1-((1+H371)^-'TAM Projet 1'!AL362)),_NbDeci1),ROUND('TAM Projet 1'!AT362/'TAM Projet 1'!AL362,_NbDeci1)),I370))</f>
        <v>187406.04</v>
      </c>
      <c r="J371" s="10"/>
      <c r="K371" s="10"/>
      <c r="L371" s="10"/>
      <c r="M371" s="10"/>
      <c r="O371" s="186">
        <v>369</v>
      </c>
    </row>
    <row r="372" spans="1:15" x14ac:dyDescent="0.2">
      <c r="A372" s="29">
        <f>IF('TAM Projet 1'!T363&gt;0,IF(_TauxActuariel,(('TAM Projet 1'!T363+1)^(1/_NbEchAn))-1,'TAM Projet 1'!T363/_NbEchAn),A371)</f>
        <v>1.5499999999999999E-3</v>
      </c>
      <c r="B372" s="28">
        <f>IF('TAM Projet 1'!W363&gt;0,'TAM Projet 1'!W363,IF('TAM Projet 1'!V363&gt;0,IF(AND(_EchFIXE,A372&gt;0),ROUND(('TAM Projet 1'!AD363-'TAM Projet 1'!U363)*A372/(1-((1+A372)^-'TAM Projet 1'!V363)),_NbDeci),ROUND('TAM Projet 1'!AD363/'TAM Projet 1'!V363,_NbDeci)),B371))</f>
        <v>768.98</v>
      </c>
      <c r="C372" s="10"/>
      <c r="D372" s="10"/>
      <c r="E372" s="10"/>
      <c r="F372" s="10"/>
      <c r="H372" s="29">
        <f>IF('TAM Projet 1'!AJ363&gt;0,IF(_TauxActuariel1,(('TAM Projet 1'!AJ363+1)^(1/_NbechAn1))-1,'TAM Projet 1'!AJ363/_NbechAn1),H371)</f>
        <v>8.3333333333333339E-4</v>
      </c>
      <c r="I372" s="28">
        <f>IF('TAM Projet 1'!AM363&gt;0,'TAM Projet 1'!AM363,IF('TAM Projet 1'!AL363&gt;0,IF(AND(_EchFIXE1,H372&gt;0),ROUND(('TAM Projet 1'!AT363-'TAM Projet 1'!AK363)*H372/(1-((1+H372)^-'TAM Projet 1'!AL363)),_NbDeci1),ROUND('TAM Projet 1'!AT363/'TAM Projet 1'!AL363,_NbDeci1)),I371))</f>
        <v>187406.04</v>
      </c>
      <c r="J372" s="10"/>
      <c r="K372" s="10"/>
      <c r="L372" s="10"/>
      <c r="M372" s="10"/>
      <c r="O372" s="186">
        <v>370</v>
      </c>
    </row>
    <row r="373" spans="1:15" x14ac:dyDescent="0.2">
      <c r="A373" s="29">
        <f>IF('TAM Projet 1'!T364&gt;0,IF(_TauxActuariel,(('TAM Projet 1'!T364+1)^(1/_NbEchAn))-1,'TAM Projet 1'!T364/_NbEchAn),A372)</f>
        <v>1.5499999999999999E-3</v>
      </c>
      <c r="B373" s="28">
        <f>IF('TAM Projet 1'!W364&gt;0,'TAM Projet 1'!W364,IF('TAM Projet 1'!V364&gt;0,IF(AND(_EchFIXE,A373&gt;0),ROUND(('TAM Projet 1'!AD364-'TAM Projet 1'!U364)*A373/(1-((1+A373)^-'TAM Projet 1'!V364)),_NbDeci),ROUND('TAM Projet 1'!AD364/'TAM Projet 1'!V364,_NbDeci)),B372))</f>
        <v>768.98</v>
      </c>
      <c r="C373" s="10"/>
      <c r="D373" s="10"/>
      <c r="E373" s="10"/>
      <c r="F373" s="10"/>
      <c r="H373" s="29">
        <f>IF('TAM Projet 1'!AJ364&gt;0,IF(_TauxActuariel1,(('TAM Projet 1'!AJ364+1)^(1/_NbechAn1))-1,'TAM Projet 1'!AJ364/_NbechAn1),H372)</f>
        <v>8.3333333333333339E-4</v>
      </c>
      <c r="I373" s="28">
        <f>IF('TAM Projet 1'!AM364&gt;0,'TAM Projet 1'!AM364,IF('TAM Projet 1'!AL364&gt;0,IF(AND(_EchFIXE1,H373&gt;0),ROUND(('TAM Projet 1'!AT364-'TAM Projet 1'!AK364)*H373/(1-((1+H373)^-'TAM Projet 1'!AL364)),_NbDeci1),ROUND('TAM Projet 1'!AT364/'TAM Projet 1'!AL364,_NbDeci1)),I372))</f>
        <v>187406.04</v>
      </c>
      <c r="J373" s="10"/>
      <c r="K373" s="10"/>
      <c r="L373" s="10"/>
      <c r="M373" s="10"/>
      <c r="O373" s="186">
        <v>371</v>
      </c>
    </row>
    <row r="374" spans="1:15" x14ac:dyDescent="0.2">
      <c r="A374" s="29">
        <f>IF('TAM Projet 1'!T365&gt;0,IF(_TauxActuariel,(('TAM Projet 1'!T365+1)^(1/_NbEchAn))-1,'TAM Projet 1'!T365/_NbEchAn),A373)</f>
        <v>1.5499999999999999E-3</v>
      </c>
      <c r="B374" s="28">
        <f>IF('TAM Projet 1'!W365&gt;0,'TAM Projet 1'!W365,IF('TAM Projet 1'!V365&gt;0,IF(AND(_EchFIXE,A374&gt;0),ROUND(('TAM Projet 1'!AD365-'TAM Projet 1'!U365)*A374/(1-((1+A374)^-'TAM Projet 1'!V365)),_NbDeci),ROUND('TAM Projet 1'!AD365/'TAM Projet 1'!V365,_NbDeci)),B373))</f>
        <v>768.98</v>
      </c>
      <c r="C374" s="10"/>
      <c r="D374" s="10"/>
      <c r="E374" s="10"/>
      <c r="F374" s="10"/>
      <c r="H374" s="29">
        <f>IF('TAM Projet 1'!AJ365&gt;0,IF(_TauxActuariel1,(('TAM Projet 1'!AJ365+1)^(1/_NbechAn1))-1,'TAM Projet 1'!AJ365/_NbechAn1),H373)</f>
        <v>8.3333333333333339E-4</v>
      </c>
      <c r="I374" s="28">
        <f>IF('TAM Projet 1'!AM365&gt;0,'TAM Projet 1'!AM365,IF('TAM Projet 1'!AL365&gt;0,IF(AND(_EchFIXE1,H374&gt;0),ROUND(('TAM Projet 1'!AT365-'TAM Projet 1'!AK365)*H374/(1-((1+H374)^-'TAM Projet 1'!AL365)),_NbDeci1),ROUND('TAM Projet 1'!AT365/'TAM Projet 1'!AL365,_NbDeci1)),I373))</f>
        <v>187406.04</v>
      </c>
      <c r="J374" s="10"/>
      <c r="K374" s="10"/>
      <c r="L374" s="10"/>
      <c r="M374" s="10"/>
      <c r="O374" s="186">
        <v>372</v>
      </c>
    </row>
    <row r="375" spans="1:15" x14ac:dyDescent="0.2">
      <c r="A375" s="29">
        <f>IF('TAM Projet 1'!T366&gt;0,IF(_TauxActuariel,(('TAM Projet 1'!T366+1)^(1/_NbEchAn))-1,'TAM Projet 1'!T366/_NbEchAn),A374)</f>
        <v>1.5499999999999999E-3</v>
      </c>
      <c r="B375" s="28">
        <f>IF('TAM Projet 1'!W366&gt;0,'TAM Projet 1'!W366,IF('TAM Projet 1'!V366&gt;0,IF(AND(_EchFIXE,A375&gt;0),ROUND(('TAM Projet 1'!AD366-'TAM Projet 1'!U366)*A375/(1-((1+A375)^-'TAM Projet 1'!V366)),_NbDeci),ROUND('TAM Projet 1'!AD366/'TAM Projet 1'!V366,_NbDeci)),B374))</f>
        <v>768.98</v>
      </c>
      <c r="C375" s="10"/>
      <c r="D375" s="10"/>
      <c r="E375" s="10"/>
      <c r="F375" s="10"/>
      <c r="H375" s="29">
        <f>IF('TAM Projet 1'!AJ366&gt;0,IF(_TauxActuariel1,(('TAM Projet 1'!AJ366+1)^(1/_NbechAn1))-1,'TAM Projet 1'!AJ366/_NbechAn1),H374)</f>
        <v>8.3333333333333339E-4</v>
      </c>
      <c r="I375" s="28">
        <f>IF('TAM Projet 1'!AM366&gt;0,'TAM Projet 1'!AM366,IF('TAM Projet 1'!AL366&gt;0,IF(AND(_EchFIXE1,H375&gt;0),ROUND(('TAM Projet 1'!AT366-'TAM Projet 1'!AK366)*H375/(1-((1+H375)^-'TAM Projet 1'!AL366)),_NbDeci1),ROUND('TAM Projet 1'!AT366/'TAM Projet 1'!AL366,_NbDeci1)),I374))</f>
        <v>187406.04</v>
      </c>
      <c r="J375" s="10"/>
      <c r="K375" s="10"/>
      <c r="L375" s="10"/>
      <c r="M375" s="10"/>
      <c r="O375" s="186">
        <v>373</v>
      </c>
    </row>
    <row r="376" spans="1:15" x14ac:dyDescent="0.2">
      <c r="A376" s="29">
        <f>IF('TAM Projet 1'!T367&gt;0,IF(_TauxActuariel,(('TAM Projet 1'!T367+1)^(1/_NbEchAn))-1,'TAM Projet 1'!T367/_NbEchAn),A375)</f>
        <v>1.5499999999999999E-3</v>
      </c>
      <c r="B376" s="28">
        <f>IF('TAM Projet 1'!W367&gt;0,'TAM Projet 1'!W367,IF('TAM Projet 1'!V367&gt;0,IF(AND(_EchFIXE,A376&gt;0),ROUND(('TAM Projet 1'!AD367-'TAM Projet 1'!U367)*A376/(1-((1+A376)^-'TAM Projet 1'!V367)),_NbDeci),ROUND('TAM Projet 1'!AD367/'TAM Projet 1'!V367,_NbDeci)),B375))</f>
        <v>768.98</v>
      </c>
      <c r="C376" s="10"/>
      <c r="D376" s="10"/>
      <c r="E376" s="10"/>
      <c r="F376" s="10"/>
      <c r="H376" s="29">
        <f>IF('TAM Projet 1'!AJ367&gt;0,IF(_TauxActuariel1,(('TAM Projet 1'!AJ367+1)^(1/_NbechAn1))-1,'TAM Projet 1'!AJ367/_NbechAn1),H375)</f>
        <v>8.3333333333333339E-4</v>
      </c>
      <c r="I376" s="28">
        <f>IF('TAM Projet 1'!AM367&gt;0,'TAM Projet 1'!AM367,IF('TAM Projet 1'!AL367&gt;0,IF(AND(_EchFIXE1,H376&gt;0),ROUND(('TAM Projet 1'!AT367-'TAM Projet 1'!AK367)*H376/(1-((1+H376)^-'TAM Projet 1'!AL367)),_NbDeci1),ROUND('TAM Projet 1'!AT367/'TAM Projet 1'!AL367,_NbDeci1)),I375))</f>
        <v>187406.04</v>
      </c>
      <c r="J376" s="10"/>
      <c r="K376" s="10"/>
      <c r="L376" s="10"/>
      <c r="M376" s="10"/>
      <c r="O376" s="186">
        <v>374</v>
      </c>
    </row>
    <row r="377" spans="1:15" x14ac:dyDescent="0.2">
      <c r="A377" s="29">
        <f>IF('TAM Projet 1'!T368&gt;0,IF(_TauxActuariel,(('TAM Projet 1'!T368+1)^(1/_NbEchAn))-1,'TAM Projet 1'!T368/_NbEchAn),A376)</f>
        <v>1.5499999999999999E-3</v>
      </c>
      <c r="B377" s="28">
        <f>IF('TAM Projet 1'!W368&gt;0,'TAM Projet 1'!W368,IF('TAM Projet 1'!V368&gt;0,IF(AND(_EchFIXE,A377&gt;0),ROUND(('TAM Projet 1'!AD368-'TAM Projet 1'!U368)*A377/(1-((1+A377)^-'TAM Projet 1'!V368)),_NbDeci),ROUND('TAM Projet 1'!AD368/'TAM Projet 1'!V368,_NbDeci)),B376))</f>
        <v>768.98</v>
      </c>
      <c r="C377" s="10"/>
      <c r="D377" s="10"/>
      <c r="E377" s="10"/>
      <c r="F377" s="10"/>
      <c r="H377" s="29">
        <f>IF('TAM Projet 1'!AJ368&gt;0,IF(_TauxActuariel1,(('TAM Projet 1'!AJ368+1)^(1/_NbechAn1))-1,'TAM Projet 1'!AJ368/_NbechAn1),H376)</f>
        <v>8.3333333333333339E-4</v>
      </c>
      <c r="I377" s="28">
        <f>IF('TAM Projet 1'!AM368&gt;0,'TAM Projet 1'!AM368,IF('TAM Projet 1'!AL368&gt;0,IF(AND(_EchFIXE1,H377&gt;0),ROUND(('TAM Projet 1'!AT368-'TAM Projet 1'!AK368)*H377/(1-((1+H377)^-'TAM Projet 1'!AL368)),_NbDeci1),ROUND('TAM Projet 1'!AT368/'TAM Projet 1'!AL368,_NbDeci1)),I376))</f>
        <v>187406.04</v>
      </c>
      <c r="J377" s="10"/>
      <c r="K377" s="10"/>
      <c r="L377" s="10"/>
      <c r="M377" s="10"/>
      <c r="O377" s="186">
        <v>375</v>
      </c>
    </row>
    <row r="378" spans="1:15" x14ac:dyDescent="0.2">
      <c r="A378" s="29">
        <f>IF('TAM Projet 1'!T369&gt;0,IF(_TauxActuariel,(('TAM Projet 1'!T369+1)^(1/_NbEchAn))-1,'TAM Projet 1'!T369/_NbEchAn),A377)</f>
        <v>1.5499999999999999E-3</v>
      </c>
      <c r="B378" s="28">
        <f>IF('TAM Projet 1'!W369&gt;0,'TAM Projet 1'!W369,IF('TAM Projet 1'!V369&gt;0,IF(AND(_EchFIXE,A378&gt;0),ROUND(('TAM Projet 1'!AD369-'TAM Projet 1'!U369)*A378/(1-((1+A378)^-'TAM Projet 1'!V369)),_NbDeci),ROUND('TAM Projet 1'!AD369/'TAM Projet 1'!V369,_NbDeci)),B377))</f>
        <v>768.98</v>
      </c>
      <c r="C378" s="10"/>
      <c r="D378" s="10"/>
      <c r="E378" s="10"/>
      <c r="F378" s="10"/>
      <c r="H378" s="29">
        <f>IF('TAM Projet 1'!AJ369&gt;0,IF(_TauxActuariel1,(('TAM Projet 1'!AJ369+1)^(1/_NbechAn1))-1,'TAM Projet 1'!AJ369/_NbechAn1),H377)</f>
        <v>8.3333333333333339E-4</v>
      </c>
      <c r="I378" s="28">
        <f>IF('TAM Projet 1'!AM369&gt;0,'TAM Projet 1'!AM369,IF('TAM Projet 1'!AL369&gt;0,IF(AND(_EchFIXE1,H378&gt;0),ROUND(('TAM Projet 1'!AT369-'TAM Projet 1'!AK369)*H378/(1-((1+H378)^-'TAM Projet 1'!AL369)),_NbDeci1),ROUND('TAM Projet 1'!AT369/'TAM Projet 1'!AL369,_NbDeci1)),I377))</f>
        <v>187406.04</v>
      </c>
      <c r="J378" s="10"/>
      <c r="K378" s="10"/>
      <c r="L378" s="10"/>
      <c r="M378" s="10"/>
      <c r="O378" s="186">
        <v>376</v>
      </c>
    </row>
    <row r="379" spans="1:15" x14ac:dyDescent="0.2">
      <c r="A379" s="29">
        <f>IF('TAM Projet 1'!T370&gt;0,IF(_TauxActuariel,(('TAM Projet 1'!T370+1)^(1/_NbEchAn))-1,'TAM Projet 1'!T370/_NbEchAn),A378)</f>
        <v>1.5499999999999999E-3</v>
      </c>
      <c r="B379" s="28">
        <f>IF('TAM Projet 1'!W370&gt;0,'TAM Projet 1'!W370,IF('TAM Projet 1'!V370&gt;0,IF(AND(_EchFIXE,A379&gt;0),ROUND(('TAM Projet 1'!AD370-'TAM Projet 1'!U370)*A379/(1-((1+A379)^-'TAM Projet 1'!V370)),_NbDeci),ROUND('TAM Projet 1'!AD370/'TAM Projet 1'!V370,_NbDeci)),B378))</f>
        <v>768.98</v>
      </c>
      <c r="C379" s="10"/>
      <c r="D379" s="10"/>
      <c r="E379" s="10"/>
      <c r="F379" s="10"/>
      <c r="H379" s="29">
        <f>IF('TAM Projet 1'!AJ370&gt;0,IF(_TauxActuariel1,(('TAM Projet 1'!AJ370+1)^(1/_NbechAn1))-1,'TAM Projet 1'!AJ370/_NbechAn1),H378)</f>
        <v>8.3333333333333339E-4</v>
      </c>
      <c r="I379" s="28">
        <f>IF('TAM Projet 1'!AM370&gt;0,'TAM Projet 1'!AM370,IF('TAM Projet 1'!AL370&gt;0,IF(AND(_EchFIXE1,H379&gt;0),ROUND(('TAM Projet 1'!AT370-'TAM Projet 1'!AK370)*H379/(1-((1+H379)^-'TAM Projet 1'!AL370)),_NbDeci1),ROUND('TAM Projet 1'!AT370/'TAM Projet 1'!AL370,_NbDeci1)),I378))</f>
        <v>187406.04</v>
      </c>
      <c r="J379" s="10"/>
      <c r="K379" s="10"/>
      <c r="L379" s="10"/>
      <c r="M379" s="10"/>
      <c r="O379" s="186">
        <v>377</v>
      </c>
    </row>
    <row r="380" spans="1:15" x14ac:dyDescent="0.2">
      <c r="A380" s="29">
        <f>IF('TAM Projet 1'!T371&gt;0,IF(_TauxActuariel,(('TAM Projet 1'!T371+1)^(1/_NbEchAn))-1,'TAM Projet 1'!T371/_NbEchAn),A379)</f>
        <v>1.5499999999999999E-3</v>
      </c>
      <c r="B380" s="28">
        <f>IF('TAM Projet 1'!W371&gt;0,'TAM Projet 1'!W371,IF('TAM Projet 1'!V371&gt;0,IF(AND(_EchFIXE,A380&gt;0),ROUND(('TAM Projet 1'!AD371-'TAM Projet 1'!U371)*A380/(1-((1+A380)^-'TAM Projet 1'!V371)),_NbDeci),ROUND('TAM Projet 1'!AD371/'TAM Projet 1'!V371,_NbDeci)),B379))</f>
        <v>768.98</v>
      </c>
      <c r="C380" s="10"/>
      <c r="D380" s="10"/>
      <c r="E380" s="10"/>
      <c r="F380" s="10"/>
      <c r="H380" s="29">
        <f>IF('TAM Projet 1'!AJ371&gt;0,IF(_TauxActuariel1,(('TAM Projet 1'!AJ371+1)^(1/_NbechAn1))-1,'TAM Projet 1'!AJ371/_NbechAn1),H379)</f>
        <v>8.3333333333333339E-4</v>
      </c>
      <c r="I380" s="28">
        <f>IF('TAM Projet 1'!AM371&gt;0,'TAM Projet 1'!AM371,IF('TAM Projet 1'!AL371&gt;0,IF(AND(_EchFIXE1,H380&gt;0),ROUND(('TAM Projet 1'!AT371-'TAM Projet 1'!AK371)*H380/(1-((1+H380)^-'TAM Projet 1'!AL371)),_NbDeci1),ROUND('TAM Projet 1'!AT371/'TAM Projet 1'!AL371,_NbDeci1)),I379))</f>
        <v>187406.04</v>
      </c>
      <c r="J380" s="10"/>
      <c r="K380" s="10"/>
      <c r="L380" s="10"/>
      <c r="M380" s="10"/>
      <c r="O380" s="186">
        <v>378</v>
      </c>
    </row>
    <row r="381" spans="1:15" x14ac:dyDescent="0.2">
      <c r="A381" s="29">
        <f>IF('TAM Projet 1'!T372&gt;0,IF(_TauxActuariel,(('TAM Projet 1'!T372+1)^(1/_NbEchAn))-1,'TAM Projet 1'!T372/_NbEchAn),A380)</f>
        <v>1.5499999999999999E-3</v>
      </c>
      <c r="B381" s="28">
        <f>IF('TAM Projet 1'!W372&gt;0,'TAM Projet 1'!W372,IF('TAM Projet 1'!V372&gt;0,IF(AND(_EchFIXE,A381&gt;0),ROUND(('TAM Projet 1'!AD372-'TAM Projet 1'!U372)*A381/(1-((1+A381)^-'TAM Projet 1'!V372)),_NbDeci),ROUND('TAM Projet 1'!AD372/'TAM Projet 1'!V372,_NbDeci)),B380))</f>
        <v>768.98</v>
      </c>
      <c r="C381" s="10"/>
      <c r="D381" s="10"/>
      <c r="E381" s="10"/>
      <c r="F381" s="10"/>
      <c r="H381" s="29">
        <f>IF('TAM Projet 1'!AJ372&gt;0,IF(_TauxActuariel1,(('TAM Projet 1'!AJ372+1)^(1/_NbechAn1))-1,'TAM Projet 1'!AJ372/_NbechAn1),H380)</f>
        <v>8.3333333333333339E-4</v>
      </c>
      <c r="I381" s="28">
        <f>IF('TAM Projet 1'!AM372&gt;0,'TAM Projet 1'!AM372,IF('TAM Projet 1'!AL372&gt;0,IF(AND(_EchFIXE1,H381&gt;0),ROUND(('TAM Projet 1'!AT372-'TAM Projet 1'!AK372)*H381/(1-((1+H381)^-'TAM Projet 1'!AL372)),_NbDeci1),ROUND('TAM Projet 1'!AT372/'TAM Projet 1'!AL372,_NbDeci1)),I380))</f>
        <v>187406.04</v>
      </c>
      <c r="J381" s="10"/>
      <c r="K381" s="10"/>
      <c r="L381" s="10"/>
      <c r="M381" s="10"/>
      <c r="O381" s="186">
        <v>379</v>
      </c>
    </row>
    <row r="382" spans="1:15" x14ac:dyDescent="0.2">
      <c r="A382" s="29">
        <f>IF('TAM Projet 1'!T373&gt;0,IF(_TauxActuariel,(('TAM Projet 1'!T373+1)^(1/_NbEchAn))-1,'TAM Projet 1'!T373/_NbEchAn),A381)</f>
        <v>1.5499999999999999E-3</v>
      </c>
      <c r="B382" s="28">
        <f>IF('TAM Projet 1'!W373&gt;0,'TAM Projet 1'!W373,IF('TAM Projet 1'!V373&gt;0,IF(AND(_EchFIXE,A382&gt;0),ROUND(('TAM Projet 1'!AD373-'TAM Projet 1'!U373)*A382/(1-((1+A382)^-'TAM Projet 1'!V373)),_NbDeci),ROUND('TAM Projet 1'!AD373/'TAM Projet 1'!V373,_NbDeci)),B381))</f>
        <v>768.98</v>
      </c>
      <c r="C382" s="10"/>
      <c r="D382" s="10"/>
      <c r="E382" s="10"/>
      <c r="F382" s="10"/>
      <c r="H382" s="29">
        <f>IF('TAM Projet 1'!AJ373&gt;0,IF(_TauxActuariel1,(('TAM Projet 1'!AJ373+1)^(1/_NbechAn1))-1,'TAM Projet 1'!AJ373/_NbechAn1),H381)</f>
        <v>8.3333333333333339E-4</v>
      </c>
      <c r="I382" s="28">
        <f>IF('TAM Projet 1'!AM373&gt;0,'TAM Projet 1'!AM373,IF('TAM Projet 1'!AL373&gt;0,IF(AND(_EchFIXE1,H382&gt;0),ROUND(('TAM Projet 1'!AT373-'TAM Projet 1'!AK373)*H382/(1-((1+H382)^-'TAM Projet 1'!AL373)),_NbDeci1),ROUND('TAM Projet 1'!AT373/'TAM Projet 1'!AL373,_NbDeci1)),I381))</f>
        <v>187406.04</v>
      </c>
      <c r="J382" s="10"/>
      <c r="K382" s="10"/>
      <c r="L382" s="10"/>
      <c r="M382" s="10"/>
      <c r="O382" s="186">
        <v>380</v>
      </c>
    </row>
    <row r="383" spans="1:15" x14ac:dyDescent="0.2">
      <c r="A383" s="29">
        <f>IF('TAM Projet 1'!T374&gt;0,IF(_TauxActuariel,(('TAM Projet 1'!T374+1)^(1/_NbEchAn))-1,'TAM Projet 1'!T374/_NbEchAn),A382)</f>
        <v>1.5499999999999999E-3</v>
      </c>
      <c r="B383" s="28">
        <f>IF('TAM Projet 1'!W374&gt;0,'TAM Projet 1'!W374,IF('TAM Projet 1'!V374&gt;0,IF(AND(_EchFIXE,A383&gt;0),ROUND(('TAM Projet 1'!AD374-'TAM Projet 1'!U374)*A383/(1-((1+A383)^-'TAM Projet 1'!V374)),_NbDeci),ROUND('TAM Projet 1'!AD374/'TAM Projet 1'!V374,_NbDeci)),B382))</f>
        <v>768.98</v>
      </c>
      <c r="C383" s="10"/>
      <c r="D383" s="10"/>
      <c r="E383" s="10"/>
      <c r="F383" s="10"/>
      <c r="H383" s="29">
        <f>IF('TAM Projet 1'!AJ374&gt;0,IF(_TauxActuariel1,(('TAM Projet 1'!AJ374+1)^(1/_NbechAn1))-1,'TAM Projet 1'!AJ374/_NbechAn1),H382)</f>
        <v>8.3333333333333339E-4</v>
      </c>
      <c r="I383" s="28">
        <f>IF('TAM Projet 1'!AM374&gt;0,'TAM Projet 1'!AM374,IF('TAM Projet 1'!AL374&gt;0,IF(AND(_EchFIXE1,H383&gt;0),ROUND(('TAM Projet 1'!AT374-'TAM Projet 1'!AK374)*H383/(1-((1+H383)^-'TAM Projet 1'!AL374)),_NbDeci1),ROUND('TAM Projet 1'!AT374/'TAM Projet 1'!AL374,_NbDeci1)),I382))</f>
        <v>187406.04</v>
      </c>
      <c r="J383" s="10"/>
      <c r="K383" s="10"/>
      <c r="L383" s="10"/>
      <c r="M383" s="10"/>
      <c r="O383" s="186">
        <v>381</v>
      </c>
    </row>
    <row r="384" spans="1:15" x14ac:dyDescent="0.2">
      <c r="A384" s="29">
        <f>IF('TAM Projet 1'!T375&gt;0,IF(_TauxActuariel,(('TAM Projet 1'!T375+1)^(1/_NbEchAn))-1,'TAM Projet 1'!T375/_NbEchAn),A383)</f>
        <v>1.5499999999999999E-3</v>
      </c>
      <c r="B384" s="28">
        <f>IF('TAM Projet 1'!W375&gt;0,'TAM Projet 1'!W375,IF('TAM Projet 1'!V375&gt;0,IF(AND(_EchFIXE,A384&gt;0),ROUND(('TAM Projet 1'!AD375-'TAM Projet 1'!U375)*A384/(1-((1+A384)^-'TAM Projet 1'!V375)),_NbDeci),ROUND('TAM Projet 1'!AD375/'TAM Projet 1'!V375,_NbDeci)),B383))</f>
        <v>768.98</v>
      </c>
      <c r="C384" s="10"/>
      <c r="D384" s="10"/>
      <c r="E384" s="10"/>
      <c r="F384" s="10"/>
      <c r="H384" s="29">
        <f>IF('TAM Projet 1'!AJ375&gt;0,IF(_TauxActuariel1,(('TAM Projet 1'!AJ375+1)^(1/_NbechAn1))-1,'TAM Projet 1'!AJ375/_NbechAn1),H383)</f>
        <v>8.3333333333333339E-4</v>
      </c>
      <c r="I384" s="28">
        <f>IF('TAM Projet 1'!AM375&gt;0,'TAM Projet 1'!AM375,IF('TAM Projet 1'!AL375&gt;0,IF(AND(_EchFIXE1,H384&gt;0),ROUND(('TAM Projet 1'!AT375-'TAM Projet 1'!AK375)*H384/(1-((1+H384)^-'TAM Projet 1'!AL375)),_NbDeci1),ROUND('TAM Projet 1'!AT375/'TAM Projet 1'!AL375,_NbDeci1)),I383))</f>
        <v>187406.04</v>
      </c>
      <c r="J384" s="10"/>
      <c r="K384" s="10"/>
      <c r="L384" s="10"/>
      <c r="M384" s="10"/>
      <c r="O384" s="186">
        <v>382</v>
      </c>
    </row>
    <row r="385" spans="1:15" x14ac:dyDescent="0.2">
      <c r="A385" s="29">
        <f>IF('TAM Projet 1'!T376&gt;0,IF(_TauxActuariel,(('TAM Projet 1'!T376+1)^(1/_NbEchAn))-1,'TAM Projet 1'!T376/_NbEchAn),A384)</f>
        <v>1.5499999999999999E-3</v>
      </c>
      <c r="B385" s="28">
        <f>IF('TAM Projet 1'!W376&gt;0,'TAM Projet 1'!W376,IF('TAM Projet 1'!V376&gt;0,IF(AND(_EchFIXE,A385&gt;0),ROUND(('TAM Projet 1'!AD376-'TAM Projet 1'!U376)*A385/(1-((1+A385)^-'TAM Projet 1'!V376)),_NbDeci),ROUND('TAM Projet 1'!AD376/'TAM Projet 1'!V376,_NbDeci)),B384))</f>
        <v>768.98</v>
      </c>
      <c r="C385" s="10"/>
      <c r="D385" s="10"/>
      <c r="E385" s="10"/>
      <c r="F385" s="10"/>
      <c r="H385" s="29">
        <f>IF('TAM Projet 1'!AJ376&gt;0,IF(_TauxActuariel1,(('TAM Projet 1'!AJ376+1)^(1/_NbechAn1))-1,'TAM Projet 1'!AJ376/_NbechAn1),H384)</f>
        <v>8.3333333333333339E-4</v>
      </c>
      <c r="I385" s="28">
        <f>IF('TAM Projet 1'!AM376&gt;0,'TAM Projet 1'!AM376,IF('TAM Projet 1'!AL376&gt;0,IF(AND(_EchFIXE1,H385&gt;0),ROUND(('TAM Projet 1'!AT376-'TAM Projet 1'!AK376)*H385/(1-((1+H385)^-'TAM Projet 1'!AL376)),_NbDeci1),ROUND('TAM Projet 1'!AT376/'TAM Projet 1'!AL376,_NbDeci1)),I384))</f>
        <v>187406.04</v>
      </c>
      <c r="J385" s="10"/>
      <c r="K385" s="10"/>
      <c r="L385" s="10"/>
      <c r="M385" s="10"/>
      <c r="O385" s="186">
        <v>383</v>
      </c>
    </row>
    <row r="386" spans="1:15" x14ac:dyDescent="0.2">
      <c r="A386" s="29">
        <f>IF('TAM Projet 1'!T377&gt;0,IF(_TauxActuariel,(('TAM Projet 1'!T377+1)^(1/_NbEchAn))-1,'TAM Projet 1'!T377/_NbEchAn),A385)</f>
        <v>1.5499999999999999E-3</v>
      </c>
      <c r="B386" s="28">
        <f>IF('TAM Projet 1'!W377&gt;0,'TAM Projet 1'!W377,IF('TAM Projet 1'!V377&gt;0,IF(AND(_EchFIXE,A386&gt;0),ROUND(('TAM Projet 1'!AD377-'TAM Projet 1'!U377)*A386/(1-((1+A386)^-'TAM Projet 1'!V377)),_NbDeci),ROUND('TAM Projet 1'!AD377/'TAM Projet 1'!V377,_NbDeci)),B385))</f>
        <v>768.98</v>
      </c>
      <c r="C386" s="10"/>
      <c r="D386" s="10"/>
      <c r="E386" s="10"/>
      <c r="F386" s="10"/>
      <c r="H386" s="29">
        <f>IF('TAM Projet 1'!AJ377&gt;0,IF(_TauxActuariel1,(('TAM Projet 1'!AJ377+1)^(1/_NbechAn1))-1,'TAM Projet 1'!AJ377/_NbechAn1),H385)</f>
        <v>8.3333333333333339E-4</v>
      </c>
      <c r="I386" s="28">
        <f>IF('TAM Projet 1'!AM377&gt;0,'TAM Projet 1'!AM377,IF('TAM Projet 1'!AL377&gt;0,IF(AND(_EchFIXE1,H386&gt;0),ROUND(('TAM Projet 1'!AT377-'TAM Projet 1'!AK377)*H386/(1-((1+H386)^-'TAM Projet 1'!AL377)),_NbDeci1),ROUND('TAM Projet 1'!AT377/'TAM Projet 1'!AL377,_NbDeci1)),I385))</f>
        <v>187406.04</v>
      </c>
      <c r="J386" s="10"/>
      <c r="K386" s="10"/>
      <c r="L386" s="10"/>
      <c r="M386" s="10"/>
      <c r="O386" s="186">
        <v>384</v>
      </c>
    </row>
    <row r="387" spans="1:15" x14ac:dyDescent="0.2">
      <c r="A387" s="29">
        <f>IF('TAM Projet 1'!T378&gt;0,IF(_TauxActuariel,(('TAM Projet 1'!T378+1)^(1/_NbEchAn))-1,'TAM Projet 1'!T378/_NbEchAn),A386)</f>
        <v>1.5499999999999999E-3</v>
      </c>
      <c r="B387" s="28">
        <f>IF('TAM Projet 1'!W378&gt;0,'TAM Projet 1'!W378,IF('TAM Projet 1'!V378&gt;0,IF(AND(_EchFIXE,A387&gt;0),ROUND(('TAM Projet 1'!AD378-'TAM Projet 1'!U378)*A387/(1-((1+A387)^-'TAM Projet 1'!V378)),_NbDeci),ROUND('TAM Projet 1'!AD378/'TAM Projet 1'!V378,_NbDeci)),B386))</f>
        <v>768.98</v>
      </c>
      <c r="C387" s="10"/>
      <c r="D387" s="10"/>
      <c r="E387" s="10"/>
      <c r="F387" s="10"/>
      <c r="H387" s="29">
        <f>IF('TAM Projet 1'!AJ378&gt;0,IF(_TauxActuariel1,(('TAM Projet 1'!AJ378+1)^(1/_NbechAn1))-1,'TAM Projet 1'!AJ378/_NbechAn1),H386)</f>
        <v>8.3333333333333339E-4</v>
      </c>
      <c r="I387" s="28">
        <f>IF('TAM Projet 1'!AM378&gt;0,'TAM Projet 1'!AM378,IF('TAM Projet 1'!AL378&gt;0,IF(AND(_EchFIXE1,H387&gt;0),ROUND(('TAM Projet 1'!AT378-'TAM Projet 1'!AK378)*H387/(1-((1+H387)^-'TAM Projet 1'!AL378)),_NbDeci1),ROUND('TAM Projet 1'!AT378/'TAM Projet 1'!AL378,_NbDeci1)),I386))</f>
        <v>187406.04</v>
      </c>
      <c r="J387" s="10"/>
      <c r="K387" s="10"/>
      <c r="L387" s="10"/>
      <c r="M387" s="10"/>
      <c r="O387" s="186">
        <v>385</v>
      </c>
    </row>
    <row r="388" spans="1:15" x14ac:dyDescent="0.2">
      <c r="A388" s="29">
        <f>IF('TAM Projet 1'!T379&gt;0,IF(_TauxActuariel,(('TAM Projet 1'!T379+1)^(1/_NbEchAn))-1,'TAM Projet 1'!T379/_NbEchAn),A387)</f>
        <v>1.5499999999999999E-3</v>
      </c>
      <c r="B388" s="28">
        <f>IF('TAM Projet 1'!W379&gt;0,'TAM Projet 1'!W379,IF('TAM Projet 1'!V379&gt;0,IF(AND(_EchFIXE,A388&gt;0),ROUND(('TAM Projet 1'!AD379-'TAM Projet 1'!U379)*A388/(1-((1+A388)^-'TAM Projet 1'!V379)),_NbDeci),ROUND('TAM Projet 1'!AD379/'TAM Projet 1'!V379,_NbDeci)),B387))</f>
        <v>768.98</v>
      </c>
      <c r="C388" s="10"/>
      <c r="D388" s="10"/>
      <c r="E388" s="10"/>
      <c r="F388" s="10"/>
      <c r="H388" s="29">
        <f>IF('TAM Projet 1'!AJ379&gt;0,IF(_TauxActuariel1,(('TAM Projet 1'!AJ379+1)^(1/_NbechAn1))-1,'TAM Projet 1'!AJ379/_NbechAn1),H387)</f>
        <v>8.3333333333333339E-4</v>
      </c>
      <c r="I388" s="28">
        <f>IF('TAM Projet 1'!AM379&gt;0,'TAM Projet 1'!AM379,IF('TAM Projet 1'!AL379&gt;0,IF(AND(_EchFIXE1,H388&gt;0),ROUND(('TAM Projet 1'!AT379-'TAM Projet 1'!AK379)*H388/(1-((1+H388)^-'TAM Projet 1'!AL379)),_NbDeci1),ROUND('TAM Projet 1'!AT379/'TAM Projet 1'!AL379,_NbDeci1)),I387))</f>
        <v>187406.04</v>
      </c>
      <c r="J388" s="10"/>
      <c r="K388" s="10"/>
      <c r="L388" s="10"/>
      <c r="M388" s="10"/>
      <c r="O388" s="186">
        <v>386</v>
      </c>
    </row>
    <row r="389" spans="1:15" x14ac:dyDescent="0.2">
      <c r="A389" s="29">
        <f>IF('TAM Projet 1'!T380&gt;0,IF(_TauxActuariel,(('TAM Projet 1'!T380+1)^(1/_NbEchAn))-1,'TAM Projet 1'!T380/_NbEchAn),A388)</f>
        <v>1.5499999999999999E-3</v>
      </c>
      <c r="B389" s="28">
        <f>IF('TAM Projet 1'!W380&gt;0,'TAM Projet 1'!W380,IF('TAM Projet 1'!V380&gt;0,IF(AND(_EchFIXE,A389&gt;0),ROUND(('TAM Projet 1'!AD380-'TAM Projet 1'!U380)*A389/(1-((1+A389)^-'TAM Projet 1'!V380)),_NbDeci),ROUND('TAM Projet 1'!AD380/'TAM Projet 1'!V380,_NbDeci)),B388))</f>
        <v>768.98</v>
      </c>
      <c r="C389" s="10"/>
      <c r="D389" s="10"/>
      <c r="E389" s="10"/>
      <c r="F389" s="10"/>
      <c r="H389" s="29">
        <f>IF('TAM Projet 1'!AJ380&gt;0,IF(_TauxActuariel1,(('TAM Projet 1'!AJ380+1)^(1/_NbechAn1))-1,'TAM Projet 1'!AJ380/_NbechAn1),H388)</f>
        <v>8.3333333333333339E-4</v>
      </c>
      <c r="I389" s="28">
        <f>IF('TAM Projet 1'!AM380&gt;0,'TAM Projet 1'!AM380,IF('TAM Projet 1'!AL380&gt;0,IF(AND(_EchFIXE1,H389&gt;0),ROUND(('TAM Projet 1'!AT380-'TAM Projet 1'!AK380)*H389/(1-((1+H389)^-'TAM Projet 1'!AL380)),_NbDeci1),ROUND('TAM Projet 1'!AT380/'TAM Projet 1'!AL380,_NbDeci1)),I388))</f>
        <v>187406.04</v>
      </c>
      <c r="J389" s="10"/>
      <c r="K389" s="10"/>
      <c r="L389" s="10"/>
      <c r="M389" s="10"/>
      <c r="O389" s="186">
        <v>387</v>
      </c>
    </row>
    <row r="390" spans="1:15" x14ac:dyDescent="0.2">
      <c r="A390" s="29">
        <f>IF('TAM Projet 1'!T381&gt;0,IF(_TauxActuariel,(('TAM Projet 1'!T381+1)^(1/_NbEchAn))-1,'TAM Projet 1'!T381/_NbEchAn),A389)</f>
        <v>1.5499999999999999E-3</v>
      </c>
      <c r="B390" s="28">
        <f>IF('TAM Projet 1'!W381&gt;0,'TAM Projet 1'!W381,IF('TAM Projet 1'!V381&gt;0,IF(AND(_EchFIXE,A390&gt;0),ROUND(('TAM Projet 1'!AD381-'TAM Projet 1'!U381)*A390/(1-((1+A390)^-'TAM Projet 1'!V381)),_NbDeci),ROUND('TAM Projet 1'!AD381/'TAM Projet 1'!V381,_NbDeci)),B389))</f>
        <v>768.98</v>
      </c>
      <c r="C390" s="10"/>
      <c r="D390" s="10"/>
      <c r="E390" s="10"/>
      <c r="F390" s="10"/>
      <c r="H390" s="29">
        <f>IF('TAM Projet 1'!AJ381&gt;0,IF(_TauxActuariel1,(('TAM Projet 1'!AJ381+1)^(1/_NbechAn1))-1,'TAM Projet 1'!AJ381/_NbechAn1),H389)</f>
        <v>8.3333333333333339E-4</v>
      </c>
      <c r="I390" s="28">
        <f>IF('TAM Projet 1'!AM381&gt;0,'TAM Projet 1'!AM381,IF('TAM Projet 1'!AL381&gt;0,IF(AND(_EchFIXE1,H390&gt;0),ROUND(('TAM Projet 1'!AT381-'TAM Projet 1'!AK381)*H390/(1-((1+H390)^-'TAM Projet 1'!AL381)),_NbDeci1),ROUND('TAM Projet 1'!AT381/'TAM Projet 1'!AL381,_NbDeci1)),I389))</f>
        <v>187406.04</v>
      </c>
      <c r="J390" s="10"/>
      <c r="K390" s="10"/>
      <c r="L390" s="10"/>
      <c r="M390" s="10"/>
      <c r="O390" s="186">
        <v>388</v>
      </c>
    </row>
    <row r="391" spans="1:15" x14ac:dyDescent="0.2">
      <c r="A391" s="29">
        <f>IF('TAM Projet 1'!T382&gt;0,IF(_TauxActuariel,(('TAM Projet 1'!T382+1)^(1/_NbEchAn))-1,'TAM Projet 1'!T382/_NbEchAn),A390)</f>
        <v>1.5499999999999999E-3</v>
      </c>
      <c r="B391" s="28">
        <f>IF('TAM Projet 1'!W382&gt;0,'TAM Projet 1'!W382,IF('TAM Projet 1'!V382&gt;0,IF(AND(_EchFIXE,A391&gt;0),ROUND(('TAM Projet 1'!AD382-'TAM Projet 1'!U382)*A391/(1-((1+A391)^-'TAM Projet 1'!V382)),_NbDeci),ROUND('TAM Projet 1'!AD382/'TAM Projet 1'!V382,_NbDeci)),B390))</f>
        <v>768.98</v>
      </c>
      <c r="C391" s="10"/>
      <c r="D391" s="10"/>
      <c r="E391" s="10"/>
      <c r="F391" s="10"/>
      <c r="H391" s="29">
        <f>IF('TAM Projet 1'!AJ382&gt;0,IF(_TauxActuariel1,(('TAM Projet 1'!AJ382+1)^(1/_NbechAn1))-1,'TAM Projet 1'!AJ382/_NbechAn1),H390)</f>
        <v>8.3333333333333339E-4</v>
      </c>
      <c r="I391" s="28">
        <f>IF('TAM Projet 1'!AM382&gt;0,'TAM Projet 1'!AM382,IF('TAM Projet 1'!AL382&gt;0,IF(AND(_EchFIXE1,H391&gt;0),ROUND(('TAM Projet 1'!AT382-'TAM Projet 1'!AK382)*H391/(1-((1+H391)^-'TAM Projet 1'!AL382)),_NbDeci1),ROUND('TAM Projet 1'!AT382/'TAM Projet 1'!AL382,_NbDeci1)),I390))</f>
        <v>187406.04</v>
      </c>
      <c r="J391" s="10"/>
      <c r="K391" s="10"/>
      <c r="L391" s="10"/>
      <c r="M391" s="10"/>
      <c r="O391" s="186">
        <v>389</v>
      </c>
    </row>
    <row r="392" spans="1:15" x14ac:dyDescent="0.2">
      <c r="A392" s="29">
        <f>IF('TAM Projet 1'!T383&gt;0,IF(_TauxActuariel,(('TAM Projet 1'!T383+1)^(1/_NbEchAn))-1,'TAM Projet 1'!T383/_NbEchAn),A391)</f>
        <v>1.5499999999999999E-3</v>
      </c>
      <c r="B392" s="28">
        <f>IF('TAM Projet 1'!W383&gt;0,'TAM Projet 1'!W383,IF('TAM Projet 1'!V383&gt;0,IF(AND(_EchFIXE,A392&gt;0),ROUND(('TAM Projet 1'!AD383-'TAM Projet 1'!U383)*A392/(1-((1+A392)^-'TAM Projet 1'!V383)),_NbDeci),ROUND('TAM Projet 1'!AD383/'TAM Projet 1'!V383,_NbDeci)),B391))</f>
        <v>768.98</v>
      </c>
      <c r="C392" s="10"/>
      <c r="D392" s="10"/>
      <c r="E392" s="10"/>
      <c r="F392" s="10"/>
      <c r="H392" s="29">
        <f>IF('TAM Projet 1'!AJ383&gt;0,IF(_TauxActuariel1,(('TAM Projet 1'!AJ383+1)^(1/_NbechAn1))-1,'TAM Projet 1'!AJ383/_NbechAn1),H391)</f>
        <v>8.3333333333333339E-4</v>
      </c>
      <c r="I392" s="28">
        <f>IF('TAM Projet 1'!AM383&gt;0,'TAM Projet 1'!AM383,IF('TAM Projet 1'!AL383&gt;0,IF(AND(_EchFIXE1,H392&gt;0),ROUND(('TAM Projet 1'!AT383-'TAM Projet 1'!AK383)*H392/(1-((1+H392)^-'TAM Projet 1'!AL383)),_NbDeci1),ROUND('TAM Projet 1'!AT383/'TAM Projet 1'!AL383,_NbDeci1)),I391))</f>
        <v>187406.04</v>
      </c>
      <c r="J392" s="10"/>
      <c r="K392" s="10"/>
      <c r="L392" s="10"/>
      <c r="M392" s="10"/>
      <c r="O392" s="186">
        <v>390</v>
      </c>
    </row>
    <row r="393" spans="1:15" x14ac:dyDescent="0.2">
      <c r="A393" s="29">
        <f>IF('TAM Projet 1'!T384&gt;0,IF(_TauxActuariel,(('TAM Projet 1'!T384+1)^(1/_NbEchAn))-1,'TAM Projet 1'!T384/_NbEchAn),A392)</f>
        <v>1.5499999999999999E-3</v>
      </c>
      <c r="B393" s="28">
        <f>IF('TAM Projet 1'!W384&gt;0,'TAM Projet 1'!W384,IF('TAM Projet 1'!V384&gt;0,IF(AND(_EchFIXE,A393&gt;0),ROUND(('TAM Projet 1'!AD384-'TAM Projet 1'!U384)*A393/(1-((1+A393)^-'TAM Projet 1'!V384)),_NbDeci),ROUND('TAM Projet 1'!AD384/'TAM Projet 1'!V384,_NbDeci)),B392))</f>
        <v>768.98</v>
      </c>
      <c r="C393" s="10"/>
      <c r="D393" s="10"/>
      <c r="E393" s="10"/>
      <c r="F393" s="10"/>
      <c r="H393" s="29">
        <f>IF('TAM Projet 1'!AJ384&gt;0,IF(_TauxActuariel1,(('TAM Projet 1'!AJ384+1)^(1/_NbechAn1))-1,'TAM Projet 1'!AJ384/_NbechAn1),H392)</f>
        <v>8.3333333333333339E-4</v>
      </c>
      <c r="I393" s="28">
        <f>IF('TAM Projet 1'!AM384&gt;0,'TAM Projet 1'!AM384,IF('TAM Projet 1'!AL384&gt;0,IF(AND(_EchFIXE1,H393&gt;0),ROUND(('TAM Projet 1'!AT384-'TAM Projet 1'!AK384)*H393/(1-((1+H393)^-'TAM Projet 1'!AL384)),_NbDeci1),ROUND('TAM Projet 1'!AT384/'TAM Projet 1'!AL384,_NbDeci1)),I392))</f>
        <v>187406.04</v>
      </c>
      <c r="J393" s="10"/>
      <c r="K393" s="10"/>
      <c r="L393" s="10"/>
      <c r="M393" s="10"/>
      <c r="O393" s="186">
        <v>391</v>
      </c>
    </row>
    <row r="394" spans="1:15" x14ac:dyDescent="0.2">
      <c r="A394" s="29">
        <f>IF('TAM Projet 1'!T385&gt;0,IF(_TauxActuariel,(('TAM Projet 1'!T385+1)^(1/_NbEchAn))-1,'TAM Projet 1'!T385/_NbEchAn),A393)</f>
        <v>1.5499999999999999E-3</v>
      </c>
      <c r="B394" s="28">
        <f>IF('TAM Projet 1'!W385&gt;0,'TAM Projet 1'!W385,IF('TAM Projet 1'!V385&gt;0,IF(AND(_EchFIXE,A394&gt;0),ROUND(('TAM Projet 1'!AD385-'TAM Projet 1'!U385)*A394/(1-((1+A394)^-'TAM Projet 1'!V385)),_NbDeci),ROUND('TAM Projet 1'!AD385/'TAM Projet 1'!V385,_NbDeci)),B393))</f>
        <v>768.98</v>
      </c>
      <c r="C394" s="10"/>
      <c r="D394" s="10"/>
      <c r="E394" s="10"/>
      <c r="F394" s="10"/>
      <c r="H394" s="29">
        <f>IF('TAM Projet 1'!AJ385&gt;0,IF(_TauxActuariel1,(('TAM Projet 1'!AJ385+1)^(1/_NbechAn1))-1,'TAM Projet 1'!AJ385/_NbechAn1),H393)</f>
        <v>8.3333333333333339E-4</v>
      </c>
      <c r="I394" s="28">
        <f>IF('TAM Projet 1'!AM385&gt;0,'TAM Projet 1'!AM385,IF('TAM Projet 1'!AL385&gt;0,IF(AND(_EchFIXE1,H394&gt;0),ROUND(('TAM Projet 1'!AT385-'TAM Projet 1'!AK385)*H394/(1-((1+H394)^-'TAM Projet 1'!AL385)),_NbDeci1),ROUND('TAM Projet 1'!AT385/'TAM Projet 1'!AL385,_NbDeci1)),I393))</f>
        <v>187406.04</v>
      </c>
      <c r="J394" s="10"/>
      <c r="K394" s="10"/>
      <c r="L394" s="10"/>
      <c r="M394" s="10"/>
      <c r="O394" s="186">
        <v>392</v>
      </c>
    </row>
    <row r="395" spans="1:15" x14ac:dyDescent="0.2">
      <c r="A395" s="29">
        <f>IF('TAM Projet 1'!T386&gt;0,IF(_TauxActuariel,(('TAM Projet 1'!T386+1)^(1/_NbEchAn))-1,'TAM Projet 1'!T386/_NbEchAn),A394)</f>
        <v>1.5499999999999999E-3</v>
      </c>
      <c r="B395" s="28">
        <f>IF('TAM Projet 1'!W386&gt;0,'TAM Projet 1'!W386,IF('TAM Projet 1'!V386&gt;0,IF(AND(_EchFIXE,A395&gt;0),ROUND(('TAM Projet 1'!AD386-'TAM Projet 1'!U386)*A395/(1-((1+A395)^-'TAM Projet 1'!V386)),_NbDeci),ROUND('TAM Projet 1'!AD386/'TAM Projet 1'!V386,_NbDeci)),B394))</f>
        <v>768.98</v>
      </c>
      <c r="C395" s="10"/>
      <c r="D395" s="10"/>
      <c r="E395" s="10"/>
      <c r="F395" s="10"/>
      <c r="H395" s="29">
        <f>IF('TAM Projet 1'!AJ386&gt;0,IF(_TauxActuariel1,(('TAM Projet 1'!AJ386+1)^(1/_NbechAn1))-1,'TAM Projet 1'!AJ386/_NbechAn1),H394)</f>
        <v>8.3333333333333339E-4</v>
      </c>
      <c r="I395" s="28">
        <f>IF('TAM Projet 1'!AM386&gt;0,'TAM Projet 1'!AM386,IF('TAM Projet 1'!AL386&gt;0,IF(AND(_EchFIXE1,H395&gt;0),ROUND(('TAM Projet 1'!AT386-'TAM Projet 1'!AK386)*H395/(1-((1+H395)^-'TAM Projet 1'!AL386)),_NbDeci1),ROUND('TAM Projet 1'!AT386/'TAM Projet 1'!AL386,_NbDeci1)),I394))</f>
        <v>187406.04</v>
      </c>
      <c r="J395" s="10"/>
      <c r="K395" s="10"/>
      <c r="L395" s="10"/>
      <c r="M395" s="10"/>
      <c r="O395" s="186">
        <v>393</v>
      </c>
    </row>
    <row r="396" spans="1:15" x14ac:dyDescent="0.2">
      <c r="A396" s="29">
        <f>IF('TAM Projet 1'!T387&gt;0,IF(_TauxActuariel,(('TAM Projet 1'!T387+1)^(1/_NbEchAn))-1,'TAM Projet 1'!T387/_NbEchAn),A395)</f>
        <v>1.5499999999999999E-3</v>
      </c>
      <c r="B396" s="28">
        <f>IF('TAM Projet 1'!W387&gt;0,'TAM Projet 1'!W387,IF('TAM Projet 1'!V387&gt;0,IF(AND(_EchFIXE,A396&gt;0),ROUND(('TAM Projet 1'!AD387-'TAM Projet 1'!U387)*A396/(1-((1+A396)^-'TAM Projet 1'!V387)),_NbDeci),ROUND('TAM Projet 1'!AD387/'TAM Projet 1'!V387,_NbDeci)),B395))</f>
        <v>768.98</v>
      </c>
      <c r="C396" s="10"/>
      <c r="D396" s="10"/>
      <c r="E396" s="10"/>
      <c r="F396" s="10"/>
      <c r="H396" s="29">
        <f>IF('TAM Projet 1'!AJ387&gt;0,IF(_TauxActuariel1,(('TAM Projet 1'!AJ387+1)^(1/_NbechAn1))-1,'TAM Projet 1'!AJ387/_NbechAn1),H395)</f>
        <v>8.3333333333333339E-4</v>
      </c>
      <c r="I396" s="28">
        <f>IF('TAM Projet 1'!AM387&gt;0,'TAM Projet 1'!AM387,IF('TAM Projet 1'!AL387&gt;0,IF(AND(_EchFIXE1,H396&gt;0),ROUND(('TAM Projet 1'!AT387-'TAM Projet 1'!AK387)*H396/(1-((1+H396)^-'TAM Projet 1'!AL387)),_NbDeci1),ROUND('TAM Projet 1'!AT387/'TAM Projet 1'!AL387,_NbDeci1)),I395))</f>
        <v>187406.04</v>
      </c>
      <c r="J396" s="10"/>
      <c r="K396" s="10"/>
      <c r="L396" s="10"/>
      <c r="M396" s="10"/>
      <c r="O396" s="186">
        <v>394</v>
      </c>
    </row>
    <row r="397" spans="1:15" x14ac:dyDescent="0.2">
      <c r="A397" s="29">
        <f>IF('TAM Projet 1'!T388&gt;0,IF(_TauxActuariel,(('TAM Projet 1'!T388+1)^(1/_NbEchAn))-1,'TAM Projet 1'!T388/_NbEchAn),A396)</f>
        <v>1.5499999999999999E-3</v>
      </c>
      <c r="B397" s="28">
        <f>IF('TAM Projet 1'!W388&gt;0,'TAM Projet 1'!W388,IF('TAM Projet 1'!V388&gt;0,IF(AND(_EchFIXE,A397&gt;0),ROUND(('TAM Projet 1'!AD388-'TAM Projet 1'!U388)*A397/(1-((1+A397)^-'TAM Projet 1'!V388)),_NbDeci),ROUND('TAM Projet 1'!AD388/'TAM Projet 1'!V388,_NbDeci)),B396))</f>
        <v>768.98</v>
      </c>
      <c r="C397" s="10"/>
      <c r="D397" s="10"/>
      <c r="E397" s="10"/>
      <c r="F397" s="10"/>
      <c r="H397" s="29">
        <f>IF('TAM Projet 1'!AJ388&gt;0,IF(_TauxActuariel1,(('TAM Projet 1'!AJ388+1)^(1/_NbechAn1))-1,'TAM Projet 1'!AJ388/_NbechAn1),H396)</f>
        <v>8.3333333333333339E-4</v>
      </c>
      <c r="I397" s="28">
        <f>IF('TAM Projet 1'!AM388&gt;0,'TAM Projet 1'!AM388,IF('TAM Projet 1'!AL388&gt;0,IF(AND(_EchFIXE1,H397&gt;0),ROUND(('TAM Projet 1'!AT388-'TAM Projet 1'!AK388)*H397/(1-((1+H397)^-'TAM Projet 1'!AL388)),_NbDeci1),ROUND('TAM Projet 1'!AT388/'TAM Projet 1'!AL388,_NbDeci1)),I396))</f>
        <v>187406.04</v>
      </c>
      <c r="J397" s="10"/>
      <c r="K397" s="10"/>
      <c r="L397" s="10"/>
      <c r="M397" s="10"/>
      <c r="O397" s="186">
        <v>395</v>
      </c>
    </row>
    <row r="398" spans="1:15" x14ac:dyDescent="0.2">
      <c r="A398" s="29">
        <f>IF('TAM Projet 1'!T389&gt;0,IF(_TauxActuariel,(('TAM Projet 1'!T389+1)^(1/_NbEchAn))-1,'TAM Projet 1'!T389/_NbEchAn),A397)</f>
        <v>1.5499999999999999E-3</v>
      </c>
      <c r="B398" s="28">
        <f>IF('TAM Projet 1'!W389&gt;0,'TAM Projet 1'!W389,IF('TAM Projet 1'!V389&gt;0,IF(AND(_EchFIXE,A398&gt;0),ROUND(('TAM Projet 1'!AD389-'TAM Projet 1'!U389)*A398/(1-((1+A398)^-'TAM Projet 1'!V389)),_NbDeci),ROUND('TAM Projet 1'!AD389/'TAM Projet 1'!V389,_NbDeci)),B397))</f>
        <v>768.98</v>
      </c>
      <c r="C398" s="10"/>
      <c r="D398" s="10"/>
      <c r="E398" s="10"/>
      <c r="F398" s="10"/>
      <c r="H398" s="29">
        <f>IF('TAM Projet 1'!AJ389&gt;0,IF(_TauxActuariel1,(('TAM Projet 1'!AJ389+1)^(1/_NbechAn1))-1,'TAM Projet 1'!AJ389/_NbechAn1),H397)</f>
        <v>8.3333333333333339E-4</v>
      </c>
      <c r="I398" s="28">
        <f>IF('TAM Projet 1'!AM389&gt;0,'TAM Projet 1'!AM389,IF('TAM Projet 1'!AL389&gt;0,IF(AND(_EchFIXE1,H398&gt;0),ROUND(('TAM Projet 1'!AT389-'TAM Projet 1'!AK389)*H398/(1-((1+H398)^-'TAM Projet 1'!AL389)),_NbDeci1),ROUND('TAM Projet 1'!AT389/'TAM Projet 1'!AL389,_NbDeci1)),I397))</f>
        <v>187406.04</v>
      </c>
      <c r="J398" s="10"/>
      <c r="K398" s="10"/>
      <c r="L398" s="10"/>
      <c r="M398" s="10"/>
      <c r="O398" s="186">
        <v>396</v>
      </c>
    </row>
    <row r="399" spans="1:15" x14ac:dyDescent="0.2">
      <c r="A399" s="29">
        <f>IF('TAM Projet 1'!T390&gt;0,IF(_TauxActuariel,(('TAM Projet 1'!T390+1)^(1/_NbEchAn))-1,'TAM Projet 1'!T390/_NbEchAn),A398)</f>
        <v>1.5499999999999999E-3</v>
      </c>
      <c r="B399" s="28">
        <f>IF('TAM Projet 1'!W390&gt;0,'TAM Projet 1'!W390,IF('TAM Projet 1'!V390&gt;0,IF(AND(_EchFIXE,A399&gt;0),ROUND(('TAM Projet 1'!AD390-'TAM Projet 1'!U390)*A399/(1-((1+A399)^-'TAM Projet 1'!V390)),_NbDeci),ROUND('TAM Projet 1'!AD390/'TAM Projet 1'!V390,_NbDeci)),B398))</f>
        <v>768.98</v>
      </c>
      <c r="C399" s="10"/>
      <c r="D399" s="10"/>
      <c r="E399" s="10"/>
      <c r="F399" s="10"/>
      <c r="H399" s="29">
        <f>IF('TAM Projet 1'!AJ390&gt;0,IF(_TauxActuariel1,(('TAM Projet 1'!AJ390+1)^(1/_NbechAn1))-1,'TAM Projet 1'!AJ390/_NbechAn1),H398)</f>
        <v>8.3333333333333339E-4</v>
      </c>
      <c r="I399" s="28">
        <f>IF('TAM Projet 1'!AM390&gt;0,'TAM Projet 1'!AM390,IF('TAM Projet 1'!AL390&gt;0,IF(AND(_EchFIXE1,H399&gt;0),ROUND(('TAM Projet 1'!AT390-'TAM Projet 1'!AK390)*H399/(1-((1+H399)^-'TAM Projet 1'!AL390)),_NbDeci1),ROUND('TAM Projet 1'!AT390/'TAM Projet 1'!AL390,_NbDeci1)),I398))</f>
        <v>187406.04</v>
      </c>
      <c r="J399" s="10"/>
      <c r="K399" s="10"/>
      <c r="L399" s="10"/>
      <c r="M399" s="10"/>
      <c r="O399" s="186">
        <v>397</v>
      </c>
    </row>
    <row r="400" spans="1:15" x14ac:dyDescent="0.2">
      <c r="A400" s="29">
        <f>IF('TAM Projet 1'!T391&gt;0,IF(_TauxActuariel,(('TAM Projet 1'!T391+1)^(1/_NbEchAn))-1,'TAM Projet 1'!T391/_NbEchAn),A399)</f>
        <v>1.5499999999999999E-3</v>
      </c>
      <c r="B400" s="28">
        <f>IF('TAM Projet 1'!W391&gt;0,'TAM Projet 1'!W391,IF('TAM Projet 1'!V391&gt;0,IF(AND(_EchFIXE,A400&gt;0),ROUND(('TAM Projet 1'!AD391-'TAM Projet 1'!U391)*A400/(1-((1+A400)^-'TAM Projet 1'!V391)),_NbDeci),ROUND('TAM Projet 1'!AD391/'TAM Projet 1'!V391,_NbDeci)),B399))</f>
        <v>768.98</v>
      </c>
      <c r="C400" s="10"/>
      <c r="D400" s="10"/>
      <c r="E400" s="10"/>
      <c r="F400" s="10"/>
      <c r="H400" s="29">
        <f>IF('TAM Projet 1'!AJ391&gt;0,IF(_TauxActuariel1,(('TAM Projet 1'!AJ391+1)^(1/_NbechAn1))-1,'TAM Projet 1'!AJ391/_NbechAn1),H399)</f>
        <v>8.3333333333333339E-4</v>
      </c>
      <c r="I400" s="28">
        <f>IF('TAM Projet 1'!AM391&gt;0,'TAM Projet 1'!AM391,IF('TAM Projet 1'!AL391&gt;0,IF(AND(_EchFIXE1,H400&gt;0),ROUND(('TAM Projet 1'!AT391-'TAM Projet 1'!AK391)*H400/(1-((1+H400)^-'TAM Projet 1'!AL391)),_NbDeci1),ROUND('TAM Projet 1'!AT391/'TAM Projet 1'!AL391,_NbDeci1)),I399))</f>
        <v>187406.04</v>
      </c>
      <c r="J400" s="10"/>
      <c r="K400" s="10"/>
      <c r="L400" s="10"/>
      <c r="M400" s="10"/>
      <c r="O400" s="186">
        <v>398</v>
      </c>
    </row>
    <row r="401" spans="1:15" x14ac:dyDescent="0.2">
      <c r="A401" s="29">
        <f>IF('TAM Projet 1'!T392&gt;0,IF(_TauxActuariel,(('TAM Projet 1'!T392+1)^(1/_NbEchAn))-1,'TAM Projet 1'!T392/_NbEchAn),A400)</f>
        <v>1.5499999999999999E-3</v>
      </c>
      <c r="B401" s="28">
        <f>IF('TAM Projet 1'!W392&gt;0,'TAM Projet 1'!W392,IF('TAM Projet 1'!V392&gt;0,IF(AND(_EchFIXE,A401&gt;0),ROUND(('TAM Projet 1'!AD392-'TAM Projet 1'!U392)*A401/(1-((1+A401)^-'TAM Projet 1'!V392)),_NbDeci),ROUND('TAM Projet 1'!AD392/'TAM Projet 1'!V392,_NbDeci)),B400))</f>
        <v>768.98</v>
      </c>
      <c r="C401" s="10"/>
      <c r="D401" s="10"/>
      <c r="E401" s="10"/>
      <c r="F401" s="10"/>
      <c r="H401" s="29">
        <f>IF('TAM Projet 1'!AJ392&gt;0,IF(_TauxActuariel1,(('TAM Projet 1'!AJ392+1)^(1/_NbechAn1))-1,'TAM Projet 1'!AJ392/_NbechAn1),H400)</f>
        <v>8.3333333333333339E-4</v>
      </c>
      <c r="I401" s="28">
        <f>IF('TAM Projet 1'!AM392&gt;0,'TAM Projet 1'!AM392,IF('TAM Projet 1'!AL392&gt;0,IF(AND(_EchFIXE1,H401&gt;0),ROUND(('TAM Projet 1'!AT392-'TAM Projet 1'!AK392)*H401/(1-((1+H401)^-'TAM Projet 1'!AL392)),_NbDeci1),ROUND('TAM Projet 1'!AT392/'TAM Projet 1'!AL392,_NbDeci1)),I400))</f>
        <v>187406.04</v>
      </c>
      <c r="J401" s="10"/>
      <c r="K401" s="10"/>
      <c r="L401" s="10"/>
      <c r="M401" s="10"/>
      <c r="O401" s="186">
        <v>399</v>
      </c>
    </row>
    <row r="402" spans="1:15" x14ac:dyDescent="0.2">
      <c r="A402" s="29">
        <f>IF('TAM Projet 1'!T393&gt;0,IF(_TauxActuariel,(('TAM Projet 1'!T393+1)^(1/_NbEchAn))-1,'TAM Projet 1'!T393/_NbEchAn),A401)</f>
        <v>1.5499999999999999E-3</v>
      </c>
      <c r="B402" s="28">
        <f>IF('TAM Projet 1'!W393&gt;0,'TAM Projet 1'!W393,IF('TAM Projet 1'!V393&gt;0,IF(AND(_EchFIXE,A402&gt;0),ROUND(('TAM Projet 1'!AD393-'TAM Projet 1'!U393)*A402/(1-((1+A402)^-'TAM Projet 1'!V393)),_NbDeci),ROUND('TAM Projet 1'!AD393/'TAM Projet 1'!V393,_NbDeci)),B401))</f>
        <v>768.98</v>
      </c>
      <c r="C402" s="10"/>
      <c r="D402" s="10"/>
      <c r="E402" s="10"/>
      <c r="F402" s="10"/>
      <c r="H402" s="29">
        <f>IF('TAM Projet 1'!AJ393&gt;0,IF(_TauxActuariel1,(('TAM Projet 1'!AJ393+1)^(1/_NbechAn1))-1,'TAM Projet 1'!AJ393/_NbechAn1),H401)</f>
        <v>8.3333333333333339E-4</v>
      </c>
      <c r="I402" s="28">
        <f>IF('TAM Projet 1'!AM393&gt;0,'TAM Projet 1'!AM393,IF('TAM Projet 1'!AL393&gt;0,IF(AND(_EchFIXE1,H402&gt;0),ROUND(('TAM Projet 1'!AT393-'TAM Projet 1'!AK393)*H402/(1-((1+H402)^-'TAM Projet 1'!AL393)),_NbDeci1),ROUND('TAM Projet 1'!AT393/'TAM Projet 1'!AL393,_NbDeci1)),I401))</f>
        <v>187406.04</v>
      </c>
      <c r="J402" s="10"/>
      <c r="K402" s="10"/>
      <c r="L402" s="10"/>
      <c r="M402" s="10"/>
      <c r="O402" s="186">
        <v>400</v>
      </c>
    </row>
    <row r="403" spans="1:15" x14ac:dyDescent="0.2">
      <c r="A403" s="29">
        <f>IF('TAM Projet 1'!T394&gt;0,IF(_TauxActuariel,(('TAM Projet 1'!T394+1)^(1/_NbEchAn))-1,'TAM Projet 1'!T394/_NbEchAn),A402)</f>
        <v>1.5499999999999999E-3</v>
      </c>
      <c r="B403" s="28">
        <f>IF('TAM Projet 1'!W394&gt;0,'TAM Projet 1'!W394,IF('TAM Projet 1'!V394&gt;0,IF(AND(_EchFIXE,A403&gt;0),ROUND(('TAM Projet 1'!AD394-'TAM Projet 1'!U394)*A403/(1-((1+A403)^-'TAM Projet 1'!V394)),_NbDeci),ROUND('TAM Projet 1'!AD394/'TAM Projet 1'!V394,_NbDeci)),B402))</f>
        <v>768.98</v>
      </c>
      <c r="C403" s="10"/>
      <c r="D403" s="10"/>
      <c r="E403" s="10"/>
      <c r="F403" s="10"/>
      <c r="H403" s="29">
        <f>IF('TAM Projet 1'!AJ394&gt;0,IF(_TauxActuariel1,(('TAM Projet 1'!AJ394+1)^(1/_NbechAn1))-1,'TAM Projet 1'!AJ394/_NbechAn1),H402)</f>
        <v>8.3333333333333339E-4</v>
      </c>
      <c r="I403" s="28">
        <f>IF('TAM Projet 1'!AM394&gt;0,'TAM Projet 1'!AM394,IF('TAM Projet 1'!AL394&gt;0,IF(AND(_EchFIXE1,H403&gt;0),ROUND(('TAM Projet 1'!AT394-'TAM Projet 1'!AK394)*H403/(1-((1+H403)^-'TAM Projet 1'!AL394)),_NbDeci1),ROUND('TAM Projet 1'!AT394/'TAM Projet 1'!AL394,_NbDeci1)),I402))</f>
        <v>187406.04</v>
      </c>
      <c r="J403" s="10"/>
      <c r="K403" s="10"/>
      <c r="L403" s="10"/>
      <c r="M403" s="10"/>
      <c r="O403" s="186">
        <v>401</v>
      </c>
    </row>
    <row r="404" spans="1:15" x14ac:dyDescent="0.2">
      <c r="A404" s="29">
        <f>IF('TAM Projet 1'!T395&gt;0,IF(_TauxActuariel,(('TAM Projet 1'!T395+1)^(1/_NbEchAn))-1,'TAM Projet 1'!T395/_NbEchAn),A403)</f>
        <v>1.5499999999999999E-3</v>
      </c>
      <c r="B404" s="28">
        <f>IF('TAM Projet 1'!W395&gt;0,'TAM Projet 1'!W395,IF('TAM Projet 1'!V395&gt;0,IF(AND(_EchFIXE,A404&gt;0),ROUND(('TAM Projet 1'!AD395-'TAM Projet 1'!U395)*A404/(1-((1+A404)^-'TAM Projet 1'!V395)),_NbDeci),ROUND('TAM Projet 1'!AD395/'TAM Projet 1'!V395,_NbDeci)),B403))</f>
        <v>768.98</v>
      </c>
      <c r="C404" s="10"/>
      <c r="D404" s="10"/>
      <c r="E404" s="10"/>
      <c r="F404" s="10"/>
      <c r="H404" s="29">
        <f>IF('TAM Projet 1'!AJ395&gt;0,IF(_TauxActuariel1,(('TAM Projet 1'!AJ395+1)^(1/_NbechAn1))-1,'TAM Projet 1'!AJ395/_NbechAn1),H403)</f>
        <v>8.3333333333333339E-4</v>
      </c>
      <c r="I404" s="28">
        <f>IF('TAM Projet 1'!AM395&gt;0,'TAM Projet 1'!AM395,IF('TAM Projet 1'!AL395&gt;0,IF(AND(_EchFIXE1,H404&gt;0),ROUND(('TAM Projet 1'!AT395-'TAM Projet 1'!AK395)*H404/(1-((1+H404)^-'TAM Projet 1'!AL395)),_NbDeci1),ROUND('TAM Projet 1'!AT395/'TAM Projet 1'!AL395,_NbDeci1)),I403))</f>
        <v>187406.04</v>
      </c>
      <c r="J404" s="10"/>
      <c r="K404" s="10"/>
      <c r="L404" s="10"/>
      <c r="M404" s="10"/>
      <c r="O404" s="186">
        <v>402</v>
      </c>
    </row>
    <row r="405" spans="1:15" x14ac:dyDescent="0.2">
      <c r="A405" s="29">
        <f>IF('TAM Projet 1'!T396&gt;0,IF(_TauxActuariel,(('TAM Projet 1'!T396+1)^(1/_NbEchAn))-1,'TAM Projet 1'!T396/_NbEchAn),A404)</f>
        <v>1.5499999999999999E-3</v>
      </c>
      <c r="B405" s="28">
        <f>IF('TAM Projet 1'!W396&gt;0,'TAM Projet 1'!W396,IF('TAM Projet 1'!V396&gt;0,IF(AND(_EchFIXE,A405&gt;0),ROUND(('TAM Projet 1'!AD396-'TAM Projet 1'!U396)*A405/(1-((1+A405)^-'TAM Projet 1'!V396)),_NbDeci),ROUND('TAM Projet 1'!AD396/'TAM Projet 1'!V396,_NbDeci)),B404))</f>
        <v>768.98</v>
      </c>
      <c r="C405" s="10"/>
      <c r="D405" s="10"/>
      <c r="E405" s="10"/>
      <c r="F405" s="10"/>
      <c r="H405" s="29">
        <f>IF('TAM Projet 1'!AJ396&gt;0,IF(_TauxActuariel1,(('TAM Projet 1'!AJ396+1)^(1/_NbechAn1))-1,'TAM Projet 1'!AJ396/_NbechAn1),H404)</f>
        <v>8.3333333333333339E-4</v>
      </c>
      <c r="I405" s="28">
        <f>IF('TAM Projet 1'!AM396&gt;0,'TAM Projet 1'!AM396,IF('TAM Projet 1'!AL396&gt;0,IF(AND(_EchFIXE1,H405&gt;0),ROUND(('TAM Projet 1'!AT396-'TAM Projet 1'!AK396)*H405/(1-((1+H405)^-'TAM Projet 1'!AL396)),_NbDeci1),ROUND('TAM Projet 1'!AT396/'TAM Projet 1'!AL396,_NbDeci1)),I404))</f>
        <v>187406.04</v>
      </c>
      <c r="J405" s="10"/>
      <c r="K405" s="10"/>
      <c r="L405" s="10"/>
      <c r="M405" s="10"/>
      <c r="O405" s="186">
        <v>403</v>
      </c>
    </row>
    <row r="406" spans="1:15" x14ac:dyDescent="0.2">
      <c r="A406" s="29">
        <f>IF('TAM Projet 1'!T397&gt;0,IF(_TauxActuariel,(('TAM Projet 1'!T397+1)^(1/_NbEchAn))-1,'TAM Projet 1'!T397/_NbEchAn),A405)</f>
        <v>1.5499999999999999E-3</v>
      </c>
      <c r="B406" s="28">
        <f>IF('TAM Projet 1'!W397&gt;0,'TAM Projet 1'!W397,IF('TAM Projet 1'!V397&gt;0,IF(AND(_EchFIXE,A406&gt;0),ROUND(('TAM Projet 1'!AD397-'TAM Projet 1'!U397)*A406/(1-((1+A406)^-'TAM Projet 1'!V397)),_NbDeci),ROUND('TAM Projet 1'!AD397/'TAM Projet 1'!V397,_NbDeci)),B405))</f>
        <v>768.98</v>
      </c>
      <c r="C406" s="10"/>
      <c r="D406" s="10"/>
      <c r="E406" s="10"/>
      <c r="F406" s="10"/>
      <c r="H406" s="29">
        <f>IF('TAM Projet 1'!AJ397&gt;0,IF(_TauxActuariel1,(('TAM Projet 1'!AJ397+1)^(1/_NbechAn1))-1,'TAM Projet 1'!AJ397/_NbechAn1),H405)</f>
        <v>8.3333333333333339E-4</v>
      </c>
      <c r="I406" s="28">
        <f>IF('TAM Projet 1'!AM397&gt;0,'TAM Projet 1'!AM397,IF('TAM Projet 1'!AL397&gt;0,IF(AND(_EchFIXE1,H406&gt;0),ROUND(('TAM Projet 1'!AT397-'TAM Projet 1'!AK397)*H406/(1-((1+H406)^-'TAM Projet 1'!AL397)),_NbDeci1),ROUND('TAM Projet 1'!AT397/'TAM Projet 1'!AL397,_NbDeci1)),I405))</f>
        <v>187406.04</v>
      </c>
      <c r="J406" s="10"/>
      <c r="K406" s="10"/>
      <c r="L406" s="10"/>
      <c r="M406" s="10"/>
      <c r="O406" s="186">
        <v>404</v>
      </c>
    </row>
    <row r="407" spans="1:15" x14ac:dyDescent="0.2">
      <c r="A407" s="29">
        <f>IF('TAM Projet 1'!T398&gt;0,IF(_TauxActuariel,(('TAM Projet 1'!T398+1)^(1/_NbEchAn))-1,'TAM Projet 1'!T398/_NbEchAn),A406)</f>
        <v>1.5499999999999999E-3</v>
      </c>
      <c r="B407" s="28">
        <f>IF('TAM Projet 1'!W398&gt;0,'TAM Projet 1'!W398,IF('TAM Projet 1'!V398&gt;0,IF(AND(_EchFIXE,A407&gt;0),ROUND(('TAM Projet 1'!AD398-'TAM Projet 1'!U398)*A407/(1-((1+A407)^-'TAM Projet 1'!V398)),_NbDeci),ROUND('TAM Projet 1'!AD398/'TAM Projet 1'!V398,_NbDeci)),B406))</f>
        <v>768.98</v>
      </c>
      <c r="C407" s="10"/>
      <c r="D407" s="10"/>
      <c r="E407" s="10"/>
      <c r="F407" s="10"/>
      <c r="H407" s="29">
        <f>IF('TAM Projet 1'!AJ398&gt;0,IF(_TauxActuariel1,(('TAM Projet 1'!AJ398+1)^(1/_NbechAn1))-1,'TAM Projet 1'!AJ398/_NbechAn1),H406)</f>
        <v>8.3333333333333339E-4</v>
      </c>
      <c r="I407" s="28">
        <f>IF('TAM Projet 1'!AM398&gt;0,'TAM Projet 1'!AM398,IF('TAM Projet 1'!AL398&gt;0,IF(AND(_EchFIXE1,H407&gt;0),ROUND(('TAM Projet 1'!AT398-'TAM Projet 1'!AK398)*H407/(1-((1+H407)^-'TAM Projet 1'!AL398)),_NbDeci1),ROUND('TAM Projet 1'!AT398/'TAM Projet 1'!AL398,_NbDeci1)),I406))</f>
        <v>187406.04</v>
      </c>
      <c r="J407" s="10"/>
      <c r="K407" s="10"/>
      <c r="L407" s="10"/>
      <c r="M407" s="10"/>
      <c r="O407" s="186">
        <v>405</v>
      </c>
    </row>
    <row r="408" spans="1:15" x14ac:dyDescent="0.2">
      <c r="A408" s="29">
        <f>IF('TAM Projet 1'!T399&gt;0,IF(_TauxActuariel,(('TAM Projet 1'!T399+1)^(1/_NbEchAn))-1,'TAM Projet 1'!T399/_NbEchAn),A407)</f>
        <v>1.5499999999999999E-3</v>
      </c>
      <c r="B408" s="28">
        <f>IF('TAM Projet 1'!W399&gt;0,'TAM Projet 1'!W399,IF('TAM Projet 1'!V399&gt;0,IF(AND(_EchFIXE,A408&gt;0),ROUND(('TAM Projet 1'!AD399-'TAM Projet 1'!U399)*A408/(1-((1+A408)^-'TAM Projet 1'!V399)),_NbDeci),ROUND('TAM Projet 1'!AD399/'TAM Projet 1'!V399,_NbDeci)),B407))</f>
        <v>768.98</v>
      </c>
      <c r="C408" s="10"/>
      <c r="D408" s="10"/>
      <c r="E408" s="10"/>
      <c r="F408" s="10"/>
      <c r="H408" s="29">
        <f>IF('TAM Projet 1'!AJ399&gt;0,IF(_TauxActuariel1,(('TAM Projet 1'!AJ399+1)^(1/_NbechAn1))-1,'TAM Projet 1'!AJ399/_NbechAn1),H407)</f>
        <v>8.3333333333333339E-4</v>
      </c>
      <c r="I408" s="28">
        <f>IF('TAM Projet 1'!AM399&gt;0,'TAM Projet 1'!AM399,IF('TAM Projet 1'!AL399&gt;0,IF(AND(_EchFIXE1,H408&gt;0),ROUND(('TAM Projet 1'!AT399-'TAM Projet 1'!AK399)*H408/(1-((1+H408)^-'TAM Projet 1'!AL399)),_NbDeci1),ROUND('TAM Projet 1'!AT399/'TAM Projet 1'!AL399,_NbDeci1)),I407))</f>
        <v>187406.04</v>
      </c>
      <c r="J408" s="10"/>
      <c r="K408" s="10"/>
      <c r="L408" s="10"/>
      <c r="M408" s="10"/>
      <c r="O408" s="186">
        <v>406</v>
      </c>
    </row>
    <row r="409" spans="1:15" x14ac:dyDescent="0.2">
      <c r="A409" s="29">
        <f>IF('TAM Projet 1'!T400&gt;0,IF(_TauxActuariel,(('TAM Projet 1'!T400+1)^(1/_NbEchAn))-1,'TAM Projet 1'!T400/_NbEchAn),A408)</f>
        <v>1.5499999999999999E-3</v>
      </c>
      <c r="B409" s="28">
        <f>IF('TAM Projet 1'!W400&gt;0,'TAM Projet 1'!W400,IF('TAM Projet 1'!V400&gt;0,IF(AND(_EchFIXE,A409&gt;0),ROUND(('TAM Projet 1'!AD400-'TAM Projet 1'!U400)*A409/(1-((1+A409)^-'TAM Projet 1'!V400)),_NbDeci),ROUND('TAM Projet 1'!AD400/'TAM Projet 1'!V400,_NbDeci)),B408))</f>
        <v>768.98</v>
      </c>
      <c r="C409" s="10"/>
      <c r="D409" s="10"/>
      <c r="E409" s="10"/>
      <c r="F409" s="10"/>
      <c r="H409" s="29">
        <f>IF('TAM Projet 1'!AJ400&gt;0,IF(_TauxActuariel1,(('TAM Projet 1'!AJ400+1)^(1/_NbechAn1))-1,'TAM Projet 1'!AJ400/_NbechAn1),H408)</f>
        <v>8.3333333333333339E-4</v>
      </c>
      <c r="I409" s="28">
        <f>IF('TAM Projet 1'!AM400&gt;0,'TAM Projet 1'!AM400,IF('TAM Projet 1'!AL400&gt;0,IF(AND(_EchFIXE1,H409&gt;0),ROUND(('TAM Projet 1'!AT400-'TAM Projet 1'!AK400)*H409/(1-((1+H409)^-'TAM Projet 1'!AL400)),_NbDeci1),ROUND('TAM Projet 1'!AT400/'TAM Projet 1'!AL400,_NbDeci1)),I408))</f>
        <v>187406.04</v>
      </c>
      <c r="J409" s="10"/>
      <c r="K409" s="10"/>
      <c r="L409" s="10"/>
      <c r="M409" s="10"/>
      <c r="O409" s="186">
        <v>407</v>
      </c>
    </row>
    <row r="410" spans="1:15" x14ac:dyDescent="0.2">
      <c r="A410" s="29">
        <f>IF('TAM Projet 1'!T401&gt;0,IF(_TauxActuariel,(('TAM Projet 1'!T401+1)^(1/_NbEchAn))-1,'TAM Projet 1'!T401/_NbEchAn),A409)</f>
        <v>1.5499999999999999E-3</v>
      </c>
      <c r="B410" s="28">
        <f>IF('TAM Projet 1'!W401&gt;0,'TAM Projet 1'!W401,IF('TAM Projet 1'!V401&gt;0,IF(AND(_EchFIXE,A410&gt;0),ROUND(('TAM Projet 1'!AD401-'TAM Projet 1'!U401)*A410/(1-((1+A410)^-'TAM Projet 1'!V401)),_NbDeci),ROUND('TAM Projet 1'!AD401/'TAM Projet 1'!V401,_NbDeci)),B409))</f>
        <v>768.98</v>
      </c>
      <c r="C410" s="10"/>
      <c r="D410" s="10"/>
      <c r="E410" s="10"/>
      <c r="F410" s="10"/>
      <c r="H410" s="29">
        <f>IF('TAM Projet 1'!AJ401&gt;0,IF(_TauxActuariel1,(('TAM Projet 1'!AJ401+1)^(1/_NbechAn1))-1,'TAM Projet 1'!AJ401/_NbechAn1),H409)</f>
        <v>8.3333333333333339E-4</v>
      </c>
      <c r="I410" s="28">
        <f>IF('TAM Projet 1'!AM401&gt;0,'TAM Projet 1'!AM401,IF('TAM Projet 1'!AL401&gt;0,IF(AND(_EchFIXE1,H410&gt;0),ROUND(('TAM Projet 1'!AT401-'TAM Projet 1'!AK401)*H410/(1-((1+H410)^-'TAM Projet 1'!AL401)),_NbDeci1),ROUND('TAM Projet 1'!AT401/'TAM Projet 1'!AL401,_NbDeci1)),I409))</f>
        <v>187406.04</v>
      </c>
      <c r="J410" s="10"/>
      <c r="K410" s="10"/>
      <c r="L410" s="10"/>
      <c r="M410" s="10"/>
      <c r="O410" s="186">
        <v>408</v>
      </c>
    </row>
    <row r="411" spans="1:15" x14ac:dyDescent="0.2">
      <c r="A411" s="29">
        <f>IF('TAM Projet 1'!T402&gt;0,IF(_TauxActuariel,(('TAM Projet 1'!T402+1)^(1/_NbEchAn))-1,'TAM Projet 1'!T402/_NbEchAn),A410)</f>
        <v>1.5499999999999999E-3</v>
      </c>
      <c r="B411" s="28">
        <f>IF('TAM Projet 1'!W402&gt;0,'TAM Projet 1'!W402,IF('TAM Projet 1'!V402&gt;0,IF(AND(_EchFIXE,A411&gt;0),ROUND(('TAM Projet 1'!AD402-'TAM Projet 1'!U402)*A411/(1-((1+A411)^-'TAM Projet 1'!V402)),_NbDeci),ROUND('TAM Projet 1'!AD402/'TAM Projet 1'!V402,_NbDeci)),B410))</f>
        <v>768.98</v>
      </c>
      <c r="C411" s="10"/>
      <c r="D411" s="10"/>
      <c r="E411" s="10"/>
      <c r="F411" s="10"/>
      <c r="H411" s="29">
        <f>IF('TAM Projet 1'!AJ402&gt;0,IF(_TauxActuariel1,(('TAM Projet 1'!AJ402+1)^(1/_NbechAn1))-1,'TAM Projet 1'!AJ402/_NbechAn1),H410)</f>
        <v>8.3333333333333339E-4</v>
      </c>
      <c r="I411" s="28">
        <f>IF('TAM Projet 1'!AM402&gt;0,'TAM Projet 1'!AM402,IF('TAM Projet 1'!AL402&gt;0,IF(AND(_EchFIXE1,H411&gt;0),ROUND(('TAM Projet 1'!AT402-'TAM Projet 1'!AK402)*H411/(1-((1+H411)^-'TAM Projet 1'!AL402)),_NbDeci1),ROUND('TAM Projet 1'!AT402/'TAM Projet 1'!AL402,_NbDeci1)),I410))</f>
        <v>187406.04</v>
      </c>
      <c r="J411" s="10"/>
      <c r="K411" s="10"/>
      <c r="L411" s="10"/>
      <c r="M411" s="10"/>
      <c r="O411" s="186">
        <v>409</v>
      </c>
    </row>
    <row r="412" spans="1:15" x14ac:dyDescent="0.2">
      <c r="A412" s="29">
        <f>IF('TAM Projet 1'!T403&gt;0,IF(_TauxActuariel,(('TAM Projet 1'!T403+1)^(1/_NbEchAn))-1,'TAM Projet 1'!T403/_NbEchAn),A411)</f>
        <v>1.5499999999999999E-3</v>
      </c>
      <c r="B412" s="28">
        <f>IF('TAM Projet 1'!W403&gt;0,'TAM Projet 1'!W403,IF('TAM Projet 1'!V403&gt;0,IF(AND(_EchFIXE,A412&gt;0),ROUND(('TAM Projet 1'!AD403-'TAM Projet 1'!U403)*A412/(1-((1+A412)^-'TAM Projet 1'!V403)),_NbDeci),ROUND('TAM Projet 1'!AD403/'TAM Projet 1'!V403,_NbDeci)),B411))</f>
        <v>768.98</v>
      </c>
      <c r="C412" s="10"/>
      <c r="D412" s="10"/>
      <c r="E412" s="10"/>
      <c r="F412" s="10"/>
      <c r="H412" s="29">
        <f>IF('TAM Projet 1'!AJ403&gt;0,IF(_TauxActuariel1,(('TAM Projet 1'!AJ403+1)^(1/_NbechAn1))-1,'TAM Projet 1'!AJ403/_NbechAn1),H411)</f>
        <v>8.3333333333333339E-4</v>
      </c>
      <c r="I412" s="28">
        <f>IF('TAM Projet 1'!AM403&gt;0,'TAM Projet 1'!AM403,IF('TAM Projet 1'!AL403&gt;0,IF(AND(_EchFIXE1,H412&gt;0),ROUND(('TAM Projet 1'!AT403-'TAM Projet 1'!AK403)*H412/(1-((1+H412)^-'TAM Projet 1'!AL403)),_NbDeci1),ROUND('TAM Projet 1'!AT403/'TAM Projet 1'!AL403,_NbDeci1)),I411))</f>
        <v>187406.04</v>
      </c>
      <c r="J412" s="10"/>
      <c r="K412" s="10"/>
      <c r="L412" s="10"/>
      <c r="M412" s="10"/>
      <c r="O412" s="186">
        <v>410</v>
      </c>
    </row>
    <row r="413" spans="1:15" x14ac:dyDescent="0.2">
      <c r="A413" s="29">
        <f>IF('TAM Projet 1'!T404&gt;0,IF(_TauxActuariel,(('TAM Projet 1'!T404+1)^(1/_NbEchAn))-1,'TAM Projet 1'!T404/_NbEchAn),A412)</f>
        <v>1.5499999999999999E-3</v>
      </c>
      <c r="B413" s="28">
        <f>IF('TAM Projet 1'!W404&gt;0,'TAM Projet 1'!W404,IF('TAM Projet 1'!V404&gt;0,IF(AND(_EchFIXE,A413&gt;0),ROUND(('TAM Projet 1'!AD404-'TAM Projet 1'!U404)*A413/(1-((1+A413)^-'TAM Projet 1'!V404)),_NbDeci),ROUND('TAM Projet 1'!AD404/'TAM Projet 1'!V404,_NbDeci)),B412))</f>
        <v>768.98</v>
      </c>
      <c r="C413" s="10"/>
      <c r="D413" s="10"/>
      <c r="E413" s="10"/>
      <c r="F413" s="10"/>
      <c r="H413" s="29">
        <f>IF('TAM Projet 1'!AJ404&gt;0,IF(_TauxActuariel1,(('TAM Projet 1'!AJ404+1)^(1/_NbechAn1))-1,'TAM Projet 1'!AJ404/_NbechAn1),H412)</f>
        <v>8.3333333333333339E-4</v>
      </c>
      <c r="I413" s="28">
        <f>IF('TAM Projet 1'!AM404&gt;0,'TAM Projet 1'!AM404,IF('TAM Projet 1'!AL404&gt;0,IF(AND(_EchFIXE1,H413&gt;0),ROUND(('TAM Projet 1'!AT404-'TAM Projet 1'!AK404)*H413/(1-((1+H413)^-'TAM Projet 1'!AL404)),_NbDeci1),ROUND('TAM Projet 1'!AT404/'TAM Projet 1'!AL404,_NbDeci1)),I412))</f>
        <v>187406.04</v>
      </c>
      <c r="J413" s="10"/>
      <c r="K413" s="10"/>
      <c r="L413" s="10"/>
      <c r="M413" s="10"/>
      <c r="O413" s="186">
        <v>411</v>
      </c>
    </row>
    <row r="414" spans="1:15" x14ac:dyDescent="0.2">
      <c r="A414" s="29">
        <f>IF('TAM Projet 1'!T405&gt;0,IF(_TauxActuariel,(('TAM Projet 1'!T405+1)^(1/_NbEchAn))-1,'TAM Projet 1'!T405/_NbEchAn),A413)</f>
        <v>1.5499999999999999E-3</v>
      </c>
      <c r="B414" s="28">
        <f>IF('TAM Projet 1'!W405&gt;0,'TAM Projet 1'!W405,IF('TAM Projet 1'!V405&gt;0,IF(AND(_EchFIXE,A414&gt;0),ROUND(('TAM Projet 1'!AD405-'TAM Projet 1'!U405)*A414/(1-((1+A414)^-'TAM Projet 1'!V405)),_NbDeci),ROUND('TAM Projet 1'!AD405/'TAM Projet 1'!V405,_NbDeci)),B413))</f>
        <v>768.98</v>
      </c>
      <c r="C414" s="10"/>
      <c r="D414" s="10"/>
      <c r="E414" s="10"/>
      <c r="F414" s="10"/>
      <c r="H414" s="29">
        <f>IF('TAM Projet 1'!AJ405&gt;0,IF(_TauxActuariel1,(('TAM Projet 1'!AJ405+1)^(1/_NbechAn1))-1,'TAM Projet 1'!AJ405/_NbechAn1),H413)</f>
        <v>8.3333333333333339E-4</v>
      </c>
      <c r="I414" s="28">
        <f>IF('TAM Projet 1'!AM405&gt;0,'TAM Projet 1'!AM405,IF('TAM Projet 1'!AL405&gt;0,IF(AND(_EchFIXE1,H414&gt;0),ROUND(('TAM Projet 1'!AT405-'TAM Projet 1'!AK405)*H414/(1-((1+H414)^-'TAM Projet 1'!AL405)),_NbDeci1),ROUND('TAM Projet 1'!AT405/'TAM Projet 1'!AL405,_NbDeci1)),I413))</f>
        <v>187406.04</v>
      </c>
      <c r="J414" s="10"/>
      <c r="K414" s="10"/>
      <c r="L414" s="10"/>
      <c r="M414" s="10"/>
      <c r="O414" s="186">
        <v>412</v>
      </c>
    </row>
    <row r="415" spans="1:15" x14ac:dyDescent="0.2">
      <c r="A415" s="29">
        <f>IF('TAM Projet 1'!T406&gt;0,IF(_TauxActuariel,(('TAM Projet 1'!T406+1)^(1/_NbEchAn))-1,'TAM Projet 1'!T406/_NbEchAn),A414)</f>
        <v>1.5499999999999999E-3</v>
      </c>
      <c r="B415" s="28">
        <f>IF('TAM Projet 1'!W406&gt;0,'TAM Projet 1'!W406,IF('TAM Projet 1'!V406&gt;0,IF(AND(_EchFIXE,A415&gt;0),ROUND(('TAM Projet 1'!AD406-'TAM Projet 1'!U406)*A415/(1-((1+A415)^-'TAM Projet 1'!V406)),_NbDeci),ROUND('TAM Projet 1'!AD406/'TAM Projet 1'!V406,_NbDeci)),B414))</f>
        <v>768.98</v>
      </c>
      <c r="C415" s="10"/>
      <c r="D415" s="10"/>
      <c r="E415" s="10"/>
      <c r="F415" s="10"/>
      <c r="H415" s="29">
        <f>IF('TAM Projet 1'!AJ406&gt;0,IF(_TauxActuariel1,(('TAM Projet 1'!AJ406+1)^(1/_NbechAn1))-1,'TAM Projet 1'!AJ406/_NbechAn1),H414)</f>
        <v>8.3333333333333339E-4</v>
      </c>
      <c r="I415" s="28">
        <f>IF('TAM Projet 1'!AM406&gt;0,'TAM Projet 1'!AM406,IF('TAM Projet 1'!AL406&gt;0,IF(AND(_EchFIXE1,H415&gt;0),ROUND(('TAM Projet 1'!AT406-'TAM Projet 1'!AK406)*H415/(1-((1+H415)^-'TAM Projet 1'!AL406)),_NbDeci1),ROUND('TAM Projet 1'!AT406/'TAM Projet 1'!AL406,_NbDeci1)),I414))</f>
        <v>187406.04</v>
      </c>
      <c r="J415" s="10"/>
      <c r="K415" s="10"/>
      <c r="L415" s="10"/>
      <c r="M415" s="10"/>
      <c r="O415" s="186">
        <v>413</v>
      </c>
    </row>
    <row r="416" spans="1:15" x14ac:dyDescent="0.2">
      <c r="A416" s="29">
        <f>IF('TAM Projet 1'!T407&gt;0,IF(_TauxActuariel,(('TAM Projet 1'!T407+1)^(1/_NbEchAn))-1,'TAM Projet 1'!T407/_NbEchAn),A415)</f>
        <v>1.5499999999999999E-3</v>
      </c>
      <c r="B416" s="28">
        <f>IF('TAM Projet 1'!W407&gt;0,'TAM Projet 1'!W407,IF('TAM Projet 1'!V407&gt;0,IF(AND(_EchFIXE,A416&gt;0),ROUND(('TAM Projet 1'!AD407-'TAM Projet 1'!U407)*A416/(1-((1+A416)^-'TAM Projet 1'!V407)),_NbDeci),ROUND('TAM Projet 1'!AD407/'TAM Projet 1'!V407,_NbDeci)),B415))</f>
        <v>768.98</v>
      </c>
      <c r="C416" s="10"/>
      <c r="D416" s="10"/>
      <c r="E416" s="10"/>
      <c r="F416" s="10"/>
      <c r="H416" s="29">
        <f>IF('TAM Projet 1'!AJ407&gt;0,IF(_TauxActuariel1,(('TAM Projet 1'!AJ407+1)^(1/_NbechAn1))-1,'TAM Projet 1'!AJ407/_NbechAn1),H415)</f>
        <v>8.3333333333333339E-4</v>
      </c>
      <c r="I416" s="28">
        <f>IF('TAM Projet 1'!AM407&gt;0,'TAM Projet 1'!AM407,IF('TAM Projet 1'!AL407&gt;0,IF(AND(_EchFIXE1,H416&gt;0),ROUND(('TAM Projet 1'!AT407-'TAM Projet 1'!AK407)*H416/(1-((1+H416)^-'TAM Projet 1'!AL407)),_NbDeci1),ROUND('TAM Projet 1'!AT407/'TAM Projet 1'!AL407,_NbDeci1)),I415))</f>
        <v>187406.04</v>
      </c>
      <c r="J416" s="10"/>
      <c r="K416" s="10"/>
      <c r="L416" s="10"/>
      <c r="M416" s="10"/>
      <c r="O416" s="186">
        <v>414</v>
      </c>
    </row>
    <row r="417" spans="1:15" x14ac:dyDescent="0.2">
      <c r="A417" s="29">
        <f>IF('TAM Projet 1'!T408&gt;0,IF(_TauxActuariel,(('TAM Projet 1'!T408+1)^(1/_NbEchAn))-1,'TAM Projet 1'!T408/_NbEchAn),A416)</f>
        <v>1.5499999999999999E-3</v>
      </c>
      <c r="B417" s="28">
        <f>IF('TAM Projet 1'!W408&gt;0,'TAM Projet 1'!W408,IF('TAM Projet 1'!V408&gt;0,IF(AND(_EchFIXE,A417&gt;0),ROUND(('TAM Projet 1'!AD408-'TAM Projet 1'!U408)*A417/(1-((1+A417)^-'TAM Projet 1'!V408)),_NbDeci),ROUND('TAM Projet 1'!AD408/'TAM Projet 1'!V408,_NbDeci)),B416))</f>
        <v>768.98</v>
      </c>
      <c r="C417" s="10"/>
      <c r="D417" s="10"/>
      <c r="E417" s="10"/>
      <c r="F417" s="10"/>
      <c r="H417" s="29">
        <f>IF('TAM Projet 1'!AJ408&gt;0,IF(_TauxActuariel1,(('TAM Projet 1'!AJ408+1)^(1/_NbechAn1))-1,'TAM Projet 1'!AJ408/_NbechAn1),H416)</f>
        <v>8.3333333333333339E-4</v>
      </c>
      <c r="I417" s="28">
        <f>IF('TAM Projet 1'!AM408&gt;0,'TAM Projet 1'!AM408,IF('TAM Projet 1'!AL408&gt;0,IF(AND(_EchFIXE1,H417&gt;0),ROUND(('TAM Projet 1'!AT408-'TAM Projet 1'!AK408)*H417/(1-((1+H417)^-'TAM Projet 1'!AL408)),_NbDeci1),ROUND('TAM Projet 1'!AT408/'TAM Projet 1'!AL408,_NbDeci1)),I416))</f>
        <v>187406.04</v>
      </c>
      <c r="J417" s="10"/>
      <c r="K417" s="10"/>
      <c r="L417" s="10"/>
      <c r="M417" s="10"/>
      <c r="O417" s="186">
        <v>415</v>
      </c>
    </row>
    <row r="418" spans="1:15" x14ac:dyDescent="0.2">
      <c r="A418" s="29">
        <f>IF('TAM Projet 1'!T409&gt;0,IF(_TauxActuariel,(('TAM Projet 1'!T409+1)^(1/_NbEchAn))-1,'TAM Projet 1'!T409/_NbEchAn),A417)</f>
        <v>1.5499999999999999E-3</v>
      </c>
      <c r="B418" s="28">
        <f>IF('TAM Projet 1'!W409&gt;0,'TAM Projet 1'!W409,IF('TAM Projet 1'!V409&gt;0,IF(AND(_EchFIXE,A418&gt;0),ROUND(('TAM Projet 1'!AD409-'TAM Projet 1'!U409)*A418/(1-((1+A418)^-'TAM Projet 1'!V409)),_NbDeci),ROUND('TAM Projet 1'!AD409/'TAM Projet 1'!V409,_NbDeci)),B417))</f>
        <v>768.98</v>
      </c>
      <c r="C418" s="10"/>
      <c r="D418" s="10"/>
      <c r="E418" s="10"/>
      <c r="F418" s="10"/>
      <c r="H418" s="29">
        <f>IF('TAM Projet 1'!AJ409&gt;0,IF(_TauxActuariel1,(('TAM Projet 1'!AJ409+1)^(1/_NbechAn1))-1,'TAM Projet 1'!AJ409/_NbechAn1),H417)</f>
        <v>8.3333333333333339E-4</v>
      </c>
      <c r="I418" s="28">
        <f>IF('TAM Projet 1'!AM409&gt;0,'TAM Projet 1'!AM409,IF('TAM Projet 1'!AL409&gt;0,IF(AND(_EchFIXE1,H418&gt;0),ROUND(('TAM Projet 1'!AT409-'TAM Projet 1'!AK409)*H418/(1-((1+H418)^-'TAM Projet 1'!AL409)),_NbDeci1),ROUND('TAM Projet 1'!AT409/'TAM Projet 1'!AL409,_NbDeci1)),I417))</f>
        <v>187406.04</v>
      </c>
      <c r="J418" s="10"/>
      <c r="K418" s="10"/>
      <c r="L418" s="10"/>
      <c r="M418" s="10"/>
      <c r="O418" s="186">
        <v>416</v>
      </c>
    </row>
    <row r="419" spans="1:15" x14ac:dyDescent="0.2">
      <c r="A419" s="29">
        <f>IF('TAM Projet 1'!T410&gt;0,IF(_TauxActuariel,(('TAM Projet 1'!T410+1)^(1/_NbEchAn))-1,'TAM Projet 1'!T410/_NbEchAn),A418)</f>
        <v>1.5499999999999999E-3</v>
      </c>
      <c r="B419" s="28">
        <f>IF('TAM Projet 1'!W410&gt;0,'TAM Projet 1'!W410,IF('TAM Projet 1'!V410&gt;0,IF(AND(_EchFIXE,A419&gt;0),ROUND(('TAM Projet 1'!AD410-'TAM Projet 1'!U410)*A419/(1-((1+A419)^-'TAM Projet 1'!V410)),_NbDeci),ROUND('TAM Projet 1'!AD410/'TAM Projet 1'!V410,_NbDeci)),B418))</f>
        <v>768.98</v>
      </c>
      <c r="C419" s="10"/>
      <c r="D419" s="10"/>
      <c r="E419" s="10"/>
      <c r="F419" s="10"/>
      <c r="H419" s="29">
        <f>IF('TAM Projet 1'!AJ410&gt;0,IF(_TauxActuariel1,(('TAM Projet 1'!AJ410+1)^(1/_NbechAn1))-1,'TAM Projet 1'!AJ410/_NbechAn1),H418)</f>
        <v>8.3333333333333339E-4</v>
      </c>
      <c r="I419" s="28">
        <f>IF('TAM Projet 1'!AM410&gt;0,'TAM Projet 1'!AM410,IF('TAM Projet 1'!AL410&gt;0,IF(AND(_EchFIXE1,H419&gt;0),ROUND(('TAM Projet 1'!AT410-'TAM Projet 1'!AK410)*H419/(1-((1+H419)^-'TAM Projet 1'!AL410)),_NbDeci1),ROUND('TAM Projet 1'!AT410/'TAM Projet 1'!AL410,_NbDeci1)),I418))</f>
        <v>187406.04</v>
      </c>
      <c r="J419" s="10"/>
      <c r="K419" s="10"/>
      <c r="L419" s="10"/>
      <c r="M419" s="10"/>
      <c r="O419" s="186">
        <v>417</v>
      </c>
    </row>
    <row r="420" spans="1:15" x14ac:dyDescent="0.2">
      <c r="A420" s="29">
        <f>IF('TAM Projet 1'!T411&gt;0,IF(_TauxActuariel,(('TAM Projet 1'!T411+1)^(1/_NbEchAn))-1,'TAM Projet 1'!T411/_NbEchAn),A419)</f>
        <v>1.5499999999999999E-3</v>
      </c>
      <c r="B420" s="28">
        <f>IF('TAM Projet 1'!W411&gt;0,'TAM Projet 1'!W411,IF('TAM Projet 1'!V411&gt;0,IF(AND(_EchFIXE,A420&gt;0),ROUND(('TAM Projet 1'!AD411-'TAM Projet 1'!U411)*A420/(1-((1+A420)^-'TAM Projet 1'!V411)),_NbDeci),ROUND('TAM Projet 1'!AD411/'TAM Projet 1'!V411,_NbDeci)),B419))</f>
        <v>768.98</v>
      </c>
      <c r="C420" s="10"/>
      <c r="D420" s="10"/>
      <c r="E420" s="10"/>
      <c r="F420" s="10"/>
      <c r="H420" s="29">
        <f>IF('TAM Projet 1'!AJ411&gt;0,IF(_TauxActuariel1,(('TAM Projet 1'!AJ411+1)^(1/_NbechAn1))-1,'TAM Projet 1'!AJ411/_NbechAn1),H419)</f>
        <v>8.3333333333333339E-4</v>
      </c>
      <c r="I420" s="28">
        <f>IF('TAM Projet 1'!AM411&gt;0,'TAM Projet 1'!AM411,IF('TAM Projet 1'!AL411&gt;0,IF(AND(_EchFIXE1,H420&gt;0),ROUND(('TAM Projet 1'!AT411-'TAM Projet 1'!AK411)*H420/(1-((1+H420)^-'TAM Projet 1'!AL411)),_NbDeci1),ROUND('TAM Projet 1'!AT411/'TAM Projet 1'!AL411,_NbDeci1)),I419))</f>
        <v>187406.04</v>
      </c>
      <c r="J420" s="10"/>
      <c r="K420" s="10"/>
      <c r="L420" s="10"/>
      <c r="M420" s="10"/>
      <c r="O420" s="186">
        <v>418</v>
      </c>
    </row>
    <row r="421" spans="1:15" x14ac:dyDescent="0.2">
      <c r="A421" s="29">
        <f>IF('TAM Projet 1'!T412&gt;0,IF(_TauxActuariel,(('TAM Projet 1'!T412+1)^(1/_NbEchAn))-1,'TAM Projet 1'!T412/_NbEchAn),A420)</f>
        <v>1.5499999999999999E-3</v>
      </c>
      <c r="B421" s="28">
        <f>IF('TAM Projet 1'!W412&gt;0,'TAM Projet 1'!W412,IF('TAM Projet 1'!V412&gt;0,IF(AND(_EchFIXE,A421&gt;0),ROUND(('TAM Projet 1'!AD412-'TAM Projet 1'!U412)*A421/(1-((1+A421)^-'TAM Projet 1'!V412)),_NbDeci),ROUND('TAM Projet 1'!AD412/'TAM Projet 1'!V412,_NbDeci)),B420))</f>
        <v>768.98</v>
      </c>
      <c r="C421" s="10"/>
      <c r="D421" s="10"/>
      <c r="E421" s="10"/>
      <c r="F421" s="10"/>
      <c r="H421" s="29">
        <f>IF('TAM Projet 1'!AJ412&gt;0,IF(_TauxActuariel1,(('TAM Projet 1'!AJ412+1)^(1/_NbechAn1))-1,'TAM Projet 1'!AJ412/_NbechAn1),H420)</f>
        <v>8.3333333333333339E-4</v>
      </c>
      <c r="I421" s="28">
        <f>IF('TAM Projet 1'!AM412&gt;0,'TAM Projet 1'!AM412,IF('TAM Projet 1'!AL412&gt;0,IF(AND(_EchFIXE1,H421&gt;0),ROUND(('TAM Projet 1'!AT412-'TAM Projet 1'!AK412)*H421/(1-((1+H421)^-'TAM Projet 1'!AL412)),_NbDeci1),ROUND('TAM Projet 1'!AT412/'TAM Projet 1'!AL412,_NbDeci1)),I420))</f>
        <v>187406.04</v>
      </c>
      <c r="J421" s="10"/>
      <c r="K421" s="10"/>
      <c r="L421" s="10"/>
      <c r="M421" s="10"/>
      <c r="O421" s="186">
        <v>419</v>
      </c>
    </row>
    <row r="422" spans="1:15" x14ac:dyDescent="0.2">
      <c r="A422" s="29">
        <f>IF('TAM Projet 1'!T413&gt;0,IF(_TauxActuariel,(('TAM Projet 1'!T413+1)^(1/_NbEchAn))-1,'TAM Projet 1'!T413/_NbEchAn),A421)</f>
        <v>1.5499999999999999E-3</v>
      </c>
      <c r="B422" s="28">
        <f>IF('TAM Projet 1'!W413&gt;0,'TAM Projet 1'!W413,IF('TAM Projet 1'!V413&gt;0,IF(AND(_EchFIXE,A422&gt;0),ROUND(('TAM Projet 1'!AD413-'TAM Projet 1'!U413)*A422/(1-((1+A422)^-'TAM Projet 1'!V413)),_NbDeci),ROUND('TAM Projet 1'!AD413/'TAM Projet 1'!V413,_NbDeci)),B421))</f>
        <v>768.98</v>
      </c>
      <c r="C422" s="10"/>
      <c r="D422" s="10"/>
      <c r="E422" s="10"/>
      <c r="F422" s="10"/>
      <c r="H422" s="29">
        <f>IF('TAM Projet 1'!AJ413&gt;0,IF(_TauxActuariel1,(('TAM Projet 1'!AJ413+1)^(1/_NbechAn1))-1,'TAM Projet 1'!AJ413/_NbechAn1),H421)</f>
        <v>8.3333333333333339E-4</v>
      </c>
      <c r="I422" s="28">
        <f>IF('TAM Projet 1'!AM413&gt;0,'TAM Projet 1'!AM413,IF('TAM Projet 1'!AL413&gt;0,IF(AND(_EchFIXE1,H422&gt;0),ROUND(('TAM Projet 1'!AT413-'TAM Projet 1'!AK413)*H422/(1-((1+H422)^-'TAM Projet 1'!AL413)),_NbDeci1),ROUND('TAM Projet 1'!AT413/'TAM Projet 1'!AL413,_NbDeci1)),I421))</f>
        <v>187406.04</v>
      </c>
      <c r="J422" s="10"/>
      <c r="K422" s="10"/>
      <c r="L422" s="10"/>
      <c r="M422" s="10"/>
      <c r="O422" s="186">
        <v>420</v>
      </c>
    </row>
    <row r="423" spans="1:15" x14ac:dyDescent="0.2">
      <c r="A423" s="29">
        <f>IF('TAM Projet 1'!T414&gt;0,IF(_TauxActuariel,(('TAM Projet 1'!T414+1)^(1/_NbEchAn))-1,'TAM Projet 1'!T414/_NbEchAn),A422)</f>
        <v>1.5499999999999999E-3</v>
      </c>
      <c r="B423" s="28">
        <f>IF('TAM Projet 1'!W414&gt;0,'TAM Projet 1'!W414,IF('TAM Projet 1'!V414&gt;0,IF(AND(_EchFIXE,A423&gt;0),ROUND(('TAM Projet 1'!AD414-'TAM Projet 1'!U414)*A423/(1-((1+A423)^-'TAM Projet 1'!V414)),_NbDeci),ROUND('TAM Projet 1'!AD414/'TAM Projet 1'!V414,_NbDeci)),B422))</f>
        <v>768.98</v>
      </c>
      <c r="C423" s="10"/>
      <c r="D423" s="10"/>
      <c r="E423" s="10"/>
      <c r="F423" s="10"/>
      <c r="H423" s="29">
        <f>IF('TAM Projet 1'!AJ414&gt;0,IF(_TauxActuariel1,(('TAM Projet 1'!AJ414+1)^(1/_NbechAn1))-1,'TAM Projet 1'!AJ414/_NbechAn1),H422)</f>
        <v>8.3333333333333339E-4</v>
      </c>
      <c r="I423" s="28">
        <f>IF('TAM Projet 1'!AM414&gt;0,'TAM Projet 1'!AM414,IF('TAM Projet 1'!AL414&gt;0,IF(AND(_EchFIXE1,H423&gt;0),ROUND(('TAM Projet 1'!AT414-'TAM Projet 1'!AK414)*H423/(1-((1+H423)^-'TAM Projet 1'!AL414)),_NbDeci1),ROUND('TAM Projet 1'!AT414/'TAM Projet 1'!AL414,_NbDeci1)),I422))</f>
        <v>187406.04</v>
      </c>
      <c r="J423" s="10"/>
      <c r="K423" s="10"/>
      <c r="L423" s="10"/>
      <c r="M423" s="10"/>
      <c r="O423" s="186">
        <v>421</v>
      </c>
    </row>
    <row r="424" spans="1:15" x14ac:dyDescent="0.2">
      <c r="A424" s="29">
        <f>IF('TAM Projet 1'!T415&gt;0,IF(_TauxActuariel,(('TAM Projet 1'!T415+1)^(1/_NbEchAn))-1,'TAM Projet 1'!T415/_NbEchAn),A423)</f>
        <v>1.5499999999999999E-3</v>
      </c>
      <c r="B424" s="28">
        <f>IF('TAM Projet 1'!W415&gt;0,'TAM Projet 1'!W415,IF('TAM Projet 1'!V415&gt;0,IF(AND(_EchFIXE,A424&gt;0),ROUND(('TAM Projet 1'!AD415-'TAM Projet 1'!U415)*A424/(1-((1+A424)^-'TAM Projet 1'!V415)),_NbDeci),ROUND('TAM Projet 1'!AD415/'TAM Projet 1'!V415,_NbDeci)),B423))</f>
        <v>768.98</v>
      </c>
      <c r="C424" s="10"/>
      <c r="D424" s="10"/>
      <c r="E424" s="10"/>
      <c r="F424" s="10"/>
      <c r="H424" s="29">
        <f>IF('TAM Projet 1'!AJ415&gt;0,IF(_TauxActuariel1,(('TAM Projet 1'!AJ415+1)^(1/_NbechAn1))-1,'TAM Projet 1'!AJ415/_NbechAn1),H423)</f>
        <v>8.3333333333333339E-4</v>
      </c>
      <c r="I424" s="28">
        <f>IF('TAM Projet 1'!AM415&gt;0,'TAM Projet 1'!AM415,IF('TAM Projet 1'!AL415&gt;0,IF(AND(_EchFIXE1,H424&gt;0),ROUND(('TAM Projet 1'!AT415-'TAM Projet 1'!AK415)*H424/(1-((1+H424)^-'TAM Projet 1'!AL415)),_NbDeci1),ROUND('TAM Projet 1'!AT415/'TAM Projet 1'!AL415,_NbDeci1)),I423))</f>
        <v>187406.04</v>
      </c>
      <c r="J424" s="10"/>
      <c r="K424" s="10"/>
      <c r="L424" s="10"/>
      <c r="M424" s="10"/>
      <c r="O424" s="186">
        <v>422</v>
      </c>
    </row>
    <row r="425" spans="1:15" x14ac:dyDescent="0.2">
      <c r="A425" s="29">
        <f>IF('TAM Projet 1'!T416&gt;0,IF(_TauxActuariel,(('TAM Projet 1'!T416+1)^(1/_NbEchAn))-1,'TAM Projet 1'!T416/_NbEchAn),A424)</f>
        <v>1.5499999999999999E-3</v>
      </c>
      <c r="B425" s="28">
        <f>IF('TAM Projet 1'!W416&gt;0,'TAM Projet 1'!W416,IF('TAM Projet 1'!V416&gt;0,IF(AND(_EchFIXE,A425&gt;0),ROUND(('TAM Projet 1'!AD416-'TAM Projet 1'!U416)*A425/(1-((1+A425)^-'TAM Projet 1'!V416)),_NbDeci),ROUND('TAM Projet 1'!AD416/'TAM Projet 1'!V416,_NbDeci)),B424))</f>
        <v>768.98</v>
      </c>
      <c r="C425" s="10"/>
      <c r="D425" s="10"/>
      <c r="E425" s="10"/>
      <c r="F425" s="10"/>
      <c r="H425" s="29">
        <f>IF('TAM Projet 1'!AJ416&gt;0,IF(_TauxActuariel1,(('TAM Projet 1'!AJ416+1)^(1/_NbechAn1))-1,'TAM Projet 1'!AJ416/_NbechAn1),H424)</f>
        <v>8.3333333333333339E-4</v>
      </c>
      <c r="I425" s="28">
        <f>IF('TAM Projet 1'!AM416&gt;0,'TAM Projet 1'!AM416,IF('TAM Projet 1'!AL416&gt;0,IF(AND(_EchFIXE1,H425&gt;0),ROUND(('TAM Projet 1'!AT416-'TAM Projet 1'!AK416)*H425/(1-((1+H425)^-'TAM Projet 1'!AL416)),_NbDeci1),ROUND('TAM Projet 1'!AT416/'TAM Projet 1'!AL416,_NbDeci1)),I424))</f>
        <v>187406.04</v>
      </c>
      <c r="J425" s="10"/>
      <c r="K425" s="10"/>
      <c r="L425" s="10"/>
      <c r="M425" s="10"/>
      <c r="O425" s="186">
        <v>423</v>
      </c>
    </row>
    <row r="426" spans="1:15" x14ac:dyDescent="0.2">
      <c r="A426" s="29">
        <f>IF('TAM Projet 1'!T417&gt;0,IF(_TauxActuariel,(('TAM Projet 1'!T417+1)^(1/_NbEchAn))-1,'TAM Projet 1'!T417/_NbEchAn),A425)</f>
        <v>1.5499999999999999E-3</v>
      </c>
      <c r="B426" s="28">
        <f>IF('TAM Projet 1'!W417&gt;0,'TAM Projet 1'!W417,IF('TAM Projet 1'!V417&gt;0,IF(AND(_EchFIXE,A426&gt;0),ROUND(('TAM Projet 1'!AD417-'TAM Projet 1'!U417)*A426/(1-((1+A426)^-'TAM Projet 1'!V417)),_NbDeci),ROUND('TAM Projet 1'!AD417/'TAM Projet 1'!V417,_NbDeci)),B425))</f>
        <v>768.98</v>
      </c>
      <c r="C426" s="10"/>
      <c r="D426" s="10"/>
      <c r="E426" s="10"/>
      <c r="F426" s="10"/>
      <c r="H426" s="29">
        <f>IF('TAM Projet 1'!AJ417&gt;0,IF(_TauxActuariel1,(('TAM Projet 1'!AJ417+1)^(1/_NbechAn1))-1,'TAM Projet 1'!AJ417/_NbechAn1),H425)</f>
        <v>8.3333333333333339E-4</v>
      </c>
      <c r="I426" s="28">
        <f>IF('TAM Projet 1'!AM417&gt;0,'TAM Projet 1'!AM417,IF('TAM Projet 1'!AL417&gt;0,IF(AND(_EchFIXE1,H426&gt;0),ROUND(('TAM Projet 1'!AT417-'TAM Projet 1'!AK417)*H426/(1-((1+H426)^-'TAM Projet 1'!AL417)),_NbDeci1),ROUND('TAM Projet 1'!AT417/'TAM Projet 1'!AL417,_NbDeci1)),I425))</f>
        <v>187406.04</v>
      </c>
      <c r="J426" s="10"/>
      <c r="K426" s="10"/>
      <c r="L426" s="10"/>
      <c r="M426" s="10"/>
      <c r="O426" s="186">
        <v>424</v>
      </c>
    </row>
    <row r="427" spans="1:15" x14ac:dyDescent="0.2">
      <c r="A427" s="29">
        <f>IF('TAM Projet 1'!T418&gt;0,IF(_TauxActuariel,(('TAM Projet 1'!T418+1)^(1/_NbEchAn))-1,'TAM Projet 1'!T418/_NbEchAn),A426)</f>
        <v>1.5499999999999999E-3</v>
      </c>
      <c r="B427" s="28">
        <f>IF('TAM Projet 1'!W418&gt;0,'TAM Projet 1'!W418,IF('TAM Projet 1'!V418&gt;0,IF(AND(_EchFIXE,A427&gt;0),ROUND(('TAM Projet 1'!AD418-'TAM Projet 1'!U418)*A427/(1-((1+A427)^-'TAM Projet 1'!V418)),_NbDeci),ROUND('TAM Projet 1'!AD418/'TAM Projet 1'!V418,_NbDeci)),B426))</f>
        <v>768.98</v>
      </c>
      <c r="C427" s="10"/>
      <c r="D427" s="10"/>
      <c r="E427" s="10"/>
      <c r="F427" s="10"/>
      <c r="H427" s="29">
        <f>IF('TAM Projet 1'!AJ418&gt;0,IF(_TauxActuariel1,(('TAM Projet 1'!AJ418+1)^(1/_NbechAn1))-1,'TAM Projet 1'!AJ418/_NbechAn1),H426)</f>
        <v>8.3333333333333339E-4</v>
      </c>
      <c r="I427" s="28">
        <f>IF('TAM Projet 1'!AM418&gt;0,'TAM Projet 1'!AM418,IF('TAM Projet 1'!AL418&gt;0,IF(AND(_EchFIXE1,H427&gt;0),ROUND(('TAM Projet 1'!AT418-'TAM Projet 1'!AK418)*H427/(1-((1+H427)^-'TAM Projet 1'!AL418)),_NbDeci1),ROUND('TAM Projet 1'!AT418/'TAM Projet 1'!AL418,_NbDeci1)),I426))</f>
        <v>187406.04</v>
      </c>
      <c r="J427" s="10"/>
      <c r="K427" s="10"/>
      <c r="L427" s="10"/>
      <c r="M427" s="10"/>
      <c r="O427" s="186">
        <v>425</v>
      </c>
    </row>
    <row r="428" spans="1:15" x14ac:dyDescent="0.2">
      <c r="A428" s="29">
        <f>IF('TAM Projet 1'!T419&gt;0,IF(_TauxActuariel,(('TAM Projet 1'!T419+1)^(1/_NbEchAn))-1,'TAM Projet 1'!T419/_NbEchAn),A427)</f>
        <v>1.5499999999999999E-3</v>
      </c>
      <c r="B428" s="28">
        <f>IF('TAM Projet 1'!W419&gt;0,'TAM Projet 1'!W419,IF('TAM Projet 1'!V419&gt;0,IF(AND(_EchFIXE,A428&gt;0),ROUND(('TAM Projet 1'!AD419-'TAM Projet 1'!U419)*A428/(1-((1+A428)^-'TAM Projet 1'!V419)),_NbDeci),ROUND('TAM Projet 1'!AD419/'TAM Projet 1'!V419,_NbDeci)),B427))</f>
        <v>768.98</v>
      </c>
      <c r="C428" s="10"/>
      <c r="D428" s="10"/>
      <c r="E428" s="10"/>
      <c r="F428" s="10"/>
      <c r="H428" s="29">
        <f>IF('TAM Projet 1'!AJ419&gt;0,IF(_TauxActuariel1,(('TAM Projet 1'!AJ419+1)^(1/_NbechAn1))-1,'TAM Projet 1'!AJ419/_NbechAn1),H427)</f>
        <v>8.3333333333333339E-4</v>
      </c>
      <c r="I428" s="28">
        <f>IF('TAM Projet 1'!AM419&gt;0,'TAM Projet 1'!AM419,IF('TAM Projet 1'!AL419&gt;0,IF(AND(_EchFIXE1,H428&gt;0),ROUND(('TAM Projet 1'!AT419-'TAM Projet 1'!AK419)*H428/(1-((1+H428)^-'TAM Projet 1'!AL419)),_NbDeci1),ROUND('TAM Projet 1'!AT419/'TAM Projet 1'!AL419,_NbDeci1)),I427))</f>
        <v>187406.04</v>
      </c>
      <c r="J428" s="10"/>
      <c r="K428" s="10"/>
      <c r="L428" s="10"/>
      <c r="M428" s="10"/>
      <c r="O428" s="186">
        <v>426</v>
      </c>
    </row>
    <row r="429" spans="1:15" x14ac:dyDescent="0.2">
      <c r="A429" s="29">
        <f>IF('TAM Projet 1'!T420&gt;0,IF(_TauxActuariel,(('TAM Projet 1'!T420+1)^(1/_NbEchAn))-1,'TAM Projet 1'!T420/_NbEchAn),A428)</f>
        <v>1.5499999999999999E-3</v>
      </c>
      <c r="B429" s="28">
        <f>IF('TAM Projet 1'!W420&gt;0,'TAM Projet 1'!W420,IF('TAM Projet 1'!V420&gt;0,IF(AND(_EchFIXE,A429&gt;0),ROUND(('TAM Projet 1'!AD420-'TAM Projet 1'!U420)*A429/(1-((1+A429)^-'TAM Projet 1'!V420)),_NbDeci),ROUND('TAM Projet 1'!AD420/'TAM Projet 1'!V420,_NbDeci)),B428))</f>
        <v>768.98</v>
      </c>
      <c r="C429" s="10"/>
      <c r="D429" s="10"/>
      <c r="E429" s="10"/>
      <c r="F429" s="10"/>
      <c r="H429" s="29">
        <f>IF('TAM Projet 1'!AJ420&gt;0,IF(_TauxActuariel1,(('TAM Projet 1'!AJ420+1)^(1/_NbechAn1))-1,'TAM Projet 1'!AJ420/_NbechAn1),H428)</f>
        <v>8.3333333333333339E-4</v>
      </c>
      <c r="I429" s="28">
        <f>IF('TAM Projet 1'!AM420&gt;0,'TAM Projet 1'!AM420,IF('TAM Projet 1'!AL420&gt;0,IF(AND(_EchFIXE1,H429&gt;0),ROUND(('TAM Projet 1'!AT420-'TAM Projet 1'!AK420)*H429/(1-((1+H429)^-'TAM Projet 1'!AL420)),_NbDeci1),ROUND('TAM Projet 1'!AT420/'TAM Projet 1'!AL420,_NbDeci1)),I428))</f>
        <v>187406.04</v>
      </c>
      <c r="J429" s="10"/>
      <c r="K429" s="10"/>
      <c r="L429" s="10"/>
      <c r="M429" s="10"/>
      <c r="O429" s="186">
        <v>427</v>
      </c>
    </row>
    <row r="430" spans="1:15" x14ac:dyDescent="0.2">
      <c r="A430" s="29">
        <f>IF('TAM Projet 1'!T421&gt;0,IF(_TauxActuariel,(('TAM Projet 1'!T421+1)^(1/_NbEchAn))-1,'TAM Projet 1'!T421/_NbEchAn),A429)</f>
        <v>1.5499999999999999E-3</v>
      </c>
      <c r="B430" s="28">
        <f>IF('TAM Projet 1'!W421&gt;0,'TAM Projet 1'!W421,IF('TAM Projet 1'!V421&gt;0,IF(AND(_EchFIXE,A430&gt;0),ROUND(('TAM Projet 1'!AD421-'TAM Projet 1'!U421)*A430/(1-((1+A430)^-'TAM Projet 1'!V421)),_NbDeci),ROUND('TAM Projet 1'!AD421/'TAM Projet 1'!V421,_NbDeci)),B429))</f>
        <v>768.98</v>
      </c>
      <c r="C430" s="10"/>
      <c r="D430" s="10"/>
      <c r="E430" s="10"/>
      <c r="F430" s="10"/>
      <c r="H430" s="29">
        <f>IF('TAM Projet 1'!AJ421&gt;0,IF(_TauxActuariel1,(('TAM Projet 1'!AJ421+1)^(1/_NbechAn1))-1,'TAM Projet 1'!AJ421/_NbechAn1),H429)</f>
        <v>8.3333333333333339E-4</v>
      </c>
      <c r="I430" s="28">
        <f>IF('TAM Projet 1'!AM421&gt;0,'TAM Projet 1'!AM421,IF('TAM Projet 1'!AL421&gt;0,IF(AND(_EchFIXE1,H430&gt;0),ROUND(('TAM Projet 1'!AT421-'TAM Projet 1'!AK421)*H430/(1-((1+H430)^-'TAM Projet 1'!AL421)),_NbDeci1),ROUND('TAM Projet 1'!AT421/'TAM Projet 1'!AL421,_NbDeci1)),I429))</f>
        <v>187406.04</v>
      </c>
      <c r="J430" s="10"/>
      <c r="K430" s="10"/>
      <c r="L430" s="10"/>
      <c r="M430" s="10"/>
      <c r="O430" s="186">
        <v>428</v>
      </c>
    </row>
    <row r="431" spans="1:15" x14ac:dyDescent="0.2">
      <c r="A431" s="29">
        <f>IF('TAM Projet 1'!T422&gt;0,IF(_TauxActuariel,(('TAM Projet 1'!T422+1)^(1/_NbEchAn))-1,'TAM Projet 1'!T422/_NbEchAn),A430)</f>
        <v>1.5499999999999999E-3</v>
      </c>
      <c r="B431" s="28">
        <f>IF('TAM Projet 1'!W422&gt;0,'TAM Projet 1'!W422,IF('TAM Projet 1'!V422&gt;0,IF(AND(_EchFIXE,A431&gt;0),ROUND(('TAM Projet 1'!AD422-'TAM Projet 1'!U422)*A431/(1-((1+A431)^-'TAM Projet 1'!V422)),_NbDeci),ROUND('TAM Projet 1'!AD422/'TAM Projet 1'!V422,_NbDeci)),B430))</f>
        <v>768.98</v>
      </c>
      <c r="C431" s="10"/>
      <c r="D431" s="10"/>
      <c r="E431" s="10"/>
      <c r="F431" s="10"/>
      <c r="H431" s="29">
        <f>IF('TAM Projet 1'!AJ422&gt;0,IF(_TauxActuariel1,(('TAM Projet 1'!AJ422+1)^(1/_NbechAn1))-1,'TAM Projet 1'!AJ422/_NbechAn1),H430)</f>
        <v>8.3333333333333339E-4</v>
      </c>
      <c r="I431" s="28">
        <f>IF('TAM Projet 1'!AM422&gt;0,'TAM Projet 1'!AM422,IF('TAM Projet 1'!AL422&gt;0,IF(AND(_EchFIXE1,H431&gt;0),ROUND(('TAM Projet 1'!AT422-'TAM Projet 1'!AK422)*H431/(1-((1+H431)^-'TAM Projet 1'!AL422)),_NbDeci1),ROUND('TAM Projet 1'!AT422/'TAM Projet 1'!AL422,_NbDeci1)),I430))</f>
        <v>187406.04</v>
      </c>
      <c r="J431" s="10"/>
      <c r="K431" s="10"/>
      <c r="L431" s="10"/>
      <c r="M431" s="10"/>
      <c r="O431" s="186">
        <v>429</v>
      </c>
    </row>
    <row r="432" spans="1:15" x14ac:dyDescent="0.2">
      <c r="A432" s="29">
        <f>IF('TAM Projet 1'!T423&gt;0,IF(_TauxActuariel,(('TAM Projet 1'!T423+1)^(1/_NbEchAn))-1,'TAM Projet 1'!T423/_NbEchAn),A431)</f>
        <v>1.5499999999999999E-3</v>
      </c>
      <c r="B432" s="28">
        <f>IF('TAM Projet 1'!W423&gt;0,'TAM Projet 1'!W423,IF('TAM Projet 1'!V423&gt;0,IF(AND(_EchFIXE,A432&gt;0),ROUND(('TAM Projet 1'!AD423-'TAM Projet 1'!U423)*A432/(1-((1+A432)^-'TAM Projet 1'!V423)),_NbDeci),ROUND('TAM Projet 1'!AD423/'TAM Projet 1'!V423,_NbDeci)),B431))</f>
        <v>768.98</v>
      </c>
      <c r="C432" s="10"/>
      <c r="D432" s="10"/>
      <c r="E432" s="10"/>
      <c r="F432" s="10"/>
      <c r="H432" s="29">
        <f>IF('TAM Projet 1'!AJ423&gt;0,IF(_TauxActuariel1,(('TAM Projet 1'!AJ423+1)^(1/_NbechAn1))-1,'TAM Projet 1'!AJ423/_NbechAn1),H431)</f>
        <v>8.3333333333333339E-4</v>
      </c>
      <c r="I432" s="28">
        <f>IF('TAM Projet 1'!AM423&gt;0,'TAM Projet 1'!AM423,IF('TAM Projet 1'!AL423&gt;0,IF(AND(_EchFIXE1,H432&gt;0),ROUND(('TAM Projet 1'!AT423-'TAM Projet 1'!AK423)*H432/(1-((1+H432)^-'TAM Projet 1'!AL423)),_NbDeci1),ROUND('TAM Projet 1'!AT423/'TAM Projet 1'!AL423,_NbDeci1)),I431))</f>
        <v>187406.04</v>
      </c>
      <c r="J432" s="10"/>
      <c r="K432" s="10"/>
      <c r="L432" s="10"/>
      <c r="M432" s="10"/>
      <c r="O432" s="186">
        <v>430</v>
      </c>
    </row>
    <row r="433" spans="1:15" x14ac:dyDescent="0.2">
      <c r="A433" s="29">
        <f>IF('TAM Projet 1'!T424&gt;0,IF(_TauxActuariel,(('TAM Projet 1'!T424+1)^(1/_NbEchAn))-1,'TAM Projet 1'!T424/_NbEchAn),A432)</f>
        <v>1.5499999999999999E-3</v>
      </c>
      <c r="B433" s="28">
        <f>IF('TAM Projet 1'!W424&gt;0,'TAM Projet 1'!W424,IF('TAM Projet 1'!V424&gt;0,IF(AND(_EchFIXE,A433&gt;0),ROUND(('TAM Projet 1'!AD424-'TAM Projet 1'!U424)*A433/(1-((1+A433)^-'TAM Projet 1'!V424)),_NbDeci),ROUND('TAM Projet 1'!AD424/'TAM Projet 1'!V424,_NbDeci)),B432))</f>
        <v>768.98</v>
      </c>
      <c r="C433" s="10"/>
      <c r="D433" s="10"/>
      <c r="E433" s="10"/>
      <c r="F433" s="10"/>
      <c r="H433" s="29">
        <f>IF('TAM Projet 1'!AJ424&gt;0,IF(_TauxActuariel1,(('TAM Projet 1'!AJ424+1)^(1/_NbechAn1))-1,'TAM Projet 1'!AJ424/_NbechAn1),H432)</f>
        <v>8.3333333333333339E-4</v>
      </c>
      <c r="I433" s="28">
        <f>IF('TAM Projet 1'!AM424&gt;0,'TAM Projet 1'!AM424,IF('TAM Projet 1'!AL424&gt;0,IF(AND(_EchFIXE1,H433&gt;0),ROUND(('TAM Projet 1'!AT424-'TAM Projet 1'!AK424)*H433/(1-((1+H433)^-'TAM Projet 1'!AL424)),_NbDeci1),ROUND('TAM Projet 1'!AT424/'TAM Projet 1'!AL424,_NbDeci1)),I432))</f>
        <v>187406.04</v>
      </c>
      <c r="J433" s="10"/>
      <c r="K433" s="10"/>
      <c r="L433" s="10"/>
      <c r="M433" s="10"/>
      <c r="O433" s="186">
        <v>431</v>
      </c>
    </row>
    <row r="434" spans="1:15" x14ac:dyDescent="0.2">
      <c r="A434" s="29">
        <f>IF('TAM Projet 1'!T425&gt;0,IF(_TauxActuariel,(('TAM Projet 1'!T425+1)^(1/_NbEchAn))-1,'TAM Projet 1'!T425/_NbEchAn),A433)</f>
        <v>1.5499999999999999E-3</v>
      </c>
      <c r="B434" s="28">
        <f>IF('TAM Projet 1'!W425&gt;0,'TAM Projet 1'!W425,IF('TAM Projet 1'!V425&gt;0,IF(AND(_EchFIXE,A434&gt;0),ROUND(('TAM Projet 1'!AD425-'TAM Projet 1'!U425)*A434/(1-((1+A434)^-'TAM Projet 1'!V425)),_NbDeci),ROUND('TAM Projet 1'!AD425/'TAM Projet 1'!V425,_NbDeci)),B433))</f>
        <v>768.98</v>
      </c>
      <c r="C434" s="10"/>
      <c r="D434" s="10"/>
      <c r="E434" s="10"/>
      <c r="F434" s="10"/>
      <c r="H434" s="29">
        <f>IF('TAM Projet 1'!AJ425&gt;0,IF(_TauxActuariel1,(('TAM Projet 1'!AJ425+1)^(1/_NbechAn1))-1,'TAM Projet 1'!AJ425/_NbechAn1),H433)</f>
        <v>8.3333333333333339E-4</v>
      </c>
      <c r="I434" s="28">
        <f>IF('TAM Projet 1'!AM425&gt;0,'TAM Projet 1'!AM425,IF('TAM Projet 1'!AL425&gt;0,IF(AND(_EchFIXE1,H434&gt;0),ROUND(('TAM Projet 1'!AT425-'TAM Projet 1'!AK425)*H434/(1-((1+H434)^-'TAM Projet 1'!AL425)),_NbDeci1),ROUND('TAM Projet 1'!AT425/'TAM Projet 1'!AL425,_NbDeci1)),I433))</f>
        <v>187406.04</v>
      </c>
      <c r="J434" s="10"/>
      <c r="K434" s="10"/>
      <c r="L434" s="10"/>
      <c r="M434" s="10"/>
      <c r="O434" s="186">
        <v>432</v>
      </c>
    </row>
    <row r="435" spans="1:15" x14ac:dyDescent="0.2">
      <c r="A435" s="29">
        <f>IF('TAM Projet 1'!T426&gt;0,IF(_TauxActuariel,(('TAM Projet 1'!T426+1)^(1/_NbEchAn))-1,'TAM Projet 1'!T426/_NbEchAn),A434)</f>
        <v>1.5499999999999999E-3</v>
      </c>
      <c r="B435" s="28">
        <f>IF('TAM Projet 1'!W426&gt;0,'TAM Projet 1'!W426,IF('TAM Projet 1'!V426&gt;0,IF(AND(_EchFIXE,A435&gt;0),ROUND(('TAM Projet 1'!AD426-'TAM Projet 1'!U426)*A435/(1-((1+A435)^-'TAM Projet 1'!V426)),_NbDeci),ROUND('TAM Projet 1'!AD426/'TAM Projet 1'!V426,_NbDeci)),B434))</f>
        <v>768.98</v>
      </c>
      <c r="C435" s="10"/>
      <c r="D435" s="10"/>
      <c r="E435" s="10"/>
      <c r="F435" s="10"/>
      <c r="H435" s="29">
        <f>IF('TAM Projet 1'!AJ426&gt;0,IF(_TauxActuariel1,(('TAM Projet 1'!AJ426+1)^(1/_NbechAn1))-1,'TAM Projet 1'!AJ426/_NbechAn1),H434)</f>
        <v>8.3333333333333339E-4</v>
      </c>
      <c r="I435" s="28">
        <f>IF('TAM Projet 1'!AM426&gt;0,'TAM Projet 1'!AM426,IF('TAM Projet 1'!AL426&gt;0,IF(AND(_EchFIXE1,H435&gt;0),ROUND(('TAM Projet 1'!AT426-'TAM Projet 1'!AK426)*H435/(1-((1+H435)^-'TAM Projet 1'!AL426)),_NbDeci1),ROUND('TAM Projet 1'!AT426/'TAM Projet 1'!AL426,_NbDeci1)),I434))</f>
        <v>187406.04</v>
      </c>
      <c r="J435" s="10"/>
      <c r="K435" s="10"/>
      <c r="L435" s="10"/>
      <c r="M435" s="10"/>
      <c r="O435" s="186">
        <v>433</v>
      </c>
    </row>
    <row r="436" spans="1:15" x14ac:dyDescent="0.2">
      <c r="A436" s="29">
        <f>IF('TAM Projet 1'!T427&gt;0,IF(_TauxActuariel,(('TAM Projet 1'!T427+1)^(1/_NbEchAn))-1,'TAM Projet 1'!T427/_NbEchAn),A435)</f>
        <v>1.5499999999999999E-3</v>
      </c>
      <c r="B436" s="28">
        <f>IF('TAM Projet 1'!W427&gt;0,'TAM Projet 1'!W427,IF('TAM Projet 1'!V427&gt;0,IF(AND(_EchFIXE,A436&gt;0),ROUND(('TAM Projet 1'!AD427-'TAM Projet 1'!U427)*A436/(1-((1+A436)^-'TAM Projet 1'!V427)),_NbDeci),ROUND('TAM Projet 1'!AD427/'TAM Projet 1'!V427,_NbDeci)),B435))</f>
        <v>768.98</v>
      </c>
      <c r="C436" s="10"/>
      <c r="D436" s="10"/>
      <c r="E436" s="10"/>
      <c r="F436" s="10"/>
      <c r="H436" s="29">
        <f>IF('TAM Projet 1'!AJ427&gt;0,IF(_TauxActuariel1,(('TAM Projet 1'!AJ427+1)^(1/_NbechAn1))-1,'TAM Projet 1'!AJ427/_NbechAn1),H435)</f>
        <v>8.3333333333333339E-4</v>
      </c>
      <c r="I436" s="28">
        <f>IF('TAM Projet 1'!AM427&gt;0,'TAM Projet 1'!AM427,IF('TAM Projet 1'!AL427&gt;0,IF(AND(_EchFIXE1,H436&gt;0),ROUND(('TAM Projet 1'!AT427-'TAM Projet 1'!AK427)*H436/(1-((1+H436)^-'TAM Projet 1'!AL427)),_NbDeci1),ROUND('TAM Projet 1'!AT427/'TAM Projet 1'!AL427,_NbDeci1)),I435))</f>
        <v>187406.04</v>
      </c>
      <c r="J436" s="10"/>
      <c r="K436" s="10"/>
      <c r="L436" s="10"/>
      <c r="M436" s="10"/>
      <c r="O436" s="186">
        <v>434</v>
      </c>
    </row>
    <row r="437" spans="1:15" x14ac:dyDescent="0.2">
      <c r="A437" s="29">
        <f>IF('TAM Projet 1'!T428&gt;0,IF(_TauxActuariel,(('TAM Projet 1'!T428+1)^(1/_NbEchAn))-1,'TAM Projet 1'!T428/_NbEchAn),A436)</f>
        <v>1.5499999999999999E-3</v>
      </c>
      <c r="B437" s="28">
        <f>IF('TAM Projet 1'!W428&gt;0,'TAM Projet 1'!W428,IF('TAM Projet 1'!V428&gt;0,IF(AND(_EchFIXE,A437&gt;0),ROUND(('TAM Projet 1'!AD428-'TAM Projet 1'!U428)*A437/(1-((1+A437)^-'TAM Projet 1'!V428)),_NbDeci),ROUND('TAM Projet 1'!AD428/'TAM Projet 1'!V428,_NbDeci)),B436))</f>
        <v>768.98</v>
      </c>
      <c r="C437" s="10"/>
      <c r="D437" s="10"/>
      <c r="E437" s="10"/>
      <c r="F437" s="10"/>
      <c r="H437" s="29">
        <f>IF('TAM Projet 1'!AJ428&gt;0,IF(_TauxActuariel1,(('TAM Projet 1'!AJ428+1)^(1/_NbechAn1))-1,'TAM Projet 1'!AJ428/_NbechAn1),H436)</f>
        <v>8.3333333333333339E-4</v>
      </c>
      <c r="I437" s="28">
        <f>IF('TAM Projet 1'!AM428&gt;0,'TAM Projet 1'!AM428,IF('TAM Projet 1'!AL428&gt;0,IF(AND(_EchFIXE1,H437&gt;0),ROUND(('TAM Projet 1'!AT428-'TAM Projet 1'!AK428)*H437/(1-((1+H437)^-'TAM Projet 1'!AL428)),_NbDeci1),ROUND('TAM Projet 1'!AT428/'TAM Projet 1'!AL428,_NbDeci1)),I436))</f>
        <v>187406.04</v>
      </c>
      <c r="J437" s="10"/>
      <c r="K437" s="10"/>
      <c r="L437" s="10"/>
      <c r="M437" s="10"/>
      <c r="O437" s="186">
        <v>435</v>
      </c>
    </row>
    <row r="438" spans="1:15" x14ac:dyDescent="0.2">
      <c r="A438" s="29">
        <f>IF('TAM Projet 1'!T429&gt;0,IF(_TauxActuariel,(('TAM Projet 1'!T429+1)^(1/_NbEchAn))-1,'TAM Projet 1'!T429/_NbEchAn),A437)</f>
        <v>1.5499999999999999E-3</v>
      </c>
      <c r="B438" s="28">
        <f>IF('TAM Projet 1'!W429&gt;0,'TAM Projet 1'!W429,IF('TAM Projet 1'!V429&gt;0,IF(AND(_EchFIXE,A438&gt;0),ROUND(('TAM Projet 1'!AD429-'TAM Projet 1'!U429)*A438/(1-((1+A438)^-'TAM Projet 1'!V429)),_NbDeci),ROUND('TAM Projet 1'!AD429/'TAM Projet 1'!V429,_NbDeci)),B437))</f>
        <v>768.98</v>
      </c>
      <c r="C438" s="10"/>
      <c r="D438" s="10"/>
      <c r="E438" s="10"/>
      <c r="F438" s="10"/>
      <c r="H438" s="29">
        <f>IF('TAM Projet 1'!AJ429&gt;0,IF(_TauxActuariel1,(('TAM Projet 1'!AJ429+1)^(1/_NbechAn1))-1,'TAM Projet 1'!AJ429/_NbechAn1),H437)</f>
        <v>8.3333333333333339E-4</v>
      </c>
      <c r="I438" s="28">
        <f>IF('TAM Projet 1'!AM429&gt;0,'TAM Projet 1'!AM429,IF('TAM Projet 1'!AL429&gt;0,IF(AND(_EchFIXE1,H438&gt;0),ROUND(('TAM Projet 1'!AT429-'TAM Projet 1'!AK429)*H438/(1-((1+H438)^-'TAM Projet 1'!AL429)),_NbDeci1),ROUND('TAM Projet 1'!AT429/'TAM Projet 1'!AL429,_NbDeci1)),I437))</f>
        <v>187406.04</v>
      </c>
      <c r="J438" s="10"/>
      <c r="K438" s="10"/>
      <c r="L438" s="10"/>
      <c r="M438" s="10"/>
      <c r="O438" s="186">
        <v>436</v>
      </c>
    </row>
    <row r="439" spans="1:15" x14ac:dyDescent="0.2">
      <c r="A439" s="29">
        <f>IF('TAM Projet 1'!T430&gt;0,IF(_TauxActuariel,(('TAM Projet 1'!T430+1)^(1/_NbEchAn))-1,'TAM Projet 1'!T430/_NbEchAn),A438)</f>
        <v>1.5499999999999999E-3</v>
      </c>
      <c r="B439" s="28">
        <f>IF('TAM Projet 1'!W430&gt;0,'TAM Projet 1'!W430,IF('TAM Projet 1'!V430&gt;0,IF(AND(_EchFIXE,A439&gt;0),ROUND(('TAM Projet 1'!AD430-'TAM Projet 1'!U430)*A439/(1-((1+A439)^-'TAM Projet 1'!V430)),_NbDeci),ROUND('TAM Projet 1'!AD430/'TAM Projet 1'!V430,_NbDeci)),B438))</f>
        <v>768.98</v>
      </c>
      <c r="C439" s="10"/>
      <c r="D439" s="10"/>
      <c r="E439" s="10"/>
      <c r="F439" s="10"/>
      <c r="H439" s="29">
        <f>IF('TAM Projet 1'!AJ430&gt;0,IF(_TauxActuariel1,(('TAM Projet 1'!AJ430+1)^(1/_NbechAn1))-1,'TAM Projet 1'!AJ430/_NbechAn1),H438)</f>
        <v>8.3333333333333339E-4</v>
      </c>
      <c r="I439" s="28">
        <f>IF('TAM Projet 1'!AM430&gt;0,'TAM Projet 1'!AM430,IF('TAM Projet 1'!AL430&gt;0,IF(AND(_EchFIXE1,H439&gt;0),ROUND(('TAM Projet 1'!AT430-'TAM Projet 1'!AK430)*H439/(1-((1+H439)^-'TAM Projet 1'!AL430)),_NbDeci1),ROUND('TAM Projet 1'!AT430/'TAM Projet 1'!AL430,_NbDeci1)),I438))</f>
        <v>187406.04</v>
      </c>
      <c r="J439" s="10"/>
      <c r="K439" s="10"/>
      <c r="L439" s="10"/>
      <c r="M439" s="10"/>
      <c r="O439" s="186">
        <v>437</v>
      </c>
    </row>
    <row r="440" spans="1:15" x14ac:dyDescent="0.2">
      <c r="A440" s="29">
        <f>IF('TAM Projet 1'!T431&gt;0,IF(_TauxActuariel,(('TAM Projet 1'!T431+1)^(1/_NbEchAn))-1,'TAM Projet 1'!T431/_NbEchAn),A439)</f>
        <v>1.5499999999999999E-3</v>
      </c>
      <c r="B440" s="28">
        <f>IF('TAM Projet 1'!W431&gt;0,'TAM Projet 1'!W431,IF('TAM Projet 1'!V431&gt;0,IF(AND(_EchFIXE,A440&gt;0),ROUND(('TAM Projet 1'!AD431-'TAM Projet 1'!U431)*A440/(1-((1+A440)^-'TAM Projet 1'!V431)),_NbDeci),ROUND('TAM Projet 1'!AD431/'TAM Projet 1'!V431,_NbDeci)),B439))</f>
        <v>768.98</v>
      </c>
      <c r="C440" s="10"/>
      <c r="D440" s="10"/>
      <c r="E440" s="10"/>
      <c r="F440" s="10"/>
      <c r="H440" s="29">
        <f>IF('TAM Projet 1'!AJ431&gt;0,IF(_TauxActuariel1,(('TAM Projet 1'!AJ431+1)^(1/_NbechAn1))-1,'TAM Projet 1'!AJ431/_NbechAn1),H439)</f>
        <v>8.3333333333333339E-4</v>
      </c>
      <c r="I440" s="28">
        <f>IF('TAM Projet 1'!AM431&gt;0,'TAM Projet 1'!AM431,IF('TAM Projet 1'!AL431&gt;0,IF(AND(_EchFIXE1,H440&gt;0),ROUND(('TAM Projet 1'!AT431-'TAM Projet 1'!AK431)*H440/(1-((1+H440)^-'TAM Projet 1'!AL431)),_NbDeci1),ROUND('TAM Projet 1'!AT431/'TAM Projet 1'!AL431,_NbDeci1)),I439))</f>
        <v>187406.04</v>
      </c>
      <c r="J440" s="10"/>
      <c r="K440" s="10"/>
      <c r="L440" s="10"/>
      <c r="M440" s="10"/>
      <c r="O440" s="186">
        <v>438</v>
      </c>
    </row>
    <row r="441" spans="1:15" x14ac:dyDescent="0.2">
      <c r="A441" s="29">
        <f>IF('TAM Projet 1'!T432&gt;0,IF(_TauxActuariel,(('TAM Projet 1'!T432+1)^(1/_NbEchAn))-1,'TAM Projet 1'!T432/_NbEchAn),A440)</f>
        <v>1.5499999999999999E-3</v>
      </c>
      <c r="B441" s="28">
        <f>IF('TAM Projet 1'!W432&gt;0,'TAM Projet 1'!W432,IF('TAM Projet 1'!V432&gt;0,IF(AND(_EchFIXE,A441&gt;0),ROUND(('TAM Projet 1'!AD432-'TAM Projet 1'!U432)*A441/(1-((1+A441)^-'TAM Projet 1'!V432)),_NbDeci),ROUND('TAM Projet 1'!AD432/'TAM Projet 1'!V432,_NbDeci)),B440))</f>
        <v>768.98</v>
      </c>
      <c r="C441" s="10"/>
      <c r="D441" s="10"/>
      <c r="E441" s="10"/>
      <c r="F441" s="10"/>
      <c r="H441" s="29">
        <f>IF('TAM Projet 1'!AJ432&gt;0,IF(_TauxActuariel1,(('TAM Projet 1'!AJ432+1)^(1/_NbechAn1))-1,'TAM Projet 1'!AJ432/_NbechAn1),H440)</f>
        <v>8.3333333333333339E-4</v>
      </c>
      <c r="I441" s="28">
        <f>IF('TAM Projet 1'!AM432&gt;0,'TAM Projet 1'!AM432,IF('TAM Projet 1'!AL432&gt;0,IF(AND(_EchFIXE1,H441&gt;0),ROUND(('TAM Projet 1'!AT432-'TAM Projet 1'!AK432)*H441/(1-((1+H441)^-'TAM Projet 1'!AL432)),_NbDeci1),ROUND('TAM Projet 1'!AT432/'TAM Projet 1'!AL432,_NbDeci1)),I440))</f>
        <v>187406.04</v>
      </c>
      <c r="J441" s="10"/>
      <c r="K441" s="10"/>
      <c r="L441" s="10"/>
      <c r="M441" s="10"/>
      <c r="O441" s="186">
        <v>439</v>
      </c>
    </row>
    <row r="442" spans="1:15" x14ac:dyDescent="0.2">
      <c r="A442" s="29">
        <f>IF('TAM Projet 1'!T433&gt;0,IF(_TauxActuariel,(('TAM Projet 1'!T433+1)^(1/_NbEchAn))-1,'TAM Projet 1'!T433/_NbEchAn),A441)</f>
        <v>1.5499999999999999E-3</v>
      </c>
      <c r="B442" s="28">
        <f>IF('TAM Projet 1'!W433&gt;0,'TAM Projet 1'!W433,IF('TAM Projet 1'!V433&gt;0,IF(AND(_EchFIXE,A442&gt;0),ROUND(('TAM Projet 1'!AD433-'TAM Projet 1'!U433)*A442/(1-((1+A442)^-'TAM Projet 1'!V433)),_NbDeci),ROUND('TAM Projet 1'!AD433/'TAM Projet 1'!V433,_NbDeci)),B441))</f>
        <v>768.98</v>
      </c>
      <c r="C442" s="10"/>
      <c r="D442" s="10"/>
      <c r="E442" s="10"/>
      <c r="F442" s="10"/>
      <c r="H442" s="29">
        <f>IF('TAM Projet 1'!AJ433&gt;0,IF(_TauxActuariel1,(('TAM Projet 1'!AJ433+1)^(1/_NbechAn1))-1,'TAM Projet 1'!AJ433/_NbechAn1),H441)</f>
        <v>8.3333333333333339E-4</v>
      </c>
      <c r="I442" s="28">
        <f>IF('TAM Projet 1'!AM433&gt;0,'TAM Projet 1'!AM433,IF('TAM Projet 1'!AL433&gt;0,IF(AND(_EchFIXE1,H442&gt;0),ROUND(('TAM Projet 1'!AT433-'TAM Projet 1'!AK433)*H442/(1-((1+H442)^-'TAM Projet 1'!AL433)),_NbDeci1),ROUND('TAM Projet 1'!AT433/'TAM Projet 1'!AL433,_NbDeci1)),I441))</f>
        <v>187406.04</v>
      </c>
      <c r="J442" s="10"/>
      <c r="K442" s="10"/>
      <c r="L442" s="10"/>
      <c r="M442" s="10"/>
      <c r="O442" s="186">
        <v>440</v>
      </c>
    </row>
    <row r="443" spans="1:15" x14ac:dyDescent="0.2">
      <c r="A443" s="29">
        <f>IF('TAM Projet 1'!T434&gt;0,IF(_TauxActuariel,(('TAM Projet 1'!T434+1)^(1/_NbEchAn))-1,'TAM Projet 1'!T434/_NbEchAn),A442)</f>
        <v>1.5499999999999999E-3</v>
      </c>
      <c r="B443" s="28">
        <f>IF('TAM Projet 1'!W434&gt;0,'TAM Projet 1'!W434,IF('TAM Projet 1'!V434&gt;0,IF(AND(_EchFIXE,A443&gt;0),ROUND(('TAM Projet 1'!AD434-'TAM Projet 1'!U434)*A443/(1-((1+A443)^-'TAM Projet 1'!V434)),_NbDeci),ROUND('TAM Projet 1'!AD434/'TAM Projet 1'!V434,_NbDeci)),B442))</f>
        <v>768.98</v>
      </c>
      <c r="C443" s="10"/>
      <c r="D443" s="10"/>
      <c r="E443" s="10"/>
      <c r="F443" s="10"/>
      <c r="H443" s="29">
        <f>IF('TAM Projet 1'!AJ434&gt;0,IF(_TauxActuariel1,(('TAM Projet 1'!AJ434+1)^(1/_NbechAn1))-1,'TAM Projet 1'!AJ434/_NbechAn1),H442)</f>
        <v>8.3333333333333339E-4</v>
      </c>
      <c r="I443" s="28">
        <f>IF('TAM Projet 1'!AM434&gt;0,'TAM Projet 1'!AM434,IF('TAM Projet 1'!AL434&gt;0,IF(AND(_EchFIXE1,H443&gt;0),ROUND(('TAM Projet 1'!AT434-'TAM Projet 1'!AK434)*H443/(1-((1+H443)^-'TAM Projet 1'!AL434)),_NbDeci1),ROUND('TAM Projet 1'!AT434/'TAM Projet 1'!AL434,_NbDeci1)),I442))</f>
        <v>187406.04</v>
      </c>
      <c r="J443" s="10"/>
      <c r="K443" s="10"/>
      <c r="L443" s="10"/>
      <c r="M443" s="10"/>
      <c r="O443" s="186">
        <v>441</v>
      </c>
    </row>
    <row r="444" spans="1:15" x14ac:dyDescent="0.2">
      <c r="A444" s="29">
        <f>IF('TAM Projet 1'!T435&gt;0,IF(_TauxActuariel,(('TAM Projet 1'!T435+1)^(1/_NbEchAn))-1,'TAM Projet 1'!T435/_NbEchAn),A443)</f>
        <v>1.5499999999999999E-3</v>
      </c>
      <c r="B444" s="28">
        <f>IF('TAM Projet 1'!W435&gt;0,'TAM Projet 1'!W435,IF('TAM Projet 1'!V435&gt;0,IF(AND(_EchFIXE,A444&gt;0),ROUND(('TAM Projet 1'!AD435-'TAM Projet 1'!U435)*A444/(1-((1+A444)^-'TAM Projet 1'!V435)),_NbDeci),ROUND('TAM Projet 1'!AD435/'TAM Projet 1'!V435,_NbDeci)),B443))</f>
        <v>768.98</v>
      </c>
      <c r="C444" s="10"/>
      <c r="D444" s="10"/>
      <c r="E444" s="10"/>
      <c r="F444" s="10"/>
      <c r="H444" s="29">
        <f>IF('TAM Projet 1'!AJ435&gt;0,IF(_TauxActuariel1,(('TAM Projet 1'!AJ435+1)^(1/_NbechAn1))-1,'TAM Projet 1'!AJ435/_NbechAn1),H443)</f>
        <v>8.3333333333333339E-4</v>
      </c>
      <c r="I444" s="28">
        <f>IF('TAM Projet 1'!AM435&gt;0,'TAM Projet 1'!AM435,IF('TAM Projet 1'!AL435&gt;0,IF(AND(_EchFIXE1,H444&gt;0),ROUND(('TAM Projet 1'!AT435-'TAM Projet 1'!AK435)*H444/(1-((1+H444)^-'TAM Projet 1'!AL435)),_NbDeci1),ROUND('TAM Projet 1'!AT435/'TAM Projet 1'!AL435,_NbDeci1)),I443))</f>
        <v>187406.04</v>
      </c>
      <c r="J444" s="10"/>
      <c r="K444" s="10"/>
      <c r="L444" s="10"/>
      <c r="M444" s="10"/>
      <c r="O444" s="186">
        <v>442</v>
      </c>
    </row>
    <row r="445" spans="1:15" x14ac:dyDescent="0.2">
      <c r="A445" s="29">
        <f>IF('TAM Projet 1'!T436&gt;0,IF(_TauxActuariel,(('TAM Projet 1'!T436+1)^(1/_NbEchAn))-1,'TAM Projet 1'!T436/_NbEchAn),A444)</f>
        <v>1.5499999999999999E-3</v>
      </c>
      <c r="B445" s="28">
        <f>IF('TAM Projet 1'!W436&gt;0,'TAM Projet 1'!W436,IF('TAM Projet 1'!V436&gt;0,IF(AND(_EchFIXE,A445&gt;0),ROUND(('TAM Projet 1'!AD436-'TAM Projet 1'!U436)*A445/(1-((1+A445)^-'TAM Projet 1'!V436)),_NbDeci),ROUND('TAM Projet 1'!AD436/'TAM Projet 1'!V436,_NbDeci)),B444))</f>
        <v>768.98</v>
      </c>
      <c r="C445" s="10"/>
      <c r="D445" s="10"/>
      <c r="E445" s="10"/>
      <c r="F445" s="10"/>
      <c r="H445" s="29">
        <f>IF('TAM Projet 1'!AJ436&gt;0,IF(_TauxActuariel1,(('TAM Projet 1'!AJ436+1)^(1/_NbechAn1))-1,'TAM Projet 1'!AJ436/_NbechAn1),H444)</f>
        <v>8.3333333333333339E-4</v>
      </c>
      <c r="I445" s="28">
        <f>IF('TAM Projet 1'!AM436&gt;0,'TAM Projet 1'!AM436,IF('TAM Projet 1'!AL436&gt;0,IF(AND(_EchFIXE1,H445&gt;0),ROUND(('TAM Projet 1'!AT436-'TAM Projet 1'!AK436)*H445/(1-((1+H445)^-'TAM Projet 1'!AL436)),_NbDeci1),ROUND('TAM Projet 1'!AT436/'TAM Projet 1'!AL436,_NbDeci1)),I444))</f>
        <v>187406.04</v>
      </c>
      <c r="J445" s="10"/>
      <c r="K445" s="10"/>
      <c r="L445" s="10"/>
      <c r="M445" s="10"/>
      <c r="O445" s="186">
        <v>443</v>
      </c>
    </row>
    <row r="446" spans="1:15" x14ac:dyDescent="0.2">
      <c r="A446" s="29">
        <f>IF('TAM Projet 1'!T437&gt;0,IF(_TauxActuariel,(('TAM Projet 1'!T437+1)^(1/_NbEchAn))-1,'TAM Projet 1'!T437/_NbEchAn),A445)</f>
        <v>1.5499999999999999E-3</v>
      </c>
      <c r="B446" s="28">
        <f>IF('TAM Projet 1'!W437&gt;0,'TAM Projet 1'!W437,IF('TAM Projet 1'!V437&gt;0,IF(AND(_EchFIXE,A446&gt;0),ROUND(('TAM Projet 1'!AD437-'TAM Projet 1'!U437)*A446/(1-((1+A446)^-'TAM Projet 1'!V437)),_NbDeci),ROUND('TAM Projet 1'!AD437/'TAM Projet 1'!V437,_NbDeci)),B445))</f>
        <v>768.98</v>
      </c>
      <c r="C446" s="10"/>
      <c r="D446" s="10"/>
      <c r="E446" s="10"/>
      <c r="F446" s="10"/>
      <c r="H446" s="29">
        <f>IF('TAM Projet 1'!AJ437&gt;0,IF(_TauxActuariel1,(('TAM Projet 1'!AJ437+1)^(1/_NbechAn1))-1,'TAM Projet 1'!AJ437/_NbechAn1),H445)</f>
        <v>8.3333333333333339E-4</v>
      </c>
      <c r="I446" s="28">
        <f>IF('TAM Projet 1'!AM437&gt;0,'TAM Projet 1'!AM437,IF('TAM Projet 1'!AL437&gt;0,IF(AND(_EchFIXE1,H446&gt;0),ROUND(('TAM Projet 1'!AT437-'TAM Projet 1'!AK437)*H446/(1-((1+H446)^-'TAM Projet 1'!AL437)),_NbDeci1),ROUND('TAM Projet 1'!AT437/'TAM Projet 1'!AL437,_NbDeci1)),I445))</f>
        <v>187406.04</v>
      </c>
      <c r="J446" s="10"/>
      <c r="K446" s="10"/>
      <c r="L446" s="10"/>
      <c r="M446" s="10"/>
      <c r="O446" s="186">
        <v>444</v>
      </c>
    </row>
    <row r="447" spans="1:15" x14ac:dyDescent="0.2">
      <c r="A447" s="29">
        <f>IF('TAM Projet 1'!T438&gt;0,IF(_TauxActuariel,(('TAM Projet 1'!T438+1)^(1/_NbEchAn))-1,'TAM Projet 1'!T438/_NbEchAn),A446)</f>
        <v>1.5499999999999999E-3</v>
      </c>
      <c r="B447" s="28">
        <f>IF('TAM Projet 1'!W438&gt;0,'TAM Projet 1'!W438,IF('TAM Projet 1'!V438&gt;0,IF(AND(_EchFIXE,A447&gt;0),ROUND(('TAM Projet 1'!AD438-'TAM Projet 1'!U438)*A447/(1-((1+A447)^-'TAM Projet 1'!V438)),_NbDeci),ROUND('TAM Projet 1'!AD438/'TAM Projet 1'!V438,_NbDeci)),B446))</f>
        <v>768.98</v>
      </c>
      <c r="C447" s="10"/>
      <c r="D447" s="10"/>
      <c r="E447" s="10"/>
      <c r="F447" s="10"/>
      <c r="H447" s="29">
        <f>IF('TAM Projet 1'!AJ438&gt;0,IF(_TauxActuariel1,(('TAM Projet 1'!AJ438+1)^(1/_NbechAn1))-1,'TAM Projet 1'!AJ438/_NbechAn1),H446)</f>
        <v>8.3333333333333339E-4</v>
      </c>
      <c r="I447" s="28">
        <f>IF('TAM Projet 1'!AM438&gt;0,'TAM Projet 1'!AM438,IF('TAM Projet 1'!AL438&gt;0,IF(AND(_EchFIXE1,H447&gt;0),ROUND(('TAM Projet 1'!AT438-'TAM Projet 1'!AK438)*H447/(1-((1+H447)^-'TAM Projet 1'!AL438)),_NbDeci1),ROUND('TAM Projet 1'!AT438/'TAM Projet 1'!AL438,_NbDeci1)),I446))</f>
        <v>187406.04</v>
      </c>
      <c r="J447" s="10"/>
      <c r="K447" s="10"/>
      <c r="L447" s="10"/>
      <c r="M447" s="10"/>
      <c r="O447" s="186">
        <v>445</v>
      </c>
    </row>
    <row r="448" spans="1:15" x14ac:dyDescent="0.2">
      <c r="A448" s="29">
        <f>IF('TAM Projet 1'!T439&gt;0,IF(_TauxActuariel,(('TAM Projet 1'!T439+1)^(1/_NbEchAn))-1,'TAM Projet 1'!T439/_NbEchAn),A447)</f>
        <v>1.5499999999999999E-3</v>
      </c>
      <c r="B448" s="28">
        <f>IF('TAM Projet 1'!W439&gt;0,'TAM Projet 1'!W439,IF('TAM Projet 1'!V439&gt;0,IF(AND(_EchFIXE,A448&gt;0),ROUND(('TAM Projet 1'!AD439-'TAM Projet 1'!U439)*A448/(1-((1+A448)^-'TAM Projet 1'!V439)),_NbDeci),ROUND('TAM Projet 1'!AD439/'TAM Projet 1'!V439,_NbDeci)),B447))</f>
        <v>768.98</v>
      </c>
      <c r="C448" s="10"/>
      <c r="D448" s="10"/>
      <c r="E448" s="10"/>
      <c r="F448" s="10"/>
      <c r="H448" s="29">
        <f>IF('TAM Projet 1'!AJ439&gt;0,IF(_TauxActuariel1,(('TAM Projet 1'!AJ439+1)^(1/_NbechAn1))-1,'TAM Projet 1'!AJ439/_NbechAn1),H447)</f>
        <v>8.3333333333333339E-4</v>
      </c>
      <c r="I448" s="28">
        <f>IF('TAM Projet 1'!AM439&gt;0,'TAM Projet 1'!AM439,IF('TAM Projet 1'!AL439&gt;0,IF(AND(_EchFIXE1,H448&gt;0),ROUND(('TAM Projet 1'!AT439-'TAM Projet 1'!AK439)*H448/(1-((1+H448)^-'TAM Projet 1'!AL439)),_NbDeci1),ROUND('TAM Projet 1'!AT439/'TAM Projet 1'!AL439,_NbDeci1)),I447))</f>
        <v>187406.04</v>
      </c>
      <c r="J448" s="10"/>
      <c r="K448" s="10"/>
      <c r="L448" s="10"/>
      <c r="M448" s="10"/>
      <c r="O448" s="186">
        <v>446</v>
      </c>
    </row>
    <row r="449" spans="15:15" x14ac:dyDescent="0.2">
      <c r="O449" s="186">
        <v>447</v>
      </c>
    </row>
  </sheetData>
  <mergeCells count="8">
    <mergeCell ref="B12:B14"/>
    <mergeCell ref="A12:A14"/>
    <mergeCell ref="A11:B11"/>
    <mergeCell ref="A1:F1"/>
    <mergeCell ref="H11:I11"/>
    <mergeCell ref="H12:H14"/>
    <mergeCell ref="I12:I14"/>
    <mergeCell ref="H1:M1"/>
  </mergeCells>
  <pageMargins left="0.7" right="0.7" top="0.75" bottom="0.75" header="0.3" footer="0.3"/>
  <legacy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tabColor indexed="22"/>
  </sheetPr>
  <dimension ref="B1:I37"/>
  <sheetViews>
    <sheetView showGridLines="0" workbookViewId="0">
      <selection activeCell="J29" sqref="J29"/>
    </sheetView>
  </sheetViews>
  <sheetFormatPr baseColWidth="10" defaultRowHeight="12.75" x14ac:dyDescent="0.2"/>
  <cols>
    <col min="1" max="1" width="4.7109375" customWidth="1"/>
    <col min="2" max="7" width="12.7109375" customWidth="1"/>
    <col min="9" max="9" width="11.7109375" style="10" hidden="1" customWidth="1"/>
  </cols>
  <sheetData>
    <row r="1" spans="2:9" x14ac:dyDescent="0.2">
      <c r="I1" s="10" t="s">
        <v>73</v>
      </c>
    </row>
    <row r="2" spans="2:9" x14ac:dyDescent="0.2">
      <c r="B2" s="71" t="s">
        <v>42</v>
      </c>
      <c r="C2" s="72"/>
      <c r="D2" s="72"/>
      <c r="E2" s="72"/>
      <c r="F2" s="78"/>
      <c r="G2" s="79"/>
      <c r="I2" s="10" t="s">
        <v>74</v>
      </c>
    </row>
    <row r="3" spans="2:9" x14ac:dyDescent="0.2">
      <c r="B3" s="56" t="s">
        <v>37</v>
      </c>
      <c r="C3" s="57"/>
      <c r="D3" s="104">
        <v>2</v>
      </c>
      <c r="E3" s="57"/>
      <c r="F3" s="57"/>
      <c r="G3" s="58"/>
      <c r="I3" s="10" t="s">
        <v>75</v>
      </c>
    </row>
    <row r="4" spans="2:9" x14ac:dyDescent="0.2">
      <c r="B4" s="81"/>
      <c r="C4" s="81"/>
      <c r="D4" s="81"/>
      <c r="E4" s="81"/>
      <c r="F4" s="81"/>
      <c r="G4" s="81"/>
      <c r="I4" s="10" t="s">
        <v>76</v>
      </c>
    </row>
    <row r="5" spans="2:9" x14ac:dyDescent="0.2">
      <c r="B5" s="71" t="s">
        <v>47</v>
      </c>
      <c r="C5" s="72"/>
      <c r="D5" s="72"/>
      <c r="E5" s="72"/>
      <c r="F5" s="72"/>
      <c r="G5" s="73"/>
    </row>
    <row r="6" spans="2:9" x14ac:dyDescent="0.2">
      <c r="B6" s="51"/>
      <c r="C6" s="52"/>
      <c r="D6" s="52"/>
      <c r="E6" s="52"/>
      <c r="F6" s="52"/>
      <c r="G6" s="53"/>
    </row>
    <row r="7" spans="2:9" x14ac:dyDescent="0.2">
      <c r="B7" s="54"/>
      <c r="C7" s="50"/>
      <c r="D7" s="50"/>
      <c r="E7" s="50"/>
      <c r="F7" s="50"/>
      <c r="G7" s="55"/>
    </row>
    <row r="8" spans="2:9" x14ac:dyDescent="0.2">
      <c r="B8" s="54"/>
      <c r="C8" s="50"/>
      <c r="D8" s="50"/>
      <c r="E8" s="50"/>
      <c r="F8" s="50"/>
      <c r="G8" s="55"/>
    </row>
    <row r="9" spans="2:9" x14ac:dyDescent="0.2">
      <c r="B9" s="80"/>
      <c r="C9" s="76"/>
      <c r="D9" s="76"/>
      <c r="E9" s="76"/>
      <c r="F9" s="76"/>
      <c r="G9" s="77"/>
      <c r="I9" s="106">
        <v>1</v>
      </c>
    </row>
    <row r="10" spans="2:9" x14ac:dyDescent="0.2">
      <c r="B10" s="81"/>
      <c r="C10" s="81"/>
      <c r="D10" s="81"/>
      <c r="E10" s="81"/>
      <c r="F10" s="81"/>
      <c r="G10" s="81"/>
    </row>
    <row r="11" spans="2:9" x14ac:dyDescent="0.2">
      <c r="B11" s="71" t="s">
        <v>40</v>
      </c>
      <c r="C11" s="72"/>
      <c r="D11" s="72"/>
      <c r="E11" s="72"/>
      <c r="F11" s="78"/>
      <c r="G11" s="79"/>
    </row>
    <row r="12" spans="2:9" x14ac:dyDescent="0.2">
      <c r="B12" s="51"/>
      <c r="C12" s="52"/>
      <c r="D12" s="52"/>
      <c r="E12" s="52"/>
      <c r="F12" s="52"/>
      <c r="G12" s="53"/>
      <c r="I12" s="107" t="b">
        <v>0</v>
      </c>
    </row>
    <row r="13" spans="2:9" x14ac:dyDescent="0.2">
      <c r="B13" s="54"/>
      <c r="C13" s="50"/>
      <c r="D13" s="50"/>
      <c r="E13" s="50"/>
      <c r="F13" s="50"/>
      <c r="G13" s="55"/>
    </row>
    <row r="14" spans="2:9" x14ac:dyDescent="0.2">
      <c r="B14" s="54"/>
      <c r="C14" s="63" t="s">
        <v>38</v>
      </c>
      <c r="D14" s="104"/>
      <c r="E14" s="50" t="s">
        <v>46</v>
      </c>
      <c r="F14" s="105"/>
      <c r="G14" s="55" t="s">
        <v>39</v>
      </c>
    </row>
    <row r="15" spans="2:9" x14ac:dyDescent="0.2">
      <c r="B15" s="54"/>
      <c r="C15" s="50"/>
      <c r="D15" s="50"/>
      <c r="E15" s="50"/>
      <c r="F15" s="50"/>
      <c r="G15" s="55"/>
      <c r="I15" s="108" t="b">
        <v>0</v>
      </c>
    </row>
    <row r="16" spans="2:9" x14ac:dyDescent="0.2">
      <c r="B16" s="54"/>
      <c r="C16" s="50"/>
      <c r="D16" s="50"/>
      <c r="E16" s="50"/>
      <c r="F16" s="50"/>
      <c r="G16" s="55"/>
    </row>
    <row r="17" spans="2:9" x14ac:dyDescent="0.2">
      <c r="B17" s="80"/>
      <c r="C17" s="76"/>
      <c r="D17" s="59">
        <f>IF(I12=TRUE,(D14*12+F14)*_NbEchAn/12,99999)</f>
        <v>99999</v>
      </c>
      <c r="E17" s="59">
        <f>IF(AND(I12,I15),(D14*12+F14)*_NbEchAn/12,99999)</f>
        <v>99999</v>
      </c>
      <c r="F17" s="76"/>
      <c r="G17" s="77"/>
    </row>
    <row r="19" spans="2:9" x14ac:dyDescent="0.2">
      <c r="B19" s="71" t="s">
        <v>41</v>
      </c>
      <c r="C19" s="72"/>
      <c r="D19" s="72"/>
      <c r="E19" s="72"/>
      <c r="F19" s="72"/>
      <c r="G19" s="73"/>
    </row>
    <row r="20" spans="2:9" x14ac:dyDescent="0.2">
      <c r="B20" s="60"/>
      <c r="C20" s="61"/>
      <c r="D20" s="61"/>
      <c r="E20" s="61"/>
      <c r="F20" s="50"/>
      <c r="G20" s="55"/>
    </row>
    <row r="21" spans="2:9" x14ac:dyDescent="0.2">
      <c r="B21" s="67" t="s">
        <v>48</v>
      </c>
      <c r="C21" s="65"/>
      <c r="D21" s="75">
        <f>_DebAmort</f>
        <v>39814</v>
      </c>
      <c r="E21" s="61"/>
      <c r="F21" s="50"/>
      <c r="G21" s="55"/>
    </row>
    <row r="22" spans="2:9" x14ac:dyDescent="0.2">
      <c r="B22" s="54" t="s">
        <v>49</v>
      </c>
      <c r="C22" s="50"/>
      <c r="D22" s="62">
        <f>IF(_Ijour=0,MIN(DATE(YEAR(_DebAmort),MONTH(_DebAmort)-_MoisD-_Imois,_Jour2),DATE(YEAR(_DebAmort),MONTH(_DebAmort)-_MoisD+1-_Imois,0)),DATE(YEAR(_DebAmort),MONTH(_DebAmort),_Jour1-_Ijour))</f>
        <v>39783</v>
      </c>
      <c r="E22" s="86" t="str">
        <f>"   (Durée période : "&amp;F37&amp;" jours)"</f>
        <v xml:space="preserve">   (Durée période : 31 jours)</v>
      </c>
      <c r="F22" s="84"/>
      <c r="G22" s="85"/>
    </row>
    <row r="23" spans="2:9" x14ac:dyDescent="0.2">
      <c r="B23" s="54" t="s">
        <v>50</v>
      </c>
      <c r="C23" s="50"/>
      <c r="D23" s="74">
        <f>D22+I23-500</f>
        <v>39787</v>
      </c>
      <c r="E23" s="86" t="str">
        <f>"   (Durée période : "&amp;G37&amp;" jours)"</f>
        <v xml:space="preserve">   (Durée période : 27 jours)</v>
      </c>
      <c r="F23" s="84"/>
      <c r="G23" s="55"/>
      <c r="I23" s="109">
        <v>504</v>
      </c>
    </row>
    <row r="24" spans="2:9" x14ac:dyDescent="0.2">
      <c r="B24" s="60"/>
      <c r="C24" s="61"/>
      <c r="D24" s="61"/>
      <c r="E24" s="61"/>
      <c r="F24" s="50"/>
      <c r="G24" s="55"/>
    </row>
    <row r="25" spans="2:9" x14ac:dyDescent="0.2">
      <c r="B25" s="60"/>
      <c r="C25" s="61"/>
      <c r="D25" s="61"/>
      <c r="E25" s="61"/>
      <c r="F25" s="50"/>
      <c r="G25" s="55"/>
    </row>
    <row r="26" spans="2:9" x14ac:dyDescent="0.2">
      <c r="B26" s="60"/>
      <c r="C26" s="61"/>
      <c r="D26" s="61"/>
      <c r="E26" s="61"/>
      <c r="F26" s="50"/>
      <c r="G26" s="55"/>
    </row>
    <row r="27" spans="2:9" x14ac:dyDescent="0.2">
      <c r="B27" s="60"/>
      <c r="C27" s="61"/>
      <c r="D27" s="61"/>
      <c r="E27" s="61"/>
      <c r="F27" s="50"/>
      <c r="G27" s="55"/>
      <c r="I27" s="110">
        <v>1</v>
      </c>
    </row>
    <row r="28" spans="2:9" x14ac:dyDescent="0.2">
      <c r="B28" s="60"/>
      <c r="C28" s="61"/>
      <c r="D28" s="61"/>
      <c r="E28" s="61"/>
      <c r="F28" s="50"/>
      <c r="G28" s="55"/>
    </row>
    <row r="29" spans="2:9" x14ac:dyDescent="0.2">
      <c r="B29" s="60"/>
      <c r="C29" s="61"/>
      <c r="D29" s="61"/>
      <c r="E29" s="61"/>
      <c r="F29" s="50"/>
      <c r="G29" s="55"/>
    </row>
    <row r="30" spans="2:9" x14ac:dyDescent="0.2">
      <c r="B30" s="60"/>
      <c r="C30" s="61"/>
      <c r="D30" s="61"/>
      <c r="E30" s="61"/>
      <c r="F30" s="50"/>
      <c r="G30" s="55"/>
    </row>
    <row r="31" spans="2:9" x14ac:dyDescent="0.2">
      <c r="B31" s="60"/>
      <c r="C31" s="61"/>
      <c r="D31" s="61"/>
      <c r="E31" s="61"/>
      <c r="F31" s="50"/>
      <c r="G31" s="55"/>
    </row>
    <row r="32" spans="2:9" x14ac:dyDescent="0.2">
      <c r="B32" s="64"/>
      <c r="C32" s="65"/>
      <c r="D32" s="66" t="s">
        <v>43</v>
      </c>
      <c r="E32" s="66" t="s">
        <v>44</v>
      </c>
      <c r="F32" s="66" t="s">
        <v>45</v>
      </c>
      <c r="G32" s="179"/>
    </row>
    <row r="33" spans="2:7" x14ac:dyDescent="0.2">
      <c r="B33" s="67" t="s">
        <v>51</v>
      </c>
      <c r="C33" s="65"/>
      <c r="D33" s="68">
        <f>D22</f>
        <v>39783</v>
      </c>
      <c r="E33" s="68">
        <f>D23</f>
        <v>39787</v>
      </c>
      <c r="F33" s="68">
        <f>D23</f>
        <v>39787</v>
      </c>
      <c r="G33" s="180"/>
    </row>
    <row r="34" spans="2:7" x14ac:dyDescent="0.2">
      <c r="B34" s="67" t="s">
        <v>52</v>
      </c>
      <c r="C34" s="65"/>
      <c r="D34" s="167">
        <f>ROUND('TAM Projet 1'!AD7*'Données Projet 1'!A16,_NbDeci)</f>
        <v>367.74</v>
      </c>
      <c r="E34" s="167">
        <f>IF(_TauxActuariel,
ROUND('TAM Projet 1'!AD7*((('TAM Projet 1'!J4+1)^(G37/365))-1),_NbDeci),
ROUND('TAM Projet 1'!AD7*('TAM Projet 1'!J4*G37/365),_NbDeci))</f>
        <v>326.43</v>
      </c>
      <c r="F34" s="178"/>
      <c r="G34" s="181"/>
    </row>
    <row r="35" spans="2:7" x14ac:dyDescent="0.2">
      <c r="B35" s="67" t="s">
        <v>53</v>
      </c>
      <c r="C35" s="65"/>
      <c r="D35" s="167">
        <f>IF(1&lt;=_Différé,IF(_DiffTotal,-D34,0),'Données Projet 1'!B16-(D34*_EchFIXE))</f>
        <v>401.24</v>
      </c>
      <c r="E35" s="167">
        <f>IF(AND(1&lt;=_Différé,_DiffTotal),-E34,D35)</f>
        <v>401.24</v>
      </c>
      <c r="F35" s="178"/>
      <c r="G35" s="181"/>
    </row>
    <row r="36" spans="2:7" x14ac:dyDescent="0.2">
      <c r="B36" s="67" t="s">
        <v>54</v>
      </c>
      <c r="C36" s="65"/>
      <c r="D36" s="167">
        <f>D34+D35</f>
        <v>768.98</v>
      </c>
      <c r="E36" s="167">
        <f>E34+E35</f>
        <v>727.67000000000007</v>
      </c>
      <c r="F36" s="167">
        <f>F34+F35</f>
        <v>0</v>
      </c>
      <c r="G36" s="181"/>
    </row>
    <row r="37" spans="2:7" x14ac:dyDescent="0.2">
      <c r="B37" s="80"/>
      <c r="C37" s="69">
        <f>IF(I27=1,D22,D23)</f>
        <v>39783</v>
      </c>
      <c r="D37" s="70">
        <f>IF(I27=1,D34)+IF(I27=2,E34)+IF(I27=3,F34)</f>
        <v>367.74</v>
      </c>
      <c r="E37" s="70">
        <f>IF(I27=1,D35)+IF(I27=2,E35)+IF(I27=3,F35)</f>
        <v>401.24</v>
      </c>
      <c r="F37" s="82">
        <f>D21-D22</f>
        <v>31</v>
      </c>
      <c r="G37" s="83">
        <f>D21-D23</f>
        <v>27</v>
      </c>
    </row>
  </sheetData>
  <sheetProtection selectLockedCells="1" pivotTables="0"/>
  <phoneticPr fontId="11" type="noConversion"/>
  <conditionalFormatting sqref="D33:D36">
    <cfRule type="expression" dxfId="81" priority="2" stopIfTrue="1">
      <formula>$I$27=1</formula>
    </cfRule>
  </conditionalFormatting>
  <conditionalFormatting sqref="E33:E36">
    <cfRule type="expression" dxfId="80" priority="3" stopIfTrue="1">
      <formula>$I$27=2</formula>
    </cfRule>
  </conditionalFormatting>
  <conditionalFormatting sqref="F33:F36">
    <cfRule type="expression" dxfId="79" priority="4" stopIfTrue="1">
      <formula>$I$27=3</formula>
    </cfRule>
  </conditionalFormatting>
  <pageMargins left="0.78740157499999996" right="0.78740157499999996" top="0.984251969" bottom="0.984251969" header="0.4921259845" footer="0.4921259845"/>
  <pageSetup paperSize="9" orientation="portrait" horizontalDpi="4294967293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5" r:id="rId4" name="Group Box 3">
              <controlPr defaultSize="0" autoFill="0" autoPict="0">
                <anchor moveWithCells="1">
                  <from>
                    <xdr:col>1</xdr:col>
                    <xdr:colOff>295275</xdr:colOff>
                    <xdr:row>5</xdr:row>
                    <xdr:rowOff>76200</xdr:rowOff>
                  </from>
                  <to>
                    <xdr:col>6</xdr:col>
                    <xdr:colOff>190500</xdr:colOff>
                    <xdr:row>7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6" r:id="rId5" name="Option Button 4">
              <controlPr defaultSize="0" autoFill="0" autoLine="0" autoPict="0">
                <anchor moveWithCells="1">
                  <from>
                    <xdr:col>1</xdr:col>
                    <xdr:colOff>361950</xdr:colOff>
                    <xdr:row>5</xdr:row>
                    <xdr:rowOff>114300</xdr:rowOff>
                  </from>
                  <to>
                    <xdr:col>3</xdr:col>
                    <xdr:colOff>381000</xdr:colOff>
                    <xdr:row>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7" r:id="rId6" name="Option Button 5">
              <controlPr defaultSize="0" autoFill="0" autoLine="0" autoPict="0">
                <anchor moveWithCells="1">
                  <from>
                    <xdr:col>3</xdr:col>
                    <xdr:colOff>685800</xdr:colOff>
                    <xdr:row>5</xdr:row>
                    <xdr:rowOff>114300</xdr:rowOff>
                  </from>
                  <to>
                    <xdr:col>6</xdr:col>
                    <xdr:colOff>19050</xdr:colOff>
                    <xdr:row>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8" r:id="rId7" name="Check Box 6">
              <controlPr locked="0" defaultSize="0" autoFill="0" autoLine="0" autoPict="0">
                <anchor moveWithCells="1">
                  <from>
                    <xdr:col>1</xdr:col>
                    <xdr:colOff>95250</xdr:colOff>
                    <xdr:row>11</xdr:row>
                    <xdr:rowOff>57150</xdr:rowOff>
                  </from>
                  <to>
                    <xdr:col>3</xdr:col>
                    <xdr:colOff>104775</xdr:colOff>
                    <xdr:row>12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9" r:id="rId8" name="Check Box 7">
              <controlPr locked="0" defaultSize="0" autoFill="0" autoLine="0" autoPict="0">
                <anchor moveWithCells="1">
                  <from>
                    <xdr:col>1</xdr:col>
                    <xdr:colOff>85725</xdr:colOff>
                    <xdr:row>14</xdr:row>
                    <xdr:rowOff>19050</xdr:rowOff>
                  </from>
                  <to>
                    <xdr:col>3</xdr:col>
                    <xdr:colOff>838200</xdr:colOff>
                    <xdr:row>15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1" r:id="rId9" name="Option Button 9">
              <controlPr locked="0" defaultSize="0" autoFill="0" autoLine="0" autoPict="0">
                <anchor moveWithCells="1">
                  <from>
                    <xdr:col>2</xdr:col>
                    <xdr:colOff>38100</xdr:colOff>
                    <xdr:row>24</xdr:row>
                    <xdr:rowOff>9525</xdr:rowOff>
                  </from>
                  <to>
                    <xdr:col>4</xdr:col>
                    <xdr:colOff>57150</xdr:colOff>
                    <xdr:row>25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2" r:id="rId10" name="Option Button 10">
              <controlPr locked="0" defaultSize="0" autoFill="0" autoLine="0" autoPict="0">
                <anchor moveWithCells="1">
                  <from>
                    <xdr:col>2</xdr:col>
                    <xdr:colOff>38100</xdr:colOff>
                    <xdr:row>25</xdr:row>
                    <xdr:rowOff>85725</xdr:rowOff>
                  </from>
                  <to>
                    <xdr:col>5</xdr:col>
                    <xdr:colOff>352425</xdr:colOff>
                    <xdr:row>26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8" r:id="rId11" name="Group Box 16">
              <controlPr defaultSize="0" autoFill="0" autoPict="0">
                <anchor moveWithCells="1">
                  <from>
                    <xdr:col>1</xdr:col>
                    <xdr:colOff>723900</xdr:colOff>
                    <xdr:row>23</xdr:row>
                    <xdr:rowOff>85725</xdr:rowOff>
                  </from>
                  <to>
                    <xdr:col>5</xdr:col>
                    <xdr:colOff>600075</xdr:colOff>
                    <xdr:row>30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9" r:id="rId12" name="Option Button 17">
              <controlPr locked="0" defaultSize="0" autoFill="0" autoLine="0" autoPict="0">
                <anchor moveWithCells="1">
                  <from>
                    <xdr:col>2</xdr:col>
                    <xdr:colOff>38100</xdr:colOff>
                    <xdr:row>27</xdr:row>
                    <xdr:rowOff>9525</xdr:rowOff>
                  </from>
                  <to>
                    <xdr:col>4</xdr:col>
                    <xdr:colOff>180975</xdr:colOff>
                    <xdr:row>28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0" r:id="rId13" name="Spinner 18">
              <controlPr locked="0" defaultSize="0" autoPict="0">
                <anchor moveWithCells="1">
                  <from>
                    <xdr:col>3</xdr:col>
                    <xdr:colOff>809625</xdr:colOff>
                    <xdr:row>21</xdr:row>
                    <xdr:rowOff>123825</xdr:rowOff>
                  </from>
                  <to>
                    <xdr:col>4</xdr:col>
                    <xdr:colOff>142875</xdr:colOff>
                    <xdr:row>23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>
    <tabColor indexed="22"/>
  </sheetPr>
  <dimension ref="B1:I37"/>
  <sheetViews>
    <sheetView showGridLines="0" workbookViewId="0">
      <selection activeCell="G17" sqref="G17"/>
    </sheetView>
  </sheetViews>
  <sheetFormatPr baseColWidth="10" defaultRowHeight="12.75" x14ac:dyDescent="0.2"/>
  <cols>
    <col min="1" max="1" width="4.7109375" customWidth="1"/>
    <col min="2" max="7" width="12.7109375" customWidth="1"/>
    <col min="9" max="9" width="11.7109375" style="10" hidden="1" customWidth="1"/>
  </cols>
  <sheetData>
    <row r="1" spans="2:9" x14ac:dyDescent="0.2">
      <c r="I1" s="10" t="s">
        <v>73</v>
      </c>
    </row>
    <row r="2" spans="2:9" x14ac:dyDescent="0.2">
      <c r="B2" s="71" t="s">
        <v>42</v>
      </c>
      <c r="C2" s="72"/>
      <c r="D2" s="72"/>
      <c r="E2" s="72"/>
      <c r="F2" s="78"/>
      <c r="G2" s="79"/>
      <c r="I2" s="10" t="s">
        <v>74</v>
      </c>
    </row>
    <row r="3" spans="2:9" x14ac:dyDescent="0.2">
      <c r="B3" s="56" t="s">
        <v>37</v>
      </c>
      <c r="C3" s="57"/>
      <c r="D3" s="104">
        <v>2</v>
      </c>
      <c r="E3" s="57"/>
      <c r="F3" s="57"/>
      <c r="G3" s="58"/>
      <c r="I3" s="10" t="s">
        <v>75</v>
      </c>
    </row>
    <row r="4" spans="2:9" x14ac:dyDescent="0.2">
      <c r="B4" s="81"/>
      <c r="C4" s="81"/>
      <c r="D4" s="81"/>
      <c r="E4" s="81"/>
      <c r="F4" s="81"/>
      <c r="G4" s="81"/>
      <c r="I4" s="10" t="s">
        <v>76</v>
      </c>
    </row>
    <row r="5" spans="2:9" x14ac:dyDescent="0.2">
      <c r="B5" s="71" t="s">
        <v>47</v>
      </c>
      <c r="C5" s="72"/>
      <c r="D5" s="72"/>
      <c r="E5" s="72"/>
      <c r="F5" s="72"/>
      <c r="G5" s="73"/>
    </row>
    <row r="6" spans="2:9" x14ac:dyDescent="0.2">
      <c r="B6" s="51"/>
      <c r="C6" s="52"/>
      <c r="D6" s="52"/>
      <c r="E6" s="52"/>
      <c r="F6" s="52"/>
      <c r="G6" s="53"/>
    </row>
    <row r="7" spans="2:9" x14ac:dyDescent="0.2">
      <c r="B7" s="54"/>
      <c r="C7" s="50"/>
      <c r="D7" s="50"/>
      <c r="E7" s="50"/>
      <c r="F7" s="50"/>
      <c r="G7" s="55"/>
    </row>
    <row r="8" spans="2:9" x14ac:dyDescent="0.2">
      <c r="B8" s="54"/>
      <c r="C8" s="50"/>
      <c r="D8" s="50"/>
      <c r="E8" s="50"/>
      <c r="F8" s="50"/>
      <c r="G8" s="55"/>
    </row>
    <row r="9" spans="2:9" x14ac:dyDescent="0.2">
      <c r="B9" s="80"/>
      <c r="C9" s="76"/>
      <c r="D9" s="76"/>
      <c r="E9" s="76"/>
      <c r="F9" s="76"/>
      <c r="G9" s="77"/>
      <c r="I9" s="106">
        <v>1</v>
      </c>
    </row>
    <row r="10" spans="2:9" x14ac:dyDescent="0.2">
      <c r="B10" s="81"/>
      <c r="C10" s="81"/>
      <c r="D10" s="81"/>
      <c r="E10" s="81"/>
      <c r="F10" s="81"/>
      <c r="G10" s="81"/>
    </row>
    <row r="11" spans="2:9" x14ac:dyDescent="0.2">
      <c r="B11" s="71" t="s">
        <v>40</v>
      </c>
      <c r="C11" s="72"/>
      <c r="D11" s="72"/>
      <c r="E11" s="72"/>
      <c r="F11" s="78"/>
      <c r="G11" s="79"/>
    </row>
    <row r="12" spans="2:9" x14ac:dyDescent="0.2">
      <c r="B12" s="51"/>
      <c r="C12" s="52"/>
      <c r="D12" s="52"/>
      <c r="E12" s="52"/>
      <c r="F12" s="52"/>
      <c r="G12" s="53"/>
      <c r="I12" s="107" t="b">
        <v>0</v>
      </c>
    </row>
    <row r="13" spans="2:9" x14ac:dyDescent="0.2">
      <c r="B13" s="54"/>
      <c r="C13" s="50"/>
      <c r="D13" s="50"/>
      <c r="E13" s="50"/>
      <c r="F13" s="50"/>
      <c r="G13" s="55"/>
    </row>
    <row r="14" spans="2:9" x14ac:dyDescent="0.2">
      <c r="B14" s="54"/>
      <c r="C14" s="63" t="s">
        <v>38</v>
      </c>
      <c r="D14" s="104"/>
      <c r="E14" s="50" t="s">
        <v>46</v>
      </c>
      <c r="F14" s="105"/>
      <c r="G14" s="55" t="s">
        <v>39</v>
      </c>
    </row>
    <row r="15" spans="2:9" x14ac:dyDescent="0.2">
      <c r="B15" s="54"/>
      <c r="C15" s="50"/>
      <c r="D15" s="50"/>
      <c r="E15" s="50"/>
      <c r="F15" s="50"/>
      <c r="G15" s="55"/>
      <c r="I15" s="108" t="b">
        <v>0</v>
      </c>
    </row>
    <row r="16" spans="2:9" x14ac:dyDescent="0.2">
      <c r="B16" s="54"/>
      <c r="C16" s="50"/>
      <c r="D16" s="50"/>
      <c r="E16" s="50"/>
      <c r="F16" s="50"/>
      <c r="G16" s="55"/>
    </row>
    <row r="17" spans="2:9" x14ac:dyDescent="0.2">
      <c r="B17" s="80"/>
      <c r="C17" s="76"/>
      <c r="D17" s="59">
        <f>IF(I12=TRUE,(D14*12+F14)*_NbechAn1/12,99999)</f>
        <v>99999</v>
      </c>
      <c r="E17" s="59">
        <f>IF(AND(I12,I15),(D14*12+F14)*_NbechAn1/12,99999)</f>
        <v>99999</v>
      </c>
      <c r="F17" s="76"/>
      <c r="G17" s="77"/>
    </row>
    <row r="19" spans="2:9" x14ac:dyDescent="0.2">
      <c r="B19" s="71" t="s">
        <v>41</v>
      </c>
      <c r="C19" s="72"/>
      <c r="D19" s="72"/>
      <c r="E19" s="72"/>
      <c r="F19" s="72"/>
      <c r="G19" s="73"/>
    </row>
    <row r="20" spans="2:9" x14ac:dyDescent="0.2">
      <c r="B20" s="60"/>
      <c r="C20" s="61"/>
      <c r="D20" s="61"/>
      <c r="E20" s="61"/>
      <c r="F20" s="50"/>
      <c r="G20" s="55"/>
    </row>
    <row r="21" spans="2:9" x14ac:dyDescent="0.2">
      <c r="B21" s="67" t="s">
        <v>48</v>
      </c>
      <c r="C21" s="65"/>
      <c r="D21" s="75">
        <f>_DebAmort1</f>
        <v>39814</v>
      </c>
      <c r="E21" s="61"/>
      <c r="F21" s="50"/>
      <c r="G21" s="55"/>
    </row>
    <row r="22" spans="2:9" x14ac:dyDescent="0.2">
      <c r="B22" s="54" t="s">
        <v>49</v>
      </c>
      <c r="C22" s="50"/>
      <c r="D22" s="62">
        <f>IF(_Ijour1=0,MIN(DATE(YEAR(_DebAmort1),MONTH(_DebAmort1)-_MoisD1-_Imois1,__Jou2),DATE(YEAR(_DebAmort1),MONTH(_DebAmort1)-_MoisD1+1-_Imois1,0)),DATE(YEAR(_DebAmort1),MONTH(_DebAmort1),__Jou1-_Ijour1))</f>
        <v>39783</v>
      </c>
      <c r="E22" s="86" t="str">
        <f>"   (Durée période : "&amp;F37&amp;" jours)"</f>
        <v xml:space="preserve">   (Durée période : 31 jours)</v>
      </c>
      <c r="F22" s="84"/>
      <c r="G22" s="85"/>
    </row>
    <row r="23" spans="2:9" x14ac:dyDescent="0.2">
      <c r="B23" s="54" t="s">
        <v>50</v>
      </c>
      <c r="C23" s="50"/>
      <c r="D23" s="74">
        <f>D22+I23-500</f>
        <v>39788</v>
      </c>
      <c r="E23" s="86" t="str">
        <f>"   (Durée période : "&amp;G37&amp;" jours)"</f>
        <v xml:space="preserve">   (Durée période : 26 jours)</v>
      </c>
      <c r="F23" s="84"/>
      <c r="G23" s="55"/>
      <c r="I23" s="109">
        <v>505</v>
      </c>
    </row>
    <row r="24" spans="2:9" x14ac:dyDescent="0.2">
      <c r="B24" s="60"/>
      <c r="C24" s="61"/>
      <c r="D24" s="61"/>
      <c r="E24" s="61"/>
      <c r="F24" s="50"/>
      <c r="G24" s="55"/>
    </row>
    <row r="25" spans="2:9" x14ac:dyDescent="0.2">
      <c r="B25" s="60"/>
      <c r="C25" s="61"/>
      <c r="D25" s="61"/>
      <c r="E25" s="61"/>
      <c r="F25" s="50"/>
      <c r="G25" s="55"/>
    </row>
    <row r="26" spans="2:9" x14ac:dyDescent="0.2">
      <c r="B26" s="60"/>
      <c r="C26" s="61"/>
      <c r="D26" s="61"/>
      <c r="E26" s="61"/>
      <c r="F26" s="50"/>
      <c r="G26" s="55"/>
    </row>
    <row r="27" spans="2:9" x14ac:dyDescent="0.2">
      <c r="B27" s="60"/>
      <c r="C27" s="61"/>
      <c r="D27" s="61"/>
      <c r="E27" s="61"/>
      <c r="F27" s="50"/>
      <c r="G27" s="55"/>
      <c r="I27" s="110">
        <v>1</v>
      </c>
    </row>
    <row r="28" spans="2:9" x14ac:dyDescent="0.2">
      <c r="B28" s="60"/>
      <c r="C28" s="61"/>
      <c r="D28" s="61"/>
      <c r="E28" s="61"/>
      <c r="F28" s="50"/>
      <c r="G28" s="55"/>
    </row>
    <row r="29" spans="2:9" x14ac:dyDescent="0.2">
      <c r="B29" s="60"/>
      <c r="C29" s="61"/>
      <c r="D29" s="61"/>
      <c r="E29" s="61"/>
      <c r="F29" s="50"/>
      <c r="G29" s="55"/>
    </row>
    <row r="30" spans="2:9" x14ac:dyDescent="0.2">
      <c r="B30" s="60"/>
      <c r="C30" s="61"/>
      <c r="D30" s="61"/>
      <c r="E30" s="61"/>
      <c r="F30" s="50"/>
      <c r="G30" s="55"/>
    </row>
    <row r="31" spans="2:9" x14ac:dyDescent="0.2">
      <c r="B31" s="60"/>
      <c r="C31" s="61"/>
      <c r="D31" s="61"/>
      <c r="E31" s="61"/>
      <c r="F31" s="50"/>
      <c r="G31" s="55"/>
    </row>
    <row r="32" spans="2:9" x14ac:dyDescent="0.2">
      <c r="B32" s="64"/>
      <c r="C32" s="65"/>
      <c r="D32" s="66" t="s">
        <v>43</v>
      </c>
      <c r="E32" s="66" t="s">
        <v>44</v>
      </c>
      <c r="F32" s="66" t="s">
        <v>45</v>
      </c>
      <c r="G32" s="179"/>
    </row>
    <row r="33" spans="2:7" x14ac:dyDescent="0.2">
      <c r="B33" s="67" t="s">
        <v>51</v>
      </c>
      <c r="C33" s="65"/>
      <c r="D33" s="68">
        <f>D22</f>
        <v>39783</v>
      </c>
      <c r="E33" s="68">
        <f>D23</f>
        <v>39788</v>
      </c>
      <c r="F33" s="68">
        <f>D23</f>
        <v>39788</v>
      </c>
      <c r="G33" s="180"/>
    </row>
    <row r="34" spans="2:7" x14ac:dyDescent="0.2">
      <c r="B34" s="67" t="s">
        <v>52</v>
      </c>
      <c r="C34" s="65"/>
      <c r="D34" s="167">
        <f>ROUND('TAM Projet 1'!AT7*'Données Projet 1'!H16,_NbDeci1)</f>
        <v>156.04</v>
      </c>
      <c r="E34" s="167">
        <f>IF(_TauxActuariel1,
ROUND('TAM Projet 1'!AT7*((('TAM Projet 1'!J12+1)^(G37/365))-1),_NbDeci1),
ROUND('TAM Projet 1'!AT7*('TAM Projet 1'!J12*G37/365),_NbDeci1))</f>
        <v>133.38</v>
      </c>
      <c r="F34" s="178"/>
      <c r="G34" s="181"/>
    </row>
    <row r="35" spans="2:7" x14ac:dyDescent="0.2">
      <c r="B35" s="67" t="s">
        <v>53</v>
      </c>
      <c r="C35" s="65"/>
      <c r="D35" s="167">
        <f>IF(1&lt;=_Différé1,IF(_DiffTotal1,-D34,0),'Données Projet 1'!I16-(D34*_EchFIXE1))</f>
        <v>0</v>
      </c>
      <c r="E35" s="167">
        <f>IF(AND(1&lt;=_Différé1,_DiffTotal1),-E34,D35)</f>
        <v>0</v>
      </c>
      <c r="F35" s="178"/>
      <c r="G35" s="181"/>
    </row>
    <row r="36" spans="2:7" x14ac:dyDescent="0.2">
      <c r="B36" s="67" t="s">
        <v>54</v>
      </c>
      <c r="C36" s="65"/>
      <c r="D36" s="167">
        <f>D34+D35</f>
        <v>156.04</v>
      </c>
      <c r="E36" s="167">
        <f>E34+E35</f>
        <v>133.38</v>
      </c>
      <c r="F36" s="167">
        <f>F34+F35</f>
        <v>0</v>
      </c>
      <c r="G36" s="181"/>
    </row>
    <row r="37" spans="2:7" x14ac:dyDescent="0.2">
      <c r="B37" s="80"/>
      <c r="C37" s="69">
        <f>IF(I27=1,D22,D23)</f>
        <v>39783</v>
      </c>
      <c r="D37" s="70">
        <f>IF(I27=1,D34)+IF(I27=2,E34)+IF(I27=3,F34)</f>
        <v>156.04</v>
      </c>
      <c r="E37" s="70">
        <f>IF(I27=1,D35)+IF(I27=2,E35)+IF(I27=3,F35)</f>
        <v>0</v>
      </c>
      <c r="F37" s="82">
        <f>D21-D22</f>
        <v>31</v>
      </c>
      <c r="G37" s="83">
        <f>D21-D23</f>
        <v>26</v>
      </c>
    </row>
  </sheetData>
  <sheetProtection selectLockedCells="1" pivotTables="0"/>
  <conditionalFormatting sqref="D33:D36">
    <cfRule type="expression" dxfId="78" priority="1" stopIfTrue="1">
      <formula>$I$27=1</formula>
    </cfRule>
  </conditionalFormatting>
  <conditionalFormatting sqref="E33:E36">
    <cfRule type="expression" dxfId="77" priority="2" stopIfTrue="1">
      <formula>$I$27=2</formula>
    </cfRule>
  </conditionalFormatting>
  <conditionalFormatting sqref="F33:F36">
    <cfRule type="expression" dxfId="76" priority="3" stopIfTrue="1">
      <formula>$I$27=3</formula>
    </cfRule>
  </conditionalFormatting>
  <pageMargins left="0.78740157499999996" right="0.78740157499999996" top="0.984251969" bottom="0.984251969" header="0.4921259845" footer="0.4921259845"/>
  <pageSetup paperSize="9" orientation="portrait" horizontalDpi="4294967293" verticalDpi="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9" r:id="rId4" name="Group Box 1">
              <controlPr defaultSize="0" autoFill="0" autoPict="0">
                <anchor moveWithCells="1">
                  <from>
                    <xdr:col>1</xdr:col>
                    <xdr:colOff>295275</xdr:colOff>
                    <xdr:row>5</xdr:row>
                    <xdr:rowOff>76200</xdr:rowOff>
                  </from>
                  <to>
                    <xdr:col>6</xdr:col>
                    <xdr:colOff>190500</xdr:colOff>
                    <xdr:row>7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0" r:id="rId5" name="Option Button 2">
              <controlPr defaultSize="0" autoFill="0" autoLine="0" autoPict="0">
                <anchor moveWithCells="1">
                  <from>
                    <xdr:col>1</xdr:col>
                    <xdr:colOff>361950</xdr:colOff>
                    <xdr:row>5</xdr:row>
                    <xdr:rowOff>114300</xdr:rowOff>
                  </from>
                  <to>
                    <xdr:col>3</xdr:col>
                    <xdr:colOff>381000</xdr:colOff>
                    <xdr:row>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1" r:id="rId6" name="Option Button 3">
              <controlPr defaultSize="0" autoFill="0" autoLine="0" autoPict="0">
                <anchor moveWithCells="1">
                  <from>
                    <xdr:col>3</xdr:col>
                    <xdr:colOff>685800</xdr:colOff>
                    <xdr:row>5</xdr:row>
                    <xdr:rowOff>114300</xdr:rowOff>
                  </from>
                  <to>
                    <xdr:col>6</xdr:col>
                    <xdr:colOff>19050</xdr:colOff>
                    <xdr:row>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2" r:id="rId7" name="Check Box 4">
              <controlPr locked="0" defaultSize="0" autoFill="0" autoLine="0" autoPict="0">
                <anchor moveWithCells="1">
                  <from>
                    <xdr:col>1</xdr:col>
                    <xdr:colOff>95250</xdr:colOff>
                    <xdr:row>11</xdr:row>
                    <xdr:rowOff>57150</xdr:rowOff>
                  </from>
                  <to>
                    <xdr:col>3</xdr:col>
                    <xdr:colOff>104775</xdr:colOff>
                    <xdr:row>12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3" r:id="rId8" name="Check Box 5">
              <controlPr locked="0" defaultSize="0" autoFill="0" autoLine="0" autoPict="0">
                <anchor moveWithCells="1">
                  <from>
                    <xdr:col>1</xdr:col>
                    <xdr:colOff>85725</xdr:colOff>
                    <xdr:row>14</xdr:row>
                    <xdr:rowOff>19050</xdr:rowOff>
                  </from>
                  <to>
                    <xdr:col>3</xdr:col>
                    <xdr:colOff>838200</xdr:colOff>
                    <xdr:row>15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4" r:id="rId9" name="Option Button 6">
              <controlPr locked="0" defaultSize="0" autoFill="0" autoLine="0" autoPict="0">
                <anchor moveWithCells="1">
                  <from>
                    <xdr:col>2</xdr:col>
                    <xdr:colOff>38100</xdr:colOff>
                    <xdr:row>24</xdr:row>
                    <xdr:rowOff>9525</xdr:rowOff>
                  </from>
                  <to>
                    <xdr:col>4</xdr:col>
                    <xdr:colOff>57150</xdr:colOff>
                    <xdr:row>25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5" r:id="rId10" name="Option Button 7">
              <controlPr locked="0" defaultSize="0" autoFill="0" autoLine="0" autoPict="0">
                <anchor moveWithCells="1">
                  <from>
                    <xdr:col>2</xdr:col>
                    <xdr:colOff>38100</xdr:colOff>
                    <xdr:row>25</xdr:row>
                    <xdr:rowOff>85725</xdr:rowOff>
                  </from>
                  <to>
                    <xdr:col>5</xdr:col>
                    <xdr:colOff>352425</xdr:colOff>
                    <xdr:row>26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6" r:id="rId11" name="Group Box 8">
              <controlPr defaultSize="0" autoFill="0" autoPict="0">
                <anchor moveWithCells="1">
                  <from>
                    <xdr:col>1</xdr:col>
                    <xdr:colOff>723900</xdr:colOff>
                    <xdr:row>23</xdr:row>
                    <xdr:rowOff>85725</xdr:rowOff>
                  </from>
                  <to>
                    <xdr:col>5</xdr:col>
                    <xdr:colOff>600075</xdr:colOff>
                    <xdr:row>30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7" r:id="rId12" name="Option Button 9">
              <controlPr locked="0" defaultSize="0" autoFill="0" autoLine="0" autoPict="0">
                <anchor moveWithCells="1">
                  <from>
                    <xdr:col>2</xdr:col>
                    <xdr:colOff>38100</xdr:colOff>
                    <xdr:row>27</xdr:row>
                    <xdr:rowOff>9525</xdr:rowOff>
                  </from>
                  <to>
                    <xdr:col>4</xdr:col>
                    <xdr:colOff>180975</xdr:colOff>
                    <xdr:row>28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8" r:id="rId13" name="Spinner 10">
              <controlPr locked="0" defaultSize="0" autoPict="0">
                <anchor moveWithCells="1">
                  <from>
                    <xdr:col>3</xdr:col>
                    <xdr:colOff>809625</xdr:colOff>
                    <xdr:row>21</xdr:row>
                    <xdr:rowOff>123825</xdr:rowOff>
                  </from>
                  <to>
                    <xdr:col>4</xdr:col>
                    <xdr:colOff>142875</xdr:colOff>
                    <xdr:row>23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indexed="22"/>
  </sheetPr>
  <dimension ref="A1:AX441"/>
  <sheetViews>
    <sheetView showGridLines="0" tabSelected="1" topLeftCell="A22" zoomScale="90" zoomScaleNormal="90" workbookViewId="0">
      <selection activeCell="R11" sqref="R11"/>
    </sheetView>
  </sheetViews>
  <sheetFormatPr baseColWidth="10" defaultRowHeight="15.75" customHeight="1" x14ac:dyDescent="0.3"/>
  <cols>
    <col min="1" max="1" width="22.85546875" style="412" customWidth="1"/>
    <col min="2" max="2" width="13.140625" style="413" customWidth="1"/>
    <col min="3" max="3" width="22.85546875" style="405" customWidth="1"/>
    <col min="4" max="4" width="12.140625" style="413" customWidth="1"/>
    <col min="5" max="5" width="22.42578125" style="413" customWidth="1"/>
    <col min="6" max="6" width="11.5703125" style="405" customWidth="1"/>
    <col min="7" max="7" width="23.140625" style="405" customWidth="1"/>
    <col min="8" max="8" width="11.42578125" style="405" customWidth="1"/>
    <col min="9" max="9" width="22.42578125" style="405" customWidth="1"/>
    <col min="10" max="10" width="13.140625" style="405" customWidth="1"/>
    <col min="11" max="11" width="13.28515625" style="405" customWidth="1"/>
    <col min="12" max="12" width="11.42578125" style="405" customWidth="1"/>
    <col min="13" max="13" width="21.7109375" style="405" customWidth="1"/>
    <col min="14" max="14" width="13.5703125" style="405" customWidth="1"/>
    <col min="15" max="15" width="12.5703125" style="405" customWidth="1"/>
    <col min="16" max="17" width="11.42578125" style="405" customWidth="1"/>
    <col min="18" max="18" width="22.140625" style="405" customWidth="1"/>
    <col min="19" max="19" width="13.140625" style="405" customWidth="1"/>
    <col min="20" max="26" width="11.42578125" style="405" customWidth="1"/>
    <col min="27" max="16384" width="11.42578125" style="405"/>
  </cols>
  <sheetData>
    <row r="1" spans="1:50" ht="15.75" customHeight="1" thickBot="1" x14ac:dyDescent="0.35">
      <c r="A1" s="581" t="s">
        <v>335</v>
      </c>
      <c r="B1" s="582"/>
      <c r="C1" s="576" t="s">
        <v>168</v>
      </c>
      <c r="D1" s="577"/>
      <c r="E1" s="577"/>
      <c r="F1" s="577"/>
      <c r="G1" s="577"/>
      <c r="H1" s="577"/>
      <c r="I1" s="587" t="s">
        <v>85</v>
      </c>
      <c r="J1" s="588"/>
      <c r="K1" s="588"/>
      <c r="L1" s="588"/>
      <c r="M1" s="588"/>
      <c r="N1" s="588"/>
      <c r="O1" s="588"/>
      <c r="P1" s="588"/>
      <c r="Q1" s="589"/>
      <c r="R1" s="574" t="s">
        <v>329</v>
      </c>
      <c r="S1" s="575"/>
      <c r="T1" s="596" t="s">
        <v>342</v>
      </c>
      <c r="U1" s="596"/>
      <c r="V1" s="596"/>
      <c r="W1" s="596"/>
      <c r="X1" s="596"/>
      <c r="Y1" s="596"/>
      <c r="Z1" s="596"/>
      <c r="AA1" s="596"/>
      <c r="AB1" s="596"/>
      <c r="AC1" s="596"/>
      <c r="AD1" s="596"/>
      <c r="AE1" s="596"/>
      <c r="AF1" s="596"/>
      <c r="AG1" s="596"/>
      <c r="AH1" s="596"/>
      <c r="AI1"/>
      <c r="AJ1" s="596" t="s">
        <v>343</v>
      </c>
      <c r="AK1" s="596"/>
      <c r="AL1" s="596"/>
      <c r="AM1" s="596"/>
      <c r="AN1" s="596"/>
      <c r="AO1" s="596"/>
      <c r="AP1" s="596"/>
      <c r="AQ1" s="596"/>
      <c r="AR1" s="596"/>
      <c r="AS1" s="596"/>
      <c r="AT1" s="596"/>
      <c r="AU1" s="596"/>
      <c r="AV1" s="596"/>
      <c r="AW1" s="596"/>
      <c r="AX1" s="596"/>
    </row>
    <row r="2" spans="1:50" ht="15.75" customHeight="1" thickBot="1" x14ac:dyDescent="0.35">
      <c r="A2" s="402" t="s">
        <v>169</v>
      </c>
      <c r="B2" s="397">
        <v>175000</v>
      </c>
      <c r="C2" s="396"/>
      <c r="D2" s="422" t="s">
        <v>171</v>
      </c>
      <c r="E2" s="395"/>
      <c r="F2" s="422" t="s">
        <v>171</v>
      </c>
      <c r="G2" s="583" t="s">
        <v>167</v>
      </c>
      <c r="H2" s="584"/>
      <c r="I2" s="579" t="s">
        <v>81</v>
      </c>
      <c r="J2" s="580"/>
      <c r="K2" s="436" t="s">
        <v>67</v>
      </c>
      <c r="L2" s="466"/>
      <c r="M2" s="467" t="s">
        <v>68</v>
      </c>
      <c r="N2" s="441"/>
      <c r="O2" s="468" t="s">
        <v>4</v>
      </c>
      <c r="P2" s="456"/>
      <c r="Q2" s="457"/>
      <c r="R2" s="283" t="s">
        <v>187</v>
      </c>
      <c r="S2" s="333">
        <v>11500</v>
      </c>
      <c r="T2" s="598" t="s">
        <v>9</v>
      </c>
      <c r="U2" s="599"/>
      <c r="V2" s="599"/>
      <c r="W2" s="599"/>
      <c r="X2" s="600"/>
      <c r="Y2" s="10"/>
      <c r="Z2" s="601" t="s">
        <v>6</v>
      </c>
      <c r="AA2" s="602"/>
      <c r="AB2" s="602"/>
      <c r="AC2" s="602"/>
      <c r="AD2" s="602"/>
      <c r="AE2" s="602"/>
      <c r="AF2" s="602"/>
      <c r="AG2" s="602"/>
      <c r="AH2" s="603"/>
      <c r="AI2"/>
      <c r="AJ2" s="598" t="s">
        <v>9</v>
      </c>
      <c r="AK2" s="599"/>
      <c r="AL2" s="599"/>
      <c r="AM2" s="599"/>
      <c r="AN2" s="600"/>
      <c r="AO2" s="10"/>
      <c r="AP2" s="601" t="s">
        <v>6</v>
      </c>
      <c r="AQ2" s="602"/>
      <c r="AR2" s="602"/>
      <c r="AS2" s="602"/>
      <c r="AT2" s="602"/>
      <c r="AU2" s="602"/>
      <c r="AV2" s="602"/>
      <c r="AW2" s="602"/>
      <c r="AX2" s="603"/>
    </row>
    <row r="3" spans="1:50" ht="15.75" customHeight="1" x14ac:dyDescent="0.3">
      <c r="A3" s="403" t="s">
        <v>172</v>
      </c>
      <c r="B3" s="398">
        <f>SUM(B2*0.02)</f>
        <v>3500</v>
      </c>
      <c r="C3" s="423" t="s">
        <v>174</v>
      </c>
      <c r="D3" s="279">
        <v>1530</v>
      </c>
      <c r="E3" s="423" t="s">
        <v>202</v>
      </c>
      <c r="F3" s="279">
        <v>0</v>
      </c>
      <c r="G3" s="415" t="s">
        <v>170</v>
      </c>
      <c r="H3" s="333"/>
      <c r="I3" s="463" t="s">
        <v>330</v>
      </c>
      <c r="J3" s="445">
        <f>IF(L8=4,B2,IF(L8=5,B2+B4,B2+B4+B5))</f>
        <v>237250</v>
      </c>
      <c r="K3" s="407">
        <v>39814</v>
      </c>
      <c r="L3" s="464"/>
      <c r="M3" s="461" t="s">
        <v>18</v>
      </c>
      <c r="N3" s="459">
        <f>(J3*0.1%)/12</f>
        <v>19.770833333333332</v>
      </c>
      <c r="O3" s="578" t="s">
        <v>21</v>
      </c>
      <c r="P3" s="567"/>
      <c r="Q3" s="449">
        <f>MAX('TAM Projet 1'!AC6:AC439)</f>
        <v>52566</v>
      </c>
      <c r="R3" s="283" t="s">
        <v>361</v>
      </c>
      <c r="S3" s="333">
        <v>15000</v>
      </c>
      <c r="T3" s="35">
        <f>COUNTIF(T7:T439,"&gt;0")</f>
        <v>0</v>
      </c>
      <c r="U3" s="36">
        <f>COUNTIF(U7:U439,"&gt;0")+COUNTIF(U7:U439,"&lt;0")</f>
        <v>0</v>
      </c>
      <c r="V3" s="36">
        <f>COUNTIF(V7:V439,"&gt;0")</f>
        <v>0</v>
      </c>
      <c r="W3" s="36">
        <f>COUNTIF(W7:W439,"&gt;0")</f>
        <v>0</v>
      </c>
      <c r="X3" s="37">
        <f>COUNTIF(X6:X439,"&gt;0")</f>
        <v>0</v>
      </c>
      <c r="Y3" s="10"/>
      <c r="Z3" s="92"/>
      <c r="AA3" s="612" t="s">
        <v>22</v>
      </c>
      <c r="AB3" s="114"/>
      <c r="AC3" s="615" t="s">
        <v>12</v>
      </c>
      <c r="AD3" s="624" t="s">
        <v>7</v>
      </c>
      <c r="AE3" s="618" t="s">
        <v>11</v>
      </c>
      <c r="AF3" s="615" t="s">
        <v>8</v>
      </c>
      <c r="AG3" s="615" t="s">
        <v>13</v>
      </c>
      <c r="AH3" s="621" t="s">
        <v>23</v>
      </c>
      <c r="AI3"/>
      <c r="AJ3" s="35">
        <f>COUNTIF(AJ7:AJ439,"&gt;0")</f>
        <v>0</v>
      </c>
      <c r="AK3" s="36">
        <f>COUNTIF(AK7:AK439,"&gt;0")+COUNTIF(AK7:AK439,"&lt;0")</f>
        <v>0</v>
      </c>
      <c r="AL3" s="36">
        <f>COUNTIF(AL7:AL439,"&gt;0")</f>
        <v>0</v>
      </c>
      <c r="AM3" s="36">
        <f>COUNTIF(AM7:AM439,"&gt;0")</f>
        <v>0</v>
      </c>
      <c r="AN3" s="37">
        <f>COUNTIF(AN6:AN439,"&gt;0")</f>
        <v>0</v>
      </c>
      <c r="AO3" s="10"/>
      <c r="AP3" s="92"/>
      <c r="AQ3" s="612" t="s">
        <v>22</v>
      </c>
      <c r="AR3" s="114"/>
      <c r="AS3" s="615" t="s">
        <v>12</v>
      </c>
      <c r="AT3" s="624" t="s">
        <v>7</v>
      </c>
      <c r="AU3" s="618" t="s">
        <v>11</v>
      </c>
      <c r="AV3" s="615" t="s">
        <v>8</v>
      </c>
      <c r="AW3" s="615" t="s">
        <v>13</v>
      </c>
      <c r="AX3" s="621" t="s">
        <v>23</v>
      </c>
    </row>
    <row r="4" spans="1:50" ht="15.75" customHeight="1" thickBot="1" x14ac:dyDescent="0.35">
      <c r="A4" s="402" t="s">
        <v>176</v>
      </c>
      <c r="B4" s="399">
        <f>SUM(B2*0.07)</f>
        <v>12250.000000000002</v>
      </c>
      <c r="C4" s="424" t="s">
        <v>178</v>
      </c>
      <c r="D4" s="286">
        <f>VLOOKUP(C4,'TAM Projet 1'!P50:Q51,2,FALSE)</f>
        <v>765</v>
      </c>
      <c r="E4" s="424" t="s">
        <v>178</v>
      </c>
      <c r="F4" s="286">
        <f>VLOOKUP(E4,'TAM Projet 1'!P73:Q75,2,FALSE)</f>
        <v>0</v>
      </c>
      <c r="G4" s="415" t="s">
        <v>173</v>
      </c>
      <c r="H4" s="284"/>
      <c r="I4" s="463" t="s">
        <v>331</v>
      </c>
      <c r="J4" s="446">
        <v>1.8599999999999998E-2</v>
      </c>
      <c r="K4" s="437" t="s">
        <v>62</v>
      </c>
      <c r="L4" s="464"/>
      <c r="M4" s="461" t="s">
        <v>19</v>
      </c>
      <c r="N4" s="460"/>
      <c r="O4" s="578" t="s">
        <v>20</v>
      </c>
      <c r="P4" s="567"/>
      <c r="Q4" s="441">
        <f>MAX('TAM Projet 1'!Z6:Z439)</f>
        <v>420</v>
      </c>
      <c r="R4" s="283" t="s">
        <v>193</v>
      </c>
      <c r="S4" s="333">
        <v>1.5</v>
      </c>
      <c r="T4" s="604" t="s">
        <v>10</v>
      </c>
      <c r="U4" s="606" t="s">
        <v>14</v>
      </c>
      <c r="V4" s="608" t="s">
        <v>27</v>
      </c>
      <c r="W4" s="606" t="s">
        <v>26</v>
      </c>
      <c r="X4" s="610" t="s">
        <v>25</v>
      </c>
      <c r="Y4" s="17"/>
      <c r="Z4" s="93" t="s">
        <v>78</v>
      </c>
      <c r="AA4" s="613"/>
      <c r="AB4" s="115" t="s">
        <v>77</v>
      </c>
      <c r="AC4" s="616"/>
      <c r="AD4" s="625"/>
      <c r="AE4" s="619"/>
      <c r="AF4" s="627"/>
      <c r="AG4" s="627"/>
      <c r="AH4" s="622"/>
      <c r="AI4"/>
      <c r="AJ4" s="604" t="s">
        <v>10</v>
      </c>
      <c r="AK4" s="606" t="s">
        <v>14</v>
      </c>
      <c r="AL4" s="608" t="s">
        <v>27</v>
      </c>
      <c r="AM4" s="606" t="s">
        <v>26</v>
      </c>
      <c r="AN4" s="610" t="s">
        <v>25</v>
      </c>
      <c r="AO4" s="17"/>
      <c r="AP4" s="93" t="s">
        <v>78</v>
      </c>
      <c r="AQ4" s="613"/>
      <c r="AR4" s="115" t="s">
        <v>77</v>
      </c>
      <c r="AS4" s="616"/>
      <c r="AT4" s="625"/>
      <c r="AU4" s="619"/>
      <c r="AV4" s="627"/>
      <c r="AW4" s="627"/>
      <c r="AX4" s="622"/>
    </row>
    <row r="5" spans="1:50" ht="15.75" customHeight="1" thickBot="1" x14ac:dyDescent="0.35">
      <c r="A5" s="402" t="s">
        <v>179</v>
      </c>
      <c r="B5" s="279">
        <v>50000</v>
      </c>
      <c r="C5" s="423" t="s">
        <v>181</v>
      </c>
      <c r="D5" s="279">
        <v>0</v>
      </c>
      <c r="E5" s="427" t="s">
        <v>175</v>
      </c>
      <c r="F5" s="279">
        <v>0</v>
      </c>
      <c r="G5" s="415" t="s">
        <v>177</v>
      </c>
      <c r="H5" s="333"/>
      <c r="I5" s="463" t="s">
        <v>332</v>
      </c>
      <c r="J5" s="447">
        <v>35</v>
      </c>
      <c r="K5" s="432"/>
      <c r="L5" s="464"/>
      <c r="M5" s="462" t="s">
        <v>34</v>
      </c>
      <c r="N5" s="439"/>
      <c r="O5" s="578" t="s">
        <v>15</v>
      </c>
      <c r="P5" s="567"/>
      <c r="Q5" s="450">
        <f>SUM('TAM Projet 1'!AE6:AE439)</f>
        <v>85723.090000000026</v>
      </c>
      <c r="R5" s="405" t="s">
        <v>362</v>
      </c>
      <c r="T5" s="605"/>
      <c r="U5" s="607"/>
      <c r="V5" s="609"/>
      <c r="W5" s="607"/>
      <c r="X5" s="611"/>
      <c r="Y5" s="17"/>
      <c r="Z5" s="94" t="s">
        <v>79</v>
      </c>
      <c r="AA5" s="614"/>
      <c r="AB5" s="116"/>
      <c r="AC5" s="617"/>
      <c r="AD5" s="626"/>
      <c r="AE5" s="620"/>
      <c r="AF5" s="628"/>
      <c r="AG5" s="628"/>
      <c r="AH5" s="623"/>
      <c r="AI5"/>
      <c r="AJ5" s="605"/>
      <c r="AK5" s="607"/>
      <c r="AL5" s="609"/>
      <c r="AM5" s="607"/>
      <c r="AN5" s="611"/>
      <c r="AO5" s="17"/>
      <c r="AP5" s="94" t="s">
        <v>79</v>
      </c>
      <c r="AQ5" s="614"/>
      <c r="AR5" s="116"/>
      <c r="AS5" s="617"/>
      <c r="AT5" s="626"/>
      <c r="AU5" s="620"/>
      <c r="AV5" s="628"/>
      <c r="AW5" s="628"/>
      <c r="AX5" s="623"/>
    </row>
    <row r="6" spans="1:50" ht="15.75" customHeight="1" thickBot="1" x14ac:dyDescent="0.35">
      <c r="A6" s="403" t="s">
        <v>183</v>
      </c>
      <c r="B6" s="400"/>
      <c r="C6" s="425" t="s">
        <v>178</v>
      </c>
      <c r="D6" s="286">
        <f>VLOOKUP(C6,'TAM Projet 1'!P53:Q55,2,FALSE)</f>
        <v>0</v>
      </c>
      <c r="E6" s="428" t="s">
        <v>178</v>
      </c>
      <c r="F6" s="286">
        <f>VLOOKUP(E6,'TAM Projet 1'!P77:Q79,2,FALSE)</f>
        <v>0</v>
      </c>
      <c r="G6" s="415" t="s">
        <v>180</v>
      </c>
      <c r="H6" s="333"/>
      <c r="I6" s="463" t="s">
        <v>333</v>
      </c>
      <c r="J6" s="447"/>
      <c r="K6" s="432"/>
      <c r="L6" s="465"/>
      <c r="M6" s="432"/>
      <c r="N6" s="441"/>
      <c r="O6" s="578" t="s">
        <v>16</v>
      </c>
      <c r="P6" s="567"/>
      <c r="Q6" s="450">
        <f>SUM('TAM Projet 1'!AF6:AF439)-SUMIF('TAM Projet 1'!U6:U439,"&lt;0")</f>
        <v>237250</v>
      </c>
      <c r="R6" s="283" t="s">
        <v>197</v>
      </c>
      <c r="S6" s="333">
        <v>1512</v>
      </c>
      <c r="T6" s="41"/>
      <c r="U6" s="162">
        <f>IF('TAM Projet 1'!N8&gt;0,-'TAM Projet 1'!N8,-'TAM Projet 1'!J3)</f>
        <v>-237250</v>
      </c>
      <c r="V6" s="597" t="s">
        <v>32</v>
      </c>
      <c r="W6" s="597"/>
      <c r="X6" s="147"/>
      <c r="Y6" s="42"/>
      <c r="Z6" s="38">
        <v>0</v>
      </c>
      <c r="AA6" s="112"/>
      <c r="AB6" s="113">
        <f t="shared" ref="AB6:AB69" si="0">IF(ISNUMBER(AC6),YEAR(AC6),"")</f>
        <v>2008</v>
      </c>
      <c r="AC6" s="39">
        <f>_DATDB</f>
        <v>39783</v>
      </c>
      <c r="AD6" s="149">
        <v>0</v>
      </c>
      <c r="AE6" s="150"/>
      <c r="AF6" s="149">
        <f>U6</f>
        <v>-237250</v>
      </c>
      <c r="AG6" s="149">
        <f>X6</f>
        <v>0</v>
      </c>
      <c r="AH6" s="151">
        <f t="shared" ref="AH6:AH69" si="1">SUM(AE6:AG6)</f>
        <v>-237250</v>
      </c>
      <c r="AI6"/>
      <c r="AJ6" s="41"/>
      <c r="AK6" s="162">
        <f>IF('TAM Projet 1'!N16&gt;0,-'TAM Projet 1'!N16,-'TAM Projet 1'!J11)</f>
        <v>-187250</v>
      </c>
      <c r="AL6" s="597" t="s">
        <v>32</v>
      </c>
      <c r="AM6" s="597"/>
      <c r="AN6" s="147"/>
      <c r="AO6" s="42"/>
      <c r="AP6" s="38">
        <v>0</v>
      </c>
      <c r="AQ6" s="112"/>
      <c r="AR6" s="113">
        <f t="shared" ref="AR6:AR69" si="2">IF(ISNUMBER(AS6),YEAR(AS6),"")</f>
        <v>2008</v>
      </c>
      <c r="AS6" s="39">
        <f>_DATDB1</f>
        <v>39783</v>
      </c>
      <c r="AT6" s="149">
        <v>0</v>
      </c>
      <c r="AU6" s="150"/>
      <c r="AV6" s="149">
        <f>AK6</f>
        <v>-187250</v>
      </c>
      <c r="AW6" s="149">
        <f>AN6</f>
        <v>0</v>
      </c>
      <c r="AX6" s="151">
        <f t="shared" ref="AX6:AX69" si="3">SUM(AU6:AW6)</f>
        <v>-187250</v>
      </c>
    </row>
    <row r="7" spans="1:50" ht="15.75" customHeight="1" thickBot="1" x14ac:dyDescent="0.35">
      <c r="A7" s="404" t="s">
        <v>184</v>
      </c>
      <c r="B7" s="401">
        <f>SUM(B2+B4+B5+B6)</f>
        <v>237250</v>
      </c>
      <c r="C7" s="423" t="s">
        <v>185</v>
      </c>
      <c r="D7" s="279">
        <v>0</v>
      </c>
      <c r="E7" s="429" t="s">
        <v>182</v>
      </c>
      <c r="F7" s="279">
        <v>0</v>
      </c>
      <c r="G7" s="415" t="s">
        <v>179</v>
      </c>
      <c r="H7" s="333"/>
      <c r="I7" s="463" t="str">
        <f>IF(_EchFIXE,"Echéance ","Capital / échéance :")</f>
        <v xml:space="preserve">Echéance </v>
      </c>
      <c r="J7" s="448">
        <f>IF(OR(J4=0,NOT(_EchFIXE)),ROUND(_MtEmprunt/_NbEch,_NbDeci),ROUND(_MtEmprunt*_TxPer/(1-((1+_TxPer)^-_NbEch)),_NbDeci))</f>
        <v>768.98</v>
      </c>
      <c r="K7" s="432"/>
      <c r="L7" s="464"/>
      <c r="M7" s="461" t="s">
        <v>71</v>
      </c>
      <c r="N7" s="473"/>
      <c r="O7" s="567" t="s">
        <v>5</v>
      </c>
      <c r="P7" s="567"/>
      <c r="Q7" s="450">
        <f>SUM('TAM Projet 1'!AG6:AG439)</f>
        <v>8303.4000000000888</v>
      </c>
      <c r="T7" s="18"/>
      <c r="U7" s="163"/>
      <c r="V7" s="20"/>
      <c r="W7" s="19"/>
      <c r="X7" s="148"/>
      <c r="Y7" s="10"/>
      <c r="Z7" s="5">
        <f t="shared" ref="Z7:Z70" si="4">IF(AD7=0,"",Z6+1)</f>
        <v>1</v>
      </c>
      <c r="AA7" s="7">
        <f t="shared" ref="AA7:AA70" si="5">IF(AD7&gt;0,_NbEch+_Différé+1-Z7,"")</f>
        <v>420</v>
      </c>
      <c r="AB7" s="7">
        <f t="shared" si="0"/>
        <v>2009</v>
      </c>
      <c r="AC7" s="30">
        <f>DATE(YEAR(_DebAmort),MONTH(_DebAmort),DAY(_DebAmort))</f>
        <v>39814</v>
      </c>
      <c r="AD7" s="152">
        <f t="shared" ref="AD7:AD70" si="6">AD6-AF6</f>
        <v>237250</v>
      </c>
      <c r="AE7" s="153">
        <f>_INT1E</f>
        <v>367.74</v>
      </c>
      <c r="AF7" s="152">
        <f>_CAP1E+U7</f>
        <v>401.24</v>
      </c>
      <c r="AG7" s="154">
        <f t="shared" ref="AG7:AG70" si="7">IF(OR(AD7=0,Z7&gt;_NoEchMaxi),0,ROUND(_FraisF+_FraisV*AD7,_NbDeci))+X7</f>
        <v>19.77</v>
      </c>
      <c r="AH7" s="155">
        <f t="shared" si="1"/>
        <v>788.75</v>
      </c>
      <c r="AI7"/>
      <c r="AJ7" s="18"/>
      <c r="AK7" s="163"/>
      <c r="AL7" s="20"/>
      <c r="AM7" s="19"/>
      <c r="AN7" s="148"/>
      <c r="AO7" s="10"/>
      <c r="AP7" s="5">
        <f t="shared" ref="AP7:AP70" si="8">IF(AT7=0,"",AP6+1)</f>
        <v>1</v>
      </c>
      <c r="AQ7" s="7">
        <f t="shared" ref="AQ7:AQ70" si="9">IF(AT7&gt;0,_NbEch1+_Différé1+1-AP7,"")</f>
        <v>180</v>
      </c>
      <c r="AR7" s="7">
        <f t="shared" si="2"/>
        <v>2009</v>
      </c>
      <c r="AS7" s="30">
        <f>DATE(YEAR(_DebAmort1),MONTH(_DebAmort1),DAY(_DebAmort1))</f>
        <v>39814</v>
      </c>
      <c r="AT7" s="152">
        <f t="shared" ref="AT7:AT70" si="10">AT6-AV6</f>
        <v>187250</v>
      </c>
      <c r="AU7" s="153">
        <f>_INT1E1</f>
        <v>156.04</v>
      </c>
      <c r="AV7" s="152">
        <f>_CAP1E1+AK7</f>
        <v>0</v>
      </c>
      <c r="AW7" s="154">
        <f t="shared" ref="AW7:AW70" si="11">IF(OR(AT7=0,AP7&gt;_NoEchMaxi1),0,ROUND(_FraisF1+_FraisV1*AT7,_NbDeci1))+AN7</f>
        <v>15.6</v>
      </c>
      <c r="AX7" s="155">
        <f t="shared" si="3"/>
        <v>171.64</v>
      </c>
    </row>
    <row r="8" spans="1:50" ht="15.75" customHeight="1" thickBot="1" x14ac:dyDescent="0.35">
      <c r="A8" s="405"/>
      <c r="B8" s="405"/>
      <c r="C8" s="425" t="s">
        <v>178</v>
      </c>
      <c r="D8" s="286">
        <f>VLOOKUP(C8,'TAM Projet 1'!P57:Q59,2,FALSE)</f>
        <v>0</v>
      </c>
      <c r="E8" s="428" t="s">
        <v>178</v>
      </c>
      <c r="F8" s="286">
        <f>VLOOKUP(E8,'TAM Projet 1'!P81:Q83,2,FALSE)</f>
        <v>0</v>
      </c>
      <c r="G8" s="415" t="s">
        <v>205</v>
      </c>
      <c r="H8" s="333"/>
      <c r="I8" s="469" t="s">
        <v>334</v>
      </c>
      <c r="J8" s="470">
        <f>'TAM Projet 1'!AH7</f>
        <v>788.75</v>
      </c>
      <c r="K8" s="438"/>
      <c r="L8" s="471">
        <v>6</v>
      </c>
      <c r="M8" s="461" t="s">
        <v>32</v>
      </c>
      <c r="N8" s="478">
        <v>0</v>
      </c>
      <c r="O8" s="593" t="s">
        <v>17</v>
      </c>
      <c r="P8" s="593"/>
      <c r="Q8" s="472">
        <f>SUM(Q5:Q7)</f>
        <v>331276.49000000011</v>
      </c>
      <c r="T8" s="3"/>
      <c r="U8" s="164"/>
      <c r="V8" s="22"/>
      <c r="W8" s="21"/>
      <c r="X8" s="23"/>
      <c r="Y8" s="10"/>
      <c r="Z8" s="5">
        <f t="shared" si="4"/>
        <v>2</v>
      </c>
      <c r="AA8" s="7">
        <f t="shared" si="5"/>
        <v>419</v>
      </c>
      <c r="AB8" s="8">
        <f t="shared" si="0"/>
        <v>2009</v>
      </c>
      <c r="AC8" s="31">
        <f>IF(AD8=0,"",IF(_Ijour=0,MIN(DATE(YEAR(_DebAmort),MONTH(_DebAmort)+_MoisD+(Z8-1)*_Imois,_Jour2),DATE(YEAR(_DebAmort),MONTH(_DebAmort)+_MoisD+1+(Z8-1)*_Imois,0)),DATE(YEAR(_DebAmort),MONTH(_DebAmort),_Jour1+(Z8-1)*_Ijour)))</f>
        <v>39845</v>
      </c>
      <c r="AD8" s="156">
        <f t="shared" si="6"/>
        <v>236848.76</v>
      </c>
      <c r="AE8" s="153">
        <f>IF(Z8&lt;=_NoEchMaxi,ROUND(AD8*'Données Projet 1'!A17,_NbDeci),0)</f>
        <v>367.12</v>
      </c>
      <c r="AF8" s="152">
        <f>IF(OR(Z8&lt;=_Différé,Z8&gt;_NoEchMaxi),IF(_DiffTotal,-AE8,0),IF(Z8&gt;=_NoEchRemb,AD8,IF('Données Projet 1'!B17-(AE8*_EchFIXE)&gt;AD8-2,AD8,'Données Projet 1'!B17-(AE8*_EchFIXE))))+U8</f>
        <v>401.86</v>
      </c>
      <c r="AG8" s="154">
        <f t="shared" si="7"/>
        <v>19.77</v>
      </c>
      <c r="AH8" s="157">
        <f t="shared" si="1"/>
        <v>788.75</v>
      </c>
      <c r="AI8"/>
      <c r="AJ8" s="3"/>
      <c r="AK8" s="164"/>
      <c r="AL8" s="22"/>
      <c r="AM8" s="21"/>
      <c r="AN8" s="23"/>
      <c r="AO8" s="10"/>
      <c r="AP8" s="5">
        <f t="shared" si="8"/>
        <v>2</v>
      </c>
      <c r="AQ8" s="7">
        <f t="shared" si="9"/>
        <v>179</v>
      </c>
      <c r="AR8" s="8">
        <f t="shared" si="2"/>
        <v>2009</v>
      </c>
      <c r="AS8" s="31">
        <f>IF(AT8=0,"",IF(_Ijour1=0,MIN(DATE(YEAR(_DebAmort1),MONTH(_DebAmort1)+_MoisD1+(AP8-1)*_Imois1,__Jou2),DATE(YEAR(_DebAmort1),MONTH(_DebAmort1)+_MoisD1+1+(AP8-1)*_Imois1,0)),DATE(YEAR(_DebAmort1),MONTH(_DebAmort1),__Jou1+(AP8-1)*_Ijour1)))</f>
        <v>39845</v>
      </c>
      <c r="AT8" s="156">
        <f t="shared" si="10"/>
        <v>187250</v>
      </c>
      <c r="AU8" s="153">
        <f>IF(AP8&lt;=_NoEchMaxi1,ROUND(AT8*'Données Projet 1'!H17,_NbDeci1),0)</f>
        <v>156.04</v>
      </c>
      <c r="AV8" s="152">
        <f>IF(OR(AP8&lt;=_Différé1,AP8&gt;_NoEchMaxi1),IF(_DiffTotal1,-AU8,0),IF(AP8&gt;=_NoEchRemb1,AT8,IF('Données Projet 1'!I17-(AU8*_EchFIXE1)&gt;AT8-2,AT8,'Données Projet 1'!I17-(AU8*_EchFIXE1))))+AK8</f>
        <v>0</v>
      </c>
      <c r="AW8" s="154">
        <f t="shared" si="11"/>
        <v>15.6</v>
      </c>
      <c r="AX8" s="157">
        <f t="shared" si="3"/>
        <v>171.64</v>
      </c>
    </row>
    <row r="9" spans="1:50" ht="15.75" customHeight="1" thickBot="1" x14ac:dyDescent="0.35">
      <c r="A9" s="405" t="s">
        <v>338</v>
      </c>
      <c r="B9" s="421">
        <f>B52</f>
        <v>672.32945666666672</v>
      </c>
      <c r="C9" s="423" t="s">
        <v>189</v>
      </c>
      <c r="D9" s="279">
        <v>0</v>
      </c>
      <c r="E9" s="427" t="s">
        <v>186</v>
      </c>
      <c r="F9" s="279">
        <v>0</v>
      </c>
      <c r="G9" s="269"/>
      <c r="H9" s="269"/>
      <c r="I9" s="590" t="s">
        <v>86</v>
      </c>
      <c r="J9" s="591"/>
      <c r="K9" s="591"/>
      <c r="L9" s="591"/>
      <c r="M9" s="591"/>
      <c r="N9" s="591"/>
      <c r="O9" s="591"/>
      <c r="P9" s="591"/>
      <c r="Q9" s="592"/>
      <c r="T9" s="3"/>
      <c r="U9" s="164"/>
      <c r="V9" s="22"/>
      <c r="W9" s="21"/>
      <c r="X9" s="23"/>
      <c r="Y9" s="10"/>
      <c r="Z9" s="5">
        <f t="shared" si="4"/>
        <v>3</v>
      </c>
      <c r="AA9" s="7">
        <f t="shared" si="5"/>
        <v>418</v>
      </c>
      <c r="AB9" s="8">
        <f t="shared" si="0"/>
        <v>2009</v>
      </c>
      <c r="AC9" s="31">
        <f>IF(AD9=0,"",IF(_Ijour=0,MIN(DATE(YEAR(_DebAmort),MONTH(_DebAmort)+(Z9-1)*_Imois,_Jour1),DATE(YEAR(_DebAmort),MONTH(_DebAmort)+1+(Z9-1)*_Imois,0)),DATE(YEAR(_DebAmort),MONTH(_DebAmort),_Jour1+(Z9-1)*_Ijour)))</f>
        <v>39873</v>
      </c>
      <c r="AD9" s="156">
        <f t="shared" si="6"/>
        <v>236446.90000000002</v>
      </c>
      <c r="AE9" s="153">
        <f>IF(Z9&lt;=_NoEchMaxi,ROUND(AD9*'Données Projet 1'!A18,_NbDeci),0)</f>
        <v>366.49</v>
      </c>
      <c r="AF9" s="152">
        <f>IF(OR(Z9&lt;=_Différé,Z9&gt;_NoEchMaxi),IF(_DiffTotal,-AE9,0),IF(Z9&gt;=_NoEchRemb,AD9,IF('Données Projet 1'!B18-(AE9*_EchFIXE)&gt;AD9-2,AD9,'Données Projet 1'!B18-(AE9*_EchFIXE))))+U9</f>
        <v>402.49</v>
      </c>
      <c r="AG9" s="154">
        <f t="shared" si="7"/>
        <v>19.77</v>
      </c>
      <c r="AH9" s="157">
        <f t="shared" si="1"/>
        <v>788.75</v>
      </c>
      <c r="AI9"/>
      <c r="AJ9" s="3"/>
      <c r="AK9" s="164"/>
      <c r="AL9" s="22"/>
      <c r="AM9" s="21"/>
      <c r="AN9" s="23"/>
      <c r="AO9" s="10"/>
      <c r="AP9" s="5">
        <f t="shared" si="8"/>
        <v>3</v>
      </c>
      <c r="AQ9" s="7">
        <f t="shared" si="9"/>
        <v>178</v>
      </c>
      <c r="AR9" s="8">
        <f t="shared" si="2"/>
        <v>2009</v>
      </c>
      <c r="AS9" s="31">
        <f>IF(AT9=0,"",IF(_Ijour1=0,MIN(DATE(YEAR(_DebAmort1),MONTH(_DebAmort1)+(AP9-1)*_Imois1,__Jou1),DATE(YEAR(_DebAmort1),MONTH(_DebAmort1)+1+(AP9-1)*_Imois1,0)),DATE(YEAR(_DebAmort1),MONTH(_DebAmort1),__Jou1+(AP9-1)*_Ijour1)))</f>
        <v>39873</v>
      </c>
      <c r="AT9" s="156">
        <f t="shared" si="10"/>
        <v>187250</v>
      </c>
      <c r="AU9" s="153">
        <f>IF(AP9&lt;=_NoEchMaxi1,ROUND(AT9*'Données Projet 1'!H18,_NbDeci1),0)</f>
        <v>156.04</v>
      </c>
      <c r="AV9" s="152">
        <f>IF(OR(AP9&lt;=_Différé1,AP9&gt;_NoEchMaxi1),IF(_DiffTotal1,-AU9,0),IF(AP9&gt;=_NoEchRemb1,AT9,IF('Données Projet 1'!I18-(AU9*_EchFIXE1)&gt;AT9-2,AT9,'Données Projet 1'!I18-(AU9*_EchFIXE1))))+AK9</f>
        <v>0</v>
      </c>
      <c r="AW9" s="154">
        <f t="shared" si="11"/>
        <v>15.6</v>
      </c>
      <c r="AX9" s="157">
        <f t="shared" si="3"/>
        <v>171.64</v>
      </c>
    </row>
    <row r="10" spans="1:50" ht="15.75" customHeight="1" x14ac:dyDescent="0.3">
      <c r="A10" s="405" t="s">
        <v>336</v>
      </c>
      <c r="B10" s="421">
        <f>D52</f>
        <v>1253.61888</v>
      </c>
      <c r="C10" s="425" t="s">
        <v>178</v>
      </c>
      <c r="D10" s="286">
        <f>VLOOKUP(C10,'TAM Projet 1'!P61:Q63,2,FALSE)</f>
        <v>0</v>
      </c>
      <c r="E10" s="428" t="s">
        <v>178</v>
      </c>
      <c r="F10" s="286">
        <f>VLOOKUP(E10,'TAM Projet 1'!P85:Q87,2,FALSE)</f>
        <v>0</v>
      </c>
      <c r="G10" s="585" t="s">
        <v>188</v>
      </c>
      <c r="H10" s="586"/>
      <c r="I10" s="594" t="s">
        <v>81</v>
      </c>
      <c r="J10" s="595"/>
      <c r="K10" s="436" t="s">
        <v>67</v>
      </c>
      <c r="L10" s="456"/>
      <c r="M10" s="468" t="s">
        <v>68</v>
      </c>
      <c r="N10" s="441"/>
      <c r="O10" s="474" t="s">
        <v>4</v>
      </c>
      <c r="P10" s="456"/>
      <c r="Q10" s="457"/>
      <c r="T10" s="3"/>
      <c r="U10" s="164"/>
      <c r="V10" s="22"/>
      <c r="W10" s="21"/>
      <c r="X10" s="23"/>
      <c r="Y10" s="10"/>
      <c r="Z10" s="5">
        <f t="shared" si="4"/>
        <v>4</v>
      </c>
      <c r="AA10" s="7">
        <f t="shared" si="5"/>
        <v>417</v>
      </c>
      <c r="AB10" s="8">
        <f t="shared" si="0"/>
        <v>2009</v>
      </c>
      <c r="AC10" s="31">
        <f>IF(AD10=0,"",IF(_Ijour=0,MIN(DATE(YEAR(_DebAmort),MONTH(_DebAmort)+_MoisD+(Z10-1)*_Imois,_Jour2),DATE(YEAR(_DebAmort),MONTH(_DebAmort)+_MoisD+1+(Z10-1)*_Imois,0)),DATE(YEAR(_DebAmort),MONTH(_DebAmort),_Jour1+(Z10-1)*_Ijour)))</f>
        <v>39904</v>
      </c>
      <c r="AD10" s="156">
        <f t="shared" si="6"/>
        <v>236044.41000000003</v>
      </c>
      <c r="AE10" s="153">
        <f>IF(Z10&lt;=_NoEchMaxi,ROUND(AD10*'Données Projet 1'!A19,_NbDeci),0)</f>
        <v>365.87</v>
      </c>
      <c r="AF10" s="152">
        <f>IF(OR(Z10&lt;=_Différé,Z10&gt;_NoEchMaxi),IF(_DiffTotal,-AE10,0),IF(Z10&gt;=_NoEchRemb,AD10,IF('Données Projet 1'!B19-(AE10*_EchFIXE)&gt;AD10-2,AD10,'Données Projet 1'!B19-(AE10*_EchFIXE))))+U10</f>
        <v>403.11</v>
      </c>
      <c r="AG10" s="154">
        <f t="shared" si="7"/>
        <v>19.77</v>
      </c>
      <c r="AH10" s="157">
        <f t="shared" si="1"/>
        <v>788.75</v>
      </c>
      <c r="AI10"/>
      <c r="AJ10" s="3"/>
      <c r="AK10" s="164"/>
      <c r="AL10" s="22"/>
      <c r="AM10" s="21"/>
      <c r="AN10" s="23"/>
      <c r="AO10" s="10"/>
      <c r="AP10" s="5">
        <f t="shared" si="8"/>
        <v>4</v>
      </c>
      <c r="AQ10" s="7">
        <f t="shared" si="9"/>
        <v>177</v>
      </c>
      <c r="AR10" s="8">
        <f t="shared" si="2"/>
        <v>2009</v>
      </c>
      <c r="AS10" s="31">
        <f>IF(AT10=0,"",IF(_Ijour1=0,MIN(DATE(YEAR(_DebAmort1),MONTH(_DebAmort1)+_MoisD1+(AP10-1)*_Imois1,__Jou2),DATE(YEAR(_DebAmort1),MONTH(_DebAmort1)+_MoisD1+1+(AP10-1)*_Imois1,0)),DATE(YEAR(_DebAmort1),MONTH(_DebAmort1),__Jou1+(AP10-1)*_Ijour1)))</f>
        <v>39904</v>
      </c>
      <c r="AT10" s="156">
        <f t="shared" si="10"/>
        <v>187250</v>
      </c>
      <c r="AU10" s="153">
        <f>IF(AP10&lt;=_NoEchMaxi1,ROUND(AT10*'Données Projet 1'!H19,_NbDeci1),0)</f>
        <v>156.04</v>
      </c>
      <c r="AV10" s="152">
        <f>IF(OR(AP10&lt;=_Différé1,AP10&gt;_NoEchMaxi1),IF(_DiffTotal1,-AU10,0),IF(AP10&gt;=_NoEchRemb1,AT10,IF('Données Projet 1'!I19-(AU10*_EchFIXE1)&gt;AT10-2,AT10,'Données Projet 1'!I19-(AU10*_EchFIXE1))))+AK10</f>
        <v>0</v>
      </c>
      <c r="AW10" s="154">
        <f t="shared" si="11"/>
        <v>15.6</v>
      </c>
      <c r="AX10" s="157">
        <f t="shared" si="3"/>
        <v>171.64</v>
      </c>
    </row>
    <row r="11" spans="1:50" ht="15.75" customHeight="1" x14ac:dyDescent="0.3">
      <c r="A11" s="405" t="s">
        <v>337</v>
      </c>
      <c r="B11" s="405"/>
      <c r="C11" s="423" t="s">
        <v>195</v>
      </c>
      <c r="D11" s="279">
        <v>0</v>
      </c>
      <c r="E11" s="427" t="s">
        <v>190</v>
      </c>
      <c r="F11" s="279">
        <v>0</v>
      </c>
      <c r="G11" s="415" t="s">
        <v>192</v>
      </c>
      <c r="H11" s="434">
        <f>SUM((D3+D5+D7+D9+D11+D13+F3+F5+F7+F9+F11+F14)*12)</f>
        <v>18360</v>
      </c>
      <c r="I11" s="451" t="s">
        <v>330</v>
      </c>
      <c r="J11" s="406">
        <v>187250</v>
      </c>
      <c r="K11" s="407">
        <v>39814</v>
      </c>
      <c r="L11" s="432">
        <v>15</v>
      </c>
      <c r="M11" s="442" t="s">
        <v>18</v>
      </c>
      <c r="N11" s="459">
        <f>(J11*0.1%)/12</f>
        <v>15.604166666666666</v>
      </c>
      <c r="O11" s="567" t="s">
        <v>21</v>
      </c>
      <c r="P11" s="567"/>
      <c r="Q11" s="449">
        <f>MAX('TAM Projet 1'!AS6:AS439)</f>
        <v>45261</v>
      </c>
      <c r="T11" s="3"/>
      <c r="U11" s="164"/>
      <c r="V11" s="22"/>
      <c r="W11" s="21"/>
      <c r="X11" s="23"/>
      <c r="Y11" s="10"/>
      <c r="Z11" s="5">
        <f t="shared" si="4"/>
        <v>5</v>
      </c>
      <c r="AA11" s="7">
        <f t="shared" si="5"/>
        <v>416</v>
      </c>
      <c r="AB11" s="8">
        <f t="shared" si="0"/>
        <v>2009</v>
      </c>
      <c r="AC11" s="31">
        <f>IF(AD11=0,"",IF(_Ijour=0,MIN(DATE(YEAR(_DebAmort),MONTH(_DebAmort)+(Z11-1)*_Imois,_Jour1),DATE(YEAR(_DebAmort),MONTH(_DebAmort)+1+(Z11-1)*_Imois,0)),DATE(YEAR(_DebAmort),MONTH(_DebAmort),_Jour1+(Z11-1)*_Ijour)))</f>
        <v>39934</v>
      </c>
      <c r="AD11" s="156">
        <f t="shared" si="6"/>
        <v>235641.30000000005</v>
      </c>
      <c r="AE11" s="153">
        <f>IF(Z11&lt;=_NoEchMaxi,ROUND(AD11*'Données Projet 1'!A20,_NbDeci),0)</f>
        <v>365.24</v>
      </c>
      <c r="AF11" s="152">
        <f>IF(OR(Z11&lt;=_Différé,Z11&gt;_NoEchMaxi),IF(_DiffTotal,-AE11,0),IF(Z11&gt;=_NoEchRemb,AD11,IF('Données Projet 1'!B20-(AE11*_EchFIXE)&gt;AD11-2,AD11,'Données Projet 1'!B20-(AE11*_EchFIXE))))+U11</f>
        <v>403.74</v>
      </c>
      <c r="AG11" s="154">
        <f t="shared" si="7"/>
        <v>19.77</v>
      </c>
      <c r="AH11" s="157">
        <f t="shared" si="1"/>
        <v>788.75</v>
      </c>
      <c r="AI11"/>
      <c r="AJ11" s="497"/>
      <c r="AK11" s="164"/>
      <c r="AL11" s="22"/>
      <c r="AM11" s="21"/>
      <c r="AN11" s="23"/>
      <c r="AO11" s="10"/>
      <c r="AP11" s="5">
        <f t="shared" si="8"/>
        <v>5</v>
      </c>
      <c r="AQ11" s="7">
        <f t="shared" si="9"/>
        <v>176</v>
      </c>
      <c r="AR11" s="8">
        <f t="shared" si="2"/>
        <v>2009</v>
      </c>
      <c r="AS11" s="31">
        <f>IF(AT11=0,"",IF(_Ijour1=0,MIN(DATE(YEAR(_DebAmort1),MONTH(_DebAmort1)+(AP11-1)*_Imois1,__Jou1),DATE(YEAR(_DebAmort1),MONTH(_DebAmort1)+1+(AP11-1)*_Imois1,0)),DATE(YEAR(_DebAmort1),MONTH(_DebAmort1),__Jou1+(AP11-1)*_Ijour1)))</f>
        <v>39934</v>
      </c>
      <c r="AT11" s="156">
        <f t="shared" si="10"/>
        <v>187250</v>
      </c>
      <c r="AU11" s="153">
        <f>IF(AP11&lt;=_NoEchMaxi1,ROUND(AT11*'Données Projet 1'!H20,_NbDeci1),0)</f>
        <v>156.04</v>
      </c>
      <c r="AV11" s="152">
        <f>IF(OR(AP11&lt;=_Différé1,AP11&gt;_NoEchMaxi1),IF(_DiffTotal1,-AU11,0),IF(AP11&gt;=_NoEchRemb1,AT11,IF('Données Projet 1'!I20-(AU11*_EchFIXE1)&gt;AT11-2,AT11,'Données Projet 1'!I20-(AU11*_EchFIXE1))))+AK11</f>
        <v>0</v>
      </c>
      <c r="AW11" s="154">
        <f t="shared" si="11"/>
        <v>15.6</v>
      </c>
      <c r="AX11" s="157">
        <f t="shared" si="3"/>
        <v>171.64</v>
      </c>
    </row>
    <row r="12" spans="1:50" ht="15.75" customHeight="1" thickBot="1" x14ac:dyDescent="0.35">
      <c r="A12" s="405" t="s">
        <v>339</v>
      </c>
      <c r="B12" s="405"/>
      <c r="C12" s="425" t="s">
        <v>178</v>
      </c>
      <c r="D12" s="286">
        <f>VLOOKUP(C12,'TAM Projet 1'!P65:Q67,2,FALSE)</f>
        <v>0</v>
      </c>
      <c r="E12" s="430" t="s">
        <v>178</v>
      </c>
      <c r="F12" s="286">
        <f>VLOOKUP(E12,'TAM Projet 1'!P89:Q91,2,FALSE)</f>
        <v>0</v>
      </c>
      <c r="G12" s="415" t="s">
        <v>194</v>
      </c>
      <c r="H12" s="434">
        <f>SUM(D4+D6+D8+D10+D12+D14+F4+F6+F8+F10+F12+F14)*12</f>
        <v>9180</v>
      </c>
      <c r="I12" s="451" t="s">
        <v>286</v>
      </c>
      <c r="J12" s="408">
        <v>0.01</v>
      </c>
      <c r="K12" s="437" t="s">
        <v>62</v>
      </c>
      <c r="L12" s="410"/>
      <c r="M12" s="443" t="s">
        <v>19</v>
      </c>
      <c r="N12" s="475"/>
      <c r="O12" s="567" t="s">
        <v>20</v>
      </c>
      <c r="P12" s="567"/>
      <c r="Q12" s="441">
        <f>MAX('TAM Projet 1'!AP6:AP439)</f>
        <v>180</v>
      </c>
      <c r="T12" s="3"/>
      <c r="U12" s="164"/>
      <c r="V12" s="22"/>
      <c r="W12" s="21"/>
      <c r="X12" s="23"/>
      <c r="Y12" s="10"/>
      <c r="Z12" s="5">
        <f t="shared" si="4"/>
        <v>6</v>
      </c>
      <c r="AA12" s="7">
        <f t="shared" si="5"/>
        <v>415</v>
      </c>
      <c r="AB12" s="8">
        <f t="shared" si="0"/>
        <v>2009</v>
      </c>
      <c r="AC12" s="31">
        <f>IF(AD12=0,"",IF(_Ijour=0,MIN(DATE(YEAR(_DebAmort),MONTH(_DebAmort)+_MoisD+(Z12-1)*_Imois,_Jour2),DATE(YEAR(_DebAmort),MONTH(_DebAmort)+_MoisD+1+(Z12-1)*_Imois,0)),DATE(YEAR(_DebAmort),MONTH(_DebAmort),_Jour1+(Z12-1)*_Ijour)))</f>
        <v>39965</v>
      </c>
      <c r="AD12" s="156">
        <f t="shared" si="6"/>
        <v>235237.56000000006</v>
      </c>
      <c r="AE12" s="153">
        <f>IF(Z12&lt;=_NoEchMaxi,ROUND(AD12*'Données Projet 1'!A21,_NbDeci),0)</f>
        <v>364.62</v>
      </c>
      <c r="AF12" s="152">
        <f>IF(OR(Z12&lt;=_Différé,Z12&gt;_NoEchMaxi),IF(_DiffTotal,-AE12,0),IF(Z12&gt;=_NoEchRemb,AD12,IF('Données Projet 1'!B21-(AE12*_EchFIXE)&gt;AD12-2,AD12,'Données Projet 1'!B21-(AE12*_EchFIXE))))+U12</f>
        <v>404.36</v>
      </c>
      <c r="AG12" s="154">
        <f t="shared" si="7"/>
        <v>19.77</v>
      </c>
      <c r="AH12" s="157">
        <f t="shared" si="1"/>
        <v>788.75</v>
      </c>
      <c r="AI12"/>
      <c r="AJ12" s="3"/>
      <c r="AK12" s="164"/>
      <c r="AL12" s="22"/>
      <c r="AM12" s="21"/>
      <c r="AN12" s="23"/>
      <c r="AO12" s="10"/>
      <c r="AP12" s="5">
        <f t="shared" si="8"/>
        <v>6</v>
      </c>
      <c r="AQ12" s="7">
        <f t="shared" si="9"/>
        <v>175</v>
      </c>
      <c r="AR12" s="8">
        <f t="shared" si="2"/>
        <v>2009</v>
      </c>
      <c r="AS12" s="31">
        <f>IF(AT12=0,"",IF(_Ijour1=0,MIN(DATE(YEAR(_DebAmort1),MONTH(_DebAmort1)+_MoisD1+(AP12-1)*_Imois1,__Jou2),DATE(YEAR(_DebAmort1),MONTH(_DebAmort1)+_MoisD1+1+(AP12-1)*_Imois1,0)),DATE(YEAR(_DebAmort1),MONTH(_DebAmort1),__Jou1+(AP12-1)*_Ijour1)))</f>
        <v>39965</v>
      </c>
      <c r="AT12" s="156">
        <f t="shared" si="10"/>
        <v>187250</v>
      </c>
      <c r="AU12" s="153">
        <f>IF(AP12&lt;=_NoEchMaxi1,ROUND(AT12*'Données Projet 1'!H21,_NbDeci1),0)</f>
        <v>156.04</v>
      </c>
      <c r="AV12" s="152">
        <f>IF(OR(AP12&lt;=_Différé1,AP12&gt;_NoEchMaxi1),IF(_DiffTotal1,-AU12,0),IF(AP12&gt;=_NoEchRemb1,AT12,IF('Données Projet 1'!I21-(AU12*_EchFIXE1)&gt;AT12-2,AT12,'Données Projet 1'!I21-(AU12*_EchFIXE1))))+AK12</f>
        <v>0</v>
      </c>
      <c r="AW12" s="154">
        <f t="shared" si="11"/>
        <v>15.6</v>
      </c>
      <c r="AX12" s="157">
        <f t="shared" si="3"/>
        <v>171.64</v>
      </c>
    </row>
    <row r="13" spans="1:50" ht="15.75" customHeight="1" x14ac:dyDescent="0.3">
      <c r="A13" s="405"/>
      <c r="B13" s="405"/>
      <c r="C13" s="423" t="s">
        <v>201</v>
      </c>
      <c r="D13" s="279">
        <v>0</v>
      </c>
      <c r="E13" s="427" t="s">
        <v>196</v>
      </c>
      <c r="F13" s="279">
        <v>0</v>
      </c>
      <c r="G13" s="415" t="s">
        <v>198</v>
      </c>
      <c r="H13" s="434">
        <f>SUM(H11*0.3)</f>
        <v>5508</v>
      </c>
      <c r="I13" s="451" t="s">
        <v>61</v>
      </c>
      <c r="J13" s="409">
        <v>0</v>
      </c>
      <c r="K13" s="432"/>
      <c r="L13" s="432"/>
      <c r="M13" s="458" t="s">
        <v>84</v>
      </c>
      <c r="N13" s="439"/>
      <c r="O13" s="567" t="s">
        <v>15</v>
      </c>
      <c r="P13" s="567"/>
      <c r="Q13" s="450">
        <f>SUM('TAM Projet 1'!AU6:AU439)</f>
        <v>28087.20000000011</v>
      </c>
      <c r="T13" s="3"/>
      <c r="U13" s="164"/>
      <c r="V13" s="22"/>
      <c r="W13" s="21"/>
      <c r="X13" s="23"/>
      <c r="Y13" s="10"/>
      <c r="Z13" s="5">
        <f t="shared" si="4"/>
        <v>7</v>
      </c>
      <c r="AA13" s="7">
        <f t="shared" si="5"/>
        <v>414</v>
      </c>
      <c r="AB13" s="8">
        <f t="shared" si="0"/>
        <v>2009</v>
      </c>
      <c r="AC13" s="31">
        <f>IF(AD13=0,"",IF(_Ijour=0,MIN(DATE(YEAR(_DebAmort),MONTH(_DebAmort)+(Z13-1)*_Imois,_Jour1),DATE(YEAR(_DebAmort),MONTH(_DebAmort)+1+(Z13-1)*_Imois,0)),DATE(YEAR(_DebAmort),MONTH(_DebAmort),_Jour1+(Z13-1)*_Ijour)))</f>
        <v>39995</v>
      </c>
      <c r="AD13" s="156">
        <f t="shared" si="6"/>
        <v>234833.20000000007</v>
      </c>
      <c r="AE13" s="153">
        <f>IF(Z13&lt;=_NoEchMaxi,ROUND(AD13*'Données Projet 1'!A22,_NbDeci),0)</f>
        <v>363.99</v>
      </c>
      <c r="AF13" s="152">
        <f>IF(OR(Z13&lt;=_Différé,Z13&gt;_NoEchMaxi),IF(_DiffTotal,-AE13,0),IF(Z13&gt;=_NoEchRemb,AD13,IF('Données Projet 1'!B22-(AE13*_EchFIXE)&gt;AD13-2,AD13,'Données Projet 1'!B22-(AE13*_EchFIXE))))+U13</f>
        <v>404.99</v>
      </c>
      <c r="AG13" s="154">
        <f t="shared" si="7"/>
        <v>19.77</v>
      </c>
      <c r="AH13" s="157">
        <f t="shared" si="1"/>
        <v>788.75</v>
      </c>
      <c r="AI13"/>
      <c r="AJ13" s="3"/>
      <c r="AK13" s="164"/>
      <c r="AL13" s="22"/>
      <c r="AM13" s="21"/>
      <c r="AN13" s="23"/>
      <c r="AO13" s="10"/>
      <c r="AP13" s="5">
        <f t="shared" si="8"/>
        <v>7</v>
      </c>
      <c r="AQ13" s="7">
        <f t="shared" si="9"/>
        <v>174</v>
      </c>
      <c r="AR13" s="8">
        <f t="shared" si="2"/>
        <v>2009</v>
      </c>
      <c r="AS13" s="31">
        <f>IF(AT13=0,"",IF(_Ijour1=0,MIN(DATE(YEAR(_DebAmort1),MONTH(_DebAmort1)+(AP13-1)*_Imois1,__Jou1),DATE(YEAR(_DebAmort1),MONTH(_DebAmort1)+1+(AP13-1)*_Imois1,0)),DATE(YEAR(_DebAmort1),MONTH(_DebAmort1),__Jou1+(AP13-1)*_Ijour1)))</f>
        <v>39995</v>
      </c>
      <c r="AT13" s="156">
        <f t="shared" si="10"/>
        <v>187250</v>
      </c>
      <c r="AU13" s="153">
        <f>IF(AP13&lt;=_NoEchMaxi1,ROUND(AT13*'Données Projet 1'!H22,_NbDeci1),0)</f>
        <v>156.04</v>
      </c>
      <c r="AV13" s="152">
        <f>IF(OR(AP13&lt;=_Différé1,AP13&gt;_NoEchMaxi1),IF(_DiffTotal1,-AU13,0),IF(AP13&gt;=_NoEchRemb1,AT13,IF('Données Projet 1'!I22-(AU13*_EchFIXE1)&gt;AT13-2,AT13,'Données Projet 1'!I22-(AU13*_EchFIXE1))))+AK13</f>
        <v>0</v>
      </c>
      <c r="AW13" s="154">
        <f t="shared" si="11"/>
        <v>15.6</v>
      </c>
      <c r="AX13" s="157">
        <f t="shared" si="3"/>
        <v>171.64</v>
      </c>
    </row>
    <row r="14" spans="1:50" ht="15.75" customHeight="1" x14ac:dyDescent="0.3">
      <c r="A14" s="405"/>
      <c r="B14" s="405"/>
      <c r="C14" s="424" t="s">
        <v>178</v>
      </c>
      <c r="D14" s="286">
        <f>VLOOKUP(C14,'TAM Projet 1'!P69:Q71,2,FALSE)</f>
        <v>0</v>
      </c>
      <c r="E14" s="428" t="s">
        <v>199</v>
      </c>
      <c r="F14" s="286">
        <f>VLOOKUP(E14,'TAM Projet 1'!P93:Q95,2,FALSE)</f>
        <v>0</v>
      </c>
      <c r="G14" s="415" t="s">
        <v>200</v>
      </c>
      <c r="H14" s="434">
        <f>SUM((D15+F15)*12)</f>
        <v>0</v>
      </c>
      <c r="I14" s="451" t="s">
        <v>63</v>
      </c>
      <c r="J14" s="409">
        <v>1</v>
      </c>
      <c r="K14" s="432"/>
      <c r="L14" s="433"/>
      <c r="M14" s="440"/>
      <c r="N14" s="441"/>
      <c r="O14" s="567" t="s">
        <v>16</v>
      </c>
      <c r="P14" s="567"/>
      <c r="Q14" s="450">
        <f>SUM('TAM Projet 1'!AV6:AV439)-SUMIF('TAM Projet 1'!AK6:AK439,"&lt;0")</f>
        <v>187250</v>
      </c>
      <c r="T14" s="3"/>
      <c r="U14" s="164"/>
      <c r="V14" s="22"/>
      <c r="W14" s="21"/>
      <c r="X14" s="23"/>
      <c r="Y14" s="10"/>
      <c r="Z14" s="5">
        <f t="shared" si="4"/>
        <v>8</v>
      </c>
      <c r="AA14" s="7">
        <f t="shared" si="5"/>
        <v>413</v>
      </c>
      <c r="AB14" s="8">
        <f t="shared" si="0"/>
        <v>2009</v>
      </c>
      <c r="AC14" s="31">
        <f>IF(AD14=0,"",IF(_Ijour=0,MIN(DATE(YEAR(_DebAmort),MONTH(_DebAmort)+_MoisD+(Z14-1)*_Imois,_Jour2),DATE(YEAR(_DebAmort),MONTH(_DebAmort)+_MoisD+1+(Z14-1)*_Imois,0)),DATE(YEAR(_DebAmort),MONTH(_DebAmort),_Jour1+(Z14-1)*_Ijour)))</f>
        <v>40026</v>
      </c>
      <c r="AD14" s="156">
        <f t="shared" si="6"/>
        <v>234428.21000000008</v>
      </c>
      <c r="AE14" s="153">
        <f>IF(Z14&lt;=_NoEchMaxi,ROUND(AD14*'Données Projet 1'!A23,_NbDeci),0)</f>
        <v>363.36</v>
      </c>
      <c r="AF14" s="152">
        <f>IF(OR(Z14&lt;=_Différé,Z14&gt;_NoEchMaxi),IF(_DiffTotal,-AE14,0),IF(Z14&gt;=_NoEchRemb,AD14,IF('Données Projet 1'!B23-(AE14*_EchFIXE)&gt;AD14-2,AD14,'Données Projet 1'!B23-(AE14*_EchFIXE))))+U14</f>
        <v>405.62</v>
      </c>
      <c r="AG14" s="154">
        <f t="shared" si="7"/>
        <v>19.77</v>
      </c>
      <c r="AH14" s="157">
        <f t="shared" si="1"/>
        <v>788.75</v>
      </c>
      <c r="AI14"/>
      <c r="AJ14" s="3"/>
      <c r="AK14" s="164"/>
      <c r="AL14" s="22"/>
      <c r="AM14" s="21"/>
      <c r="AN14" s="23"/>
      <c r="AO14" s="10"/>
      <c r="AP14" s="5">
        <f t="shared" si="8"/>
        <v>8</v>
      </c>
      <c r="AQ14" s="7">
        <f t="shared" si="9"/>
        <v>173</v>
      </c>
      <c r="AR14" s="8">
        <f t="shared" si="2"/>
        <v>2009</v>
      </c>
      <c r="AS14" s="31">
        <f>IF(AT14=0,"",IF(_Ijour1=0,MIN(DATE(YEAR(_DebAmort1),MONTH(_DebAmort1)+_MoisD1+(AP14-1)*_Imois1,__Jou2),DATE(YEAR(_DebAmort1),MONTH(_DebAmort1)+_MoisD1+1+(AP14-1)*_Imois1,0)),DATE(YEAR(_DebAmort1),MONTH(_DebAmort1),__Jou1+(AP14-1)*_Ijour1)))</f>
        <v>40026</v>
      </c>
      <c r="AT14" s="156">
        <f t="shared" si="10"/>
        <v>187250</v>
      </c>
      <c r="AU14" s="153">
        <f>IF(AP14&lt;=_NoEchMaxi1,ROUND(AT14*'Données Projet 1'!H23,_NbDeci1),0)</f>
        <v>156.04</v>
      </c>
      <c r="AV14" s="152">
        <f>IF(OR(AP14&lt;=_Différé1,AP14&gt;_NoEchMaxi1),IF(_DiffTotal1,-AU14,0),IF(AP14&gt;=_NoEchRemb1,AT14,IF('Données Projet 1'!I23-(AU14*_EchFIXE1)&gt;AT14-2,AT14,'Données Projet 1'!I23-(AU14*_EchFIXE1))))+AK14</f>
        <v>0</v>
      </c>
      <c r="AW14" s="154">
        <f t="shared" si="11"/>
        <v>15.6</v>
      </c>
      <c r="AX14" s="157">
        <f t="shared" si="3"/>
        <v>171.64</v>
      </c>
    </row>
    <row r="15" spans="1:50" ht="15.75" customHeight="1" thickBot="1" x14ac:dyDescent="0.35">
      <c r="A15" s="405"/>
      <c r="B15" s="405"/>
      <c r="C15" s="426" t="s">
        <v>206</v>
      </c>
      <c r="D15" s="346">
        <v>0</v>
      </c>
      <c r="E15" s="426" t="s">
        <v>207</v>
      </c>
      <c r="F15" s="346">
        <v>0</v>
      </c>
      <c r="G15" s="416" t="s">
        <v>184</v>
      </c>
      <c r="H15" s="435">
        <f>SUM(H11+H14)</f>
        <v>18360</v>
      </c>
      <c r="I15" s="451" t="str">
        <f>IF(_EchFIXE1,"Echéance","Capital / échéance :")</f>
        <v>Echéance</v>
      </c>
      <c r="J15" s="431">
        <f>IF(OR(J12=0,NOT(_EchFIXE1)),ROUND(_MtEmprunt1/_NbEch1,_NbDeci1),ROUND(_MtEmprunt1*_Txper1/(1-((1+_Txper1)^-_NbEch1)),_NbDeci1))</f>
        <v>187406.04</v>
      </c>
      <c r="K15" s="432"/>
      <c r="L15" s="432"/>
      <c r="M15" s="442" t="s">
        <v>71</v>
      </c>
      <c r="N15" s="476">
        <f>L11*12-1</f>
        <v>179</v>
      </c>
      <c r="O15" s="567" t="s">
        <v>5</v>
      </c>
      <c r="P15" s="567"/>
      <c r="Q15" s="450">
        <f>SUM('TAM Projet 1'!AW6:AW439)</f>
        <v>2807.9999999999909</v>
      </c>
      <c r="T15" s="3"/>
      <c r="U15" s="164"/>
      <c r="V15" s="22"/>
      <c r="W15" s="21"/>
      <c r="X15" s="23"/>
      <c r="Y15" s="10"/>
      <c r="Z15" s="5">
        <f t="shared" si="4"/>
        <v>9</v>
      </c>
      <c r="AA15" s="7">
        <f t="shared" si="5"/>
        <v>412</v>
      </c>
      <c r="AB15" s="8">
        <f t="shared" si="0"/>
        <v>2009</v>
      </c>
      <c r="AC15" s="31">
        <f>IF(AD15=0,"",IF(_Ijour=0,MIN(DATE(YEAR(_DebAmort),MONTH(_DebAmort)+(Z15-1)*_Imois,_Jour1),DATE(YEAR(_DebAmort),MONTH(_DebAmort)+1+(Z15-1)*_Imois,0)),DATE(YEAR(_DebAmort),MONTH(_DebAmort),_Jour1+(Z15-1)*_Ijour)))</f>
        <v>40057</v>
      </c>
      <c r="AD15" s="156">
        <f t="shared" si="6"/>
        <v>234022.59000000008</v>
      </c>
      <c r="AE15" s="153">
        <f>IF(Z15&lt;=_NoEchMaxi,ROUND(AD15*'Données Projet 1'!A24,_NbDeci),0)</f>
        <v>362.74</v>
      </c>
      <c r="AF15" s="152">
        <f>IF(OR(Z15&lt;=_Différé,Z15&gt;_NoEchMaxi),IF(_DiffTotal,-AE15,0),IF(Z15&gt;=_NoEchRemb,AD15,IF('Données Projet 1'!B24-(AE15*_EchFIXE)&gt;AD15-2,AD15,'Données Projet 1'!B24-(AE15*_EchFIXE))))+U15</f>
        <v>406.24</v>
      </c>
      <c r="AG15" s="154">
        <f t="shared" si="7"/>
        <v>19.77</v>
      </c>
      <c r="AH15" s="157">
        <f t="shared" si="1"/>
        <v>788.75</v>
      </c>
      <c r="AI15"/>
      <c r="AJ15" s="3"/>
      <c r="AK15" s="164"/>
      <c r="AL15" s="22"/>
      <c r="AM15" s="21"/>
      <c r="AN15" s="23"/>
      <c r="AO15" s="10"/>
      <c r="AP15" s="5">
        <f t="shared" si="8"/>
        <v>9</v>
      </c>
      <c r="AQ15" s="7">
        <f t="shared" si="9"/>
        <v>172</v>
      </c>
      <c r="AR15" s="8">
        <f t="shared" si="2"/>
        <v>2009</v>
      </c>
      <c r="AS15" s="31">
        <f>IF(AT15=0,"",IF(_Ijour1=0,MIN(DATE(YEAR(_DebAmort1),MONTH(_DebAmort1)+(AP15-1)*_Imois1,__Jou1),DATE(YEAR(_DebAmort1),MONTH(_DebAmort1)+1+(AP15-1)*_Imois1,0)),DATE(YEAR(_DebAmort1),MONTH(_DebAmort1),__Jou1+(AP15-1)*_Ijour1)))</f>
        <v>40057</v>
      </c>
      <c r="AT15" s="156">
        <f t="shared" si="10"/>
        <v>187250</v>
      </c>
      <c r="AU15" s="153">
        <f>IF(AP15&lt;=_NoEchMaxi1,ROUND(AT15*'Données Projet 1'!H24,_NbDeci1),0)</f>
        <v>156.04</v>
      </c>
      <c r="AV15" s="152">
        <f>IF(OR(AP15&lt;=_Différé1,AP15&gt;_NoEchMaxi1),IF(_DiffTotal1,-AU15,0),IF(AP15&gt;=_NoEchRemb1,AT15,IF('Données Projet 1'!I24-(AU15*_EchFIXE1)&gt;AT15-2,AT15,'Données Projet 1'!I24-(AU15*_EchFIXE1))))+AK15</f>
        <v>0</v>
      </c>
      <c r="AW15" s="154">
        <f t="shared" si="11"/>
        <v>15.6</v>
      </c>
      <c r="AX15" s="157">
        <f t="shared" si="3"/>
        <v>171.64</v>
      </c>
    </row>
    <row r="16" spans="1:50" ht="15.75" customHeight="1" thickBot="1" x14ac:dyDescent="0.35">
      <c r="A16" s="571" t="s">
        <v>323</v>
      </c>
      <c r="B16" s="572"/>
      <c r="C16" s="572" t="s">
        <v>322</v>
      </c>
      <c r="D16" s="572"/>
      <c r="E16" s="572" t="s">
        <v>326</v>
      </c>
      <c r="F16" s="573"/>
      <c r="G16" s="411"/>
      <c r="H16" s="411"/>
      <c r="I16" s="452" t="s">
        <v>334</v>
      </c>
      <c r="J16" s="453">
        <f>'TAM Projet 1'!AX7</f>
        <v>171.64</v>
      </c>
      <c r="K16" s="454"/>
      <c r="L16" s="444"/>
      <c r="M16" s="443" t="s">
        <v>32</v>
      </c>
      <c r="N16" s="477">
        <v>0</v>
      </c>
      <c r="O16" s="566" t="s">
        <v>17</v>
      </c>
      <c r="P16" s="566"/>
      <c r="Q16" s="455">
        <f>SUM(Q13:Q15)</f>
        <v>218145.2000000001</v>
      </c>
      <c r="T16" s="3"/>
      <c r="U16" s="164"/>
      <c r="V16" s="22"/>
      <c r="W16" s="21"/>
      <c r="X16" s="23"/>
      <c r="Y16" s="10"/>
      <c r="Z16" s="5">
        <f t="shared" si="4"/>
        <v>10</v>
      </c>
      <c r="AA16" s="7">
        <f t="shared" si="5"/>
        <v>411</v>
      </c>
      <c r="AB16" s="8">
        <f t="shared" si="0"/>
        <v>2009</v>
      </c>
      <c r="AC16" s="31">
        <f>IF(AD16=0,"",IF(_Ijour=0,MIN(DATE(YEAR(_DebAmort),MONTH(_DebAmort)+_MoisD+(Z16-1)*_Imois,_Jour2),DATE(YEAR(_DebAmort),MONTH(_DebAmort)+_MoisD+1+(Z16-1)*_Imois,0)),DATE(YEAR(_DebAmort),MONTH(_DebAmort),_Jour1+(Z16-1)*_Ijour)))</f>
        <v>40087</v>
      </c>
      <c r="AD16" s="156">
        <f t="shared" si="6"/>
        <v>233616.35000000009</v>
      </c>
      <c r="AE16" s="153">
        <f>IF(Z16&lt;=_NoEchMaxi,ROUND(AD16*'Données Projet 1'!A25,_NbDeci),0)</f>
        <v>362.11</v>
      </c>
      <c r="AF16" s="152">
        <f>IF(OR(Z16&lt;=_Différé,Z16&gt;_NoEchMaxi),IF(_DiffTotal,-AE16,0),IF(Z16&gt;=_NoEchRemb,AD16,IF('Données Projet 1'!B25-(AE16*_EchFIXE)&gt;AD16-2,AD16,'Données Projet 1'!B25-(AE16*_EchFIXE))))+U16</f>
        <v>406.87</v>
      </c>
      <c r="AG16" s="154">
        <f t="shared" si="7"/>
        <v>19.77</v>
      </c>
      <c r="AH16" s="157">
        <f t="shared" si="1"/>
        <v>788.75</v>
      </c>
      <c r="AI16"/>
      <c r="AJ16" s="3"/>
      <c r="AK16" s="164"/>
      <c r="AL16" s="22"/>
      <c r="AM16" s="21"/>
      <c r="AN16" s="23"/>
      <c r="AO16" s="10"/>
      <c r="AP16" s="5">
        <f t="shared" si="8"/>
        <v>10</v>
      </c>
      <c r="AQ16" s="7">
        <f t="shared" si="9"/>
        <v>171</v>
      </c>
      <c r="AR16" s="8">
        <f t="shared" si="2"/>
        <v>2009</v>
      </c>
      <c r="AS16" s="31">
        <f>IF(AT16=0,"",IF(_Ijour1=0,MIN(DATE(YEAR(_DebAmort1),MONTH(_DebAmort1)+_MoisD1+(AP16-1)*_Imois1,__Jou2),DATE(YEAR(_DebAmort1),MONTH(_DebAmort1)+_MoisD1+1+(AP16-1)*_Imois1,0)),DATE(YEAR(_DebAmort1),MONTH(_DebAmort1),__Jou1+(AP16-1)*_Ijour1)))</f>
        <v>40087</v>
      </c>
      <c r="AT16" s="156">
        <f t="shared" si="10"/>
        <v>187250</v>
      </c>
      <c r="AU16" s="153">
        <f>IF(AP16&lt;=_NoEchMaxi1,ROUND(AT16*'Données Projet 1'!H25,_NbDeci1),0)</f>
        <v>156.04</v>
      </c>
      <c r="AV16" s="152">
        <f>IF(OR(AP16&lt;=_Différé1,AP16&gt;_NoEchMaxi1),IF(_DiffTotal1,-AU16,0),IF(AP16&gt;=_NoEchRemb1,AT16,IF('Données Projet 1'!I25-(AU16*_EchFIXE1)&gt;AT16-2,AT16,'Données Projet 1'!I25-(AU16*_EchFIXE1))))+AK16</f>
        <v>0</v>
      </c>
      <c r="AW16" s="154">
        <f t="shared" si="11"/>
        <v>15.6</v>
      </c>
      <c r="AX16" s="157">
        <f t="shared" si="3"/>
        <v>171.64</v>
      </c>
    </row>
    <row r="17" spans="1:50" ht="15.75" customHeight="1" x14ac:dyDescent="0.3">
      <c r="A17" s="479" t="s">
        <v>173</v>
      </c>
      <c r="B17" s="417">
        <v>0</v>
      </c>
      <c r="C17" s="480" t="s">
        <v>173</v>
      </c>
      <c r="D17" s="417">
        <v>0</v>
      </c>
      <c r="E17" s="480" t="s">
        <v>326</v>
      </c>
      <c r="F17" s="492">
        <v>1900</v>
      </c>
      <c r="G17" s="411"/>
      <c r="H17" s="411"/>
      <c r="T17" s="3"/>
      <c r="U17" s="164"/>
      <c r="V17" s="22"/>
      <c r="W17" s="21"/>
      <c r="X17" s="23"/>
      <c r="Y17" s="10"/>
      <c r="Z17" s="5">
        <f t="shared" si="4"/>
        <v>11</v>
      </c>
      <c r="AA17" s="7">
        <f t="shared" si="5"/>
        <v>410</v>
      </c>
      <c r="AB17" s="8">
        <f t="shared" si="0"/>
        <v>2009</v>
      </c>
      <c r="AC17" s="31">
        <f>IF(AD17=0,"",IF(_Ijour=0,MIN(DATE(YEAR(_DebAmort),MONTH(_DebAmort)+(Z17-1)*_Imois,_Jour1),DATE(YEAR(_DebAmort),MONTH(_DebAmort)+1+(Z17-1)*_Imois,0)),DATE(YEAR(_DebAmort),MONTH(_DebAmort),_Jour1+(Z17-1)*_Ijour)))</f>
        <v>40118</v>
      </c>
      <c r="AD17" s="156">
        <f t="shared" si="6"/>
        <v>233209.4800000001</v>
      </c>
      <c r="AE17" s="153">
        <f>IF(Z17&lt;=_NoEchMaxi,ROUND(AD17*'Données Projet 1'!A26,_NbDeci),0)</f>
        <v>361.47</v>
      </c>
      <c r="AF17" s="152">
        <f>IF(OR(Z17&lt;=_Différé,Z17&gt;_NoEchMaxi),IF(_DiffTotal,-AE17,0),IF(Z17&gt;=_NoEchRemb,AD17,IF('Données Projet 1'!B26-(AE17*_EchFIXE)&gt;AD17-2,AD17,'Données Projet 1'!B26-(AE17*_EchFIXE))))+U17</f>
        <v>407.51</v>
      </c>
      <c r="AG17" s="154">
        <f t="shared" si="7"/>
        <v>19.77</v>
      </c>
      <c r="AH17" s="157">
        <f t="shared" si="1"/>
        <v>788.75</v>
      </c>
      <c r="AI17"/>
      <c r="AJ17" s="3"/>
      <c r="AK17" s="164"/>
      <c r="AL17" s="22"/>
      <c r="AM17" s="21"/>
      <c r="AN17" s="23"/>
      <c r="AO17" s="10"/>
      <c r="AP17" s="5">
        <f t="shared" si="8"/>
        <v>11</v>
      </c>
      <c r="AQ17" s="7">
        <f t="shared" si="9"/>
        <v>170</v>
      </c>
      <c r="AR17" s="8">
        <f t="shared" si="2"/>
        <v>2009</v>
      </c>
      <c r="AS17" s="31">
        <f>IF(AT17=0,"",IF(_Ijour1=0,MIN(DATE(YEAR(_DebAmort1),MONTH(_DebAmort1)+(AP17-1)*_Imois1,__Jou1),DATE(YEAR(_DebAmort1),MONTH(_DebAmort1)+1+(AP17-1)*_Imois1,0)),DATE(YEAR(_DebAmort1),MONTH(_DebAmort1),__Jou1+(AP17-1)*_Ijour1)))</f>
        <v>40118</v>
      </c>
      <c r="AT17" s="156">
        <f t="shared" si="10"/>
        <v>187250</v>
      </c>
      <c r="AU17" s="153">
        <f>IF(AP17&lt;=_NoEchMaxi1,ROUND(AT17*'Données Projet 1'!H26,_NbDeci1),0)</f>
        <v>156.04</v>
      </c>
      <c r="AV17" s="152">
        <f>IF(OR(AP17&lt;=_Différé1,AP17&gt;_NoEchMaxi1),IF(_DiffTotal1,-AU17,0),IF(AP17&gt;=_NoEchRemb1,AT17,IF('Données Projet 1'!I26-(AU17*_EchFIXE1)&gt;AT17-2,AT17,'Données Projet 1'!I26-(AU17*_EchFIXE1))))+AK17</f>
        <v>0</v>
      </c>
      <c r="AW17" s="154">
        <f t="shared" si="11"/>
        <v>15.6</v>
      </c>
      <c r="AX17" s="157">
        <f t="shared" si="3"/>
        <v>171.64</v>
      </c>
    </row>
    <row r="18" spans="1:50" ht="15.75" customHeight="1" x14ac:dyDescent="0.3">
      <c r="A18" s="479" t="s">
        <v>203</v>
      </c>
      <c r="B18" s="417"/>
      <c r="C18" s="480" t="s">
        <v>203</v>
      </c>
      <c r="D18" s="417"/>
      <c r="E18" s="480" t="s">
        <v>203</v>
      </c>
      <c r="F18" s="492"/>
      <c r="G18" s="411"/>
      <c r="H18" s="411"/>
      <c r="O18" s="231"/>
      <c r="P18" s="231"/>
      <c r="T18" s="3"/>
      <c r="U18" s="164"/>
      <c r="V18" s="22"/>
      <c r="W18" s="21"/>
      <c r="X18" s="23"/>
      <c r="Y18" s="10"/>
      <c r="Z18" s="5">
        <f t="shared" si="4"/>
        <v>12</v>
      </c>
      <c r="AA18" s="7">
        <f t="shared" si="5"/>
        <v>409</v>
      </c>
      <c r="AB18" s="8">
        <f t="shared" si="0"/>
        <v>2009</v>
      </c>
      <c r="AC18" s="31">
        <f>IF(AD18=0,"",IF(_Ijour=0,MIN(DATE(YEAR(_DebAmort),MONTH(_DebAmort)+_MoisD+(Z18-1)*_Imois,_Jour2),DATE(YEAR(_DebAmort),MONTH(_DebAmort)+_MoisD+1+(Z18-1)*_Imois,0)),DATE(YEAR(_DebAmort),MONTH(_DebAmort),_Jour1+(Z18-1)*_Ijour)))</f>
        <v>40148</v>
      </c>
      <c r="AD18" s="156">
        <f t="shared" si="6"/>
        <v>232801.97000000009</v>
      </c>
      <c r="AE18" s="153">
        <f>IF(Z18&lt;=_NoEchMaxi,ROUND(AD18*'Données Projet 1'!A27,_NbDeci),0)</f>
        <v>360.84</v>
      </c>
      <c r="AF18" s="152">
        <f>IF(OR(Z18&lt;=_Différé,Z18&gt;_NoEchMaxi),IF(_DiffTotal,-AE18,0),IF(Z18&gt;=_NoEchRemb,AD18,IF('Données Projet 1'!B27-(AE18*_EchFIXE)&gt;AD18-2,AD18,'Données Projet 1'!B27-(AE18*_EchFIXE))))+U18</f>
        <v>408.14000000000004</v>
      </c>
      <c r="AG18" s="154">
        <f t="shared" si="7"/>
        <v>19.77</v>
      </c>
      <c r="AH18" s="157">
        <f t="shared" si="1"/>
        <v>788.75</v>
      </c>
      <c r="AI18"/>
      <c r="AJ18" s="3"/>
      <c r="AK18" s="164"/>
      <c r="AL18" s="22"/>
      <c r="AM18" s="21"/>
      <c r="AN18" s="23"/>
      <c r="AO18" s="10"/>
      <c r="AP18" s="5">
        <f t="shared" si="8"/>
        <v>12</v>
      </c>
      <c r="AQ18" s="7">
        <f t="shared" si="9"/>
        <v>169</v>
      </c>
      <c r="AR18" s="8">
        <f t="shared" si="2"/>
        <v>2009</v>
      </c>
      <c r="AS18" s="31">
        <f>IF(AT18=0,"",IF(_Ijour1=0,MIN(DATE(YEAR(_DebAmort1),MONTH(_DebAmort1)+_MoisD1+(AP18-1)*_Imois1,__Jou2),DATE(YEAR(_DebAmort1),MONTH(_DebAmort1)+_MoisD1+1+(AP18-1)*_Imois1,0)),DATE(YEAR(_DebAmort1),MONTH(_DebAmort1),__Jou1+(AP18-1)*_Ijour1)))</f>
        <v>40148</v>
      </c>
      <c r="AT18" s="156">
        <f t="shared" si="10"/>
        <v>187250</v>
      </c>
      <c r="AU18" s="153">
        <f>IF(AP18&lt;=_NoEchMaxi1,ROUND(AT18*'Données Projet 1'!H27,_NbDeci1),0)</f>
        <v>156.04</v>
      </c>
      <c r="AV18" s="152">
        <f>IF(OR(AP18&lt;=_Différé1,AP18&gt;_NoEchMaxi1),IF(_DiffTotal1,-AU18,0),IF(AP18&gt;=_NoEchRemb1,AT18,IF('Données Projet 1'!I27-(AU18*_EchFIXE1)&gt;AT18-2,AT18,'Données Projet 1'!I27-(AU18*_EchFIXE1))))+AK18</f>
        <v>0</v>
      </c>
      <c r="AW18" s="154">
        <f t="shared" si="11"/>
        <v>15.6</v>
      </c>
      <c r="AX18" s="157">
        <f t="shared" si="3"/>
        <v>171.64</v>
      </c>
    </row>
    <row r="19" spans="1:50" ht="15.75" customHeight="1" x14ac:dyDescent="0.3">
      <c r="A19" s="479" t="s">
        <v>204</v>
      </c>
      <c r="B19" s="418">
        <f>SUM('TAM Projet 1'!AE7:AE18)</f>
        <v>4371.59</v>
      </c>
      <c r="C19" s="480" t="s">
        <v>204</v>
      </c>
      <c r="D19" s="418">
        <f>SUM('TAM Projet 1'!AU7:AU18)</f>
        <v>1872.4799999999998</v>
      </c>
      <c r="E19" s="480" t="s">
        <v>205</v>
      </c>
      <c r="F19" s="492"/>
      <c r="G19" s="411"/>
      <c r="H19" s="411"/>
      <c r="T19" s="3"/>
      <c r="U19" s="164"/>
      <c r="V19" s="22"/>
      <c r="W19" s="21"/>
      <c r="X19" s="23"/>
      <c r="Y19" s="10"/>
      <c r="Z19" s="5">
        <f t="shared" si="4"/>
        <v>13</v>
      </c>
      <c r="AA19" s="7">
        <f t="shared" si="5"/>
        <v>408</v>
      </c>
      <c r="AB19" s="8">
        <f t="shared" si="0"/>
        <v>2010</v>
      </c>
      <c r="AC19" s="31">
        <f>IF(AD19=0,"",IF(_Ijour=0,MIN(DATE(YEAR(_DebAmort),MONTH(_DebAmort)+(Z19-1)*_Imois,_Jour1),DATE(YEAR(_DebAmort),MONTH(_DebAmort)+1+(Z19-1)*_Imois,0)),DATE(YEAR(_DebAmort),MONTH(_DebAmort),_Jour1+(Z19-1)*_Ijour)))</f>
        <v>40179</v>
      </c>
      <c r="AD19" s="156">
        <f t="shared" si="6"/>
        <v>232393.83000000007</v>
      </c>
      <c r="AE19" s="153">
        <f>IF(Z19&lt;=_NoEchMaxi,ROUND(AD19*'Données Projet 1'!A28,_NbDeci),0)</f>
        <v>360.21</v>
      </c>
      <c r="AF19" s="152">
        <f>IF(OR(Z19&lt;=_Différé,Z19&gt;_NoEchMaxi),IF(_DiffTotal,-AE19,0),IF(Z19&gt;=_NoEchRemb,AD19,IF('Données Projet 1'!B28-(AE19*_EchFIXE)&gt;AD19-2,AD19,'Données Projet 1'!B28-(AE19*_EchFIXE))))+U19</f>
        <v>408.77000000000004</v>
      </c>
      <c r="AG19" s="154">
        <f t="shared" si="7"/>
        <v>19.77</v>
      </c>
      <c r="AH19" s="157">
        <f t="shared" si="1"/>
        <v>788.75</v>
      </c>
      <c r="AI19"/>
      <c r="AJ19" s="3"/>
      <c r="AK19" s="164"/>
      <c r="AL19" s="22"/>
      <c r="AM19" s="21"/>
      <c r="AN19" s="23"/>
      <c r="AO19" s="10"/>
      <c r="AP19" s="5">
        <f t="shared" si="8"/>
        <v>13</v>
      </c>
      <c r="AQ19" s="7">
        <f t="shared" si="9"/>
        <v>168</v>
      </c>
      <c r="AR19" s="8">
        <f t="shared" si="2"/>
        <v>2010</v>
      </c>
      <c r="AS19" s="31">
        <f>IF(AT19=0,"",IF(_Ijour1=0,MIN(DATE(YEAR(_DebAmort1),MONTH(_DebAmort1)+(AP19-1)*_Imois1,__Jou1),DATE(YEAR(_DebAmort1),MONTH(_DebAmort1)+1+(AP19-1)*_Imois1,0)),DATE(YEAR(_DebAmort1),MONTH(_DebAmort1),__Jou1+(AP19-1)*_Ijour1)))</f>
        <v>40179</v>
      </c>
      <c r="AT19" s="156">
        <f t="shared" si="10"/>
        <v>187250</v>
      </c>
      <c r="AU19" s="153">
        <f>IF(AP19&lt;=_NoEchMaxi1,ROUND(AT19*'Données Projet 1'!H28,_NbDeci1),0)</f>
        <v>156.04</v>
      </c>
      <c r="AV19" s="152">
        <f>IF(OR(AP19&lt;=_Différé1,AP19&gt;_NoEchMaxi1),IF(_DiffTotal1,-AU19,0),IF(AP19&gt;=_NoEchRemb1,AT19,IF('Données Projet 1'!I28-(AU19*_EchFIXE1)&gt;AT19-2,AT19,'Données Projet 1'!I28-(AU19*_EchFIXE1))))+AK19</f>
        <v>0</v>
      </c>
      <c r="AW19" s="154">
        <f t="shared" si="11"/>
        <v>15.6</v>
      </c>
      <c r="AX19" s="157">
        <f t="shared" si="3"/>
        <v>171.64</v>
      </c>
    </row>
    <row r="20" spans="1:50" ht="15.75" customHeight="1" x14ac:dyDescent="0.3">
      <c r="A20" s="479" t="s">
        <v>194</v>
      </c>
      <c r="B20" s="419">
        <f>H12</f>
        <v>9180</v>
      </c>
      <c r="C20" s="480" t="s">
        <v>194</v>
      </c>
      <c r="D20" s="419">
        <f>'TAM Projet 1'!H12</f>
        <v>9180</v>
      </c>
      <c r="E20" s="480" t="s">
        <v>198</v>
      </c>
      <c r="F20" s="493">
        <f>SUM(+'TAM Projet 1'!H13)</f>
        <v>5508</v>
      </c>
      <c r="G20" s="411"/>
      <c r="H20" s="411"/>
      <c r="T20" s="3"/>
      <c r="U20" s="164"/>
      <c r="V20" s="22"/>
      <c r="W20" s="21"/>
      <c r="X20" s="23"/>
      <c r="Y20" s="10"/>
      <c r="Z20" s="5">
        <f t="shared" si="4"/>
        <v>14</v>
      </c>
      <c r="AA20" s="7">
        <f t="shared" si="5"/>
        <v>407</v>
      </c>
      <c r="AB20" s="8">
        <f t="shared" si="0"/>
        <v>2010</v>
      </c>
      <c r="AC20" s="31">
        <f>IF(AD20=0,"",IF(_Ijour=0,MIN(DATE(YEAR(_DebAmort),MONTH(_DebAmort)+_MoisD+(Z20-1)*_Imois,_Jour2),DATE(YEAR(_DebAmort),MONTH(_DebAmort)+_MoisD+1+(Z20-1)*_Imois,0)),DATE(YEAR(_DebAmort),MONTH(_DebAmort),_Jour1+(Z20-1)*_Ijour)))</f>
        <v>40210</v>
      </c>
      <c r="AD20" s="156">
        <f t="shared" si="6"/>
        <v>231985.06000000008</v>
      </c>
      <c r="AE20" s="153">
        <f>IF(Z20&lt;=_NoEchMaxi,ROUND(AD20*'Données Projet 1'!A29,_NbDeci),0)</f>
        <v>359.58</v>
      </c>
      <c r="AF20" s="152">
        <f>IF(OR(Z20&lt;=_Différé,Z20&gt;_NoEchMaxi),IF(_DiffTotal,-AE20,0),IF(Z20&gt;=_NoEchRemb,AD20,IF('Données Projet 1'!B29-(AE20*_EchFIXE)&gt;AD20-2,AD20,'Données Projet 1'!B29-(AE20*_EchFIXE))))+U20</f>
        <v>409.40000000000003</v>
      </c>
      <c r="AG20" s="154">
        <f t="shared" si="7"/>
        <v>19.77</v>
      </c>
      <c r="AH20" s="157">
        <f t="shared" si="1"/>
        <v>788.75</v>
      </c>
      <c r="AI20"/>
      <c r="AJ20" s="3"/>
      <c r="AK20" s="164"/>
      <c r="AL20" s="22"/>
      <c r="AM20" s="21"/>
      <c r="AN20" s="23"/>
      <c r="AO20" s="10"/>
      <c r="AP20" s="5">
        <f t="shared" si="8"/>
        <v>14</v>
      </c>
      <c r="AQ20" s="7">
        <f t="shared" si="9"/>
        <v>167</v>
      </c>
      <c r="AR20" s="8">
        <f t="shared" si="2"/>
        <v>2010</v>
      </c>
      <c r="AS20" s="31">
        <f>IF(AT20=0,"",IF(_Ijour1=0,MIN(DATE(YEAR(_DebAmort1),MONTH(_DebAmort1)+_MoisD1+(AP20-1)*_Imois1,__Jou2),DATE(YEAR(_DebAmort1),MONTH(_DebAmort1)+_MoisD1+1+(AP20-1)*_Imois1,0)),DATE(YEAR(_DebAmort1),MONTH(_DebAmort1),__Jou1+(AP20-1)*_Ijour1)))</f>
        <v>40210</v>
      </c>
      <c r="AT20" s="156">
        <f t="shared" si="10"/>
        <v>187250</v>
      </c>
      <c r="AU20" s="153">
        <f>IF(AP20&lt;=_NoEchMaxi1,ROUND(AT20*'Données Projet 1'!H29,_NbDeci1),0)</f>
        <v>156.04</v>
      </c>
      <c r="AV20" s="152">
        <f>IF(OR(AP20&lt;=_Différé1,AP20&gt;_NoEchMaxi1),IF(_DiffTotal1,-AU20,0),IF(AP20&gt;=_NoEchRemb1,AT20,IF('Données Projet 1'!I29-(AU20*_EchFIXE1)&gt;AT20-2,AT20,'Données Projet 1'!I29-(AU20*_EchFIXE1))))+AK20</f>
        <v>0</v>
      </c>
      <c r="AW20" s="154">
        <f t="shared" si="11"/>
        <v>15.6</v>
      </c>
      <c r="AX20" s="157">
        <f t="shared" si="3"/>
        <v>171.64</v>
      </c>
    </row>
    <row r="21" spans="1:50" ht="15.75" customHeight="1" x14ac:dyDescent="0.3">
      <c r="A21" s="479" t="s">
        <v>184</v>
      </c>
      <c r="B21" s="418">
        <f>SUM(B17+B18+B19+B20)</f>
        <v>13551.59</v>
      </c>
      <c r="C21" s="480" t="s">
        <v>184</v>
      </c>
      <c r="D21" s="418">
        <f>SUM(D17+D18+D19+D20)</f>
        <v>11052.48</v>
      </c>
      <c r="E21" s="480" t="s">
        <v>204</v>
      </c>
      <c r="F21" s="493" t="e">
        <f>SUM(+#REF!)</f>
        <v>#REF!</v>
      </c>
      <c r="G21" s="269"/>
      <c r="H21" s="269"/>
      <c r="T21" s="3"/>
      <c r="U21" s="164"/>
      <c r="V21" s="22"/>
      <c r="W21" s="21"/>
      <c r="X21" s="23"/>
      <c r="Y21" s="10"/>
      <c r="Z21" s="5">
        <f t="shared" si="4"/>
        <v>15</v>
      </c>
      <c r="AA21" s="7">
        <f t="shared" si="5"/>
        <v>406</v>
      </c>
      <c r="AB21" s="8">
        <f t="shared" si="0"/>
        <v>2010</v>
      </c>
      <c r="AC21" s="31">
        <f>IF(AD21=0,"",IF(_Ijour=0,MIN(DATE(YEAR(_DebAmort),MONTH(_DebAmort)+(Z21-1)*_Imois,_Jour1),DATE(YEAR(_DebAmort),MONTH(_DebAmort)+1+(Z21-1)*_Imois,0)),DATE(YEAR(_DebAmort),MONTH(_DebAmort),_Jour1+(Z21-1)*_Ijour)))</f>
        <v>40238</v>
      </c>
      <c r="AD21" s="156">
        <f t="shared" si="6"/>
        <v>231575.66000000009</v>
      </c>
      <c r="AE21" s="153">
        <f>IF(Z21&lt;=_NoEchMaxi,ROUND(AD21*'Données Projet 1'!A30,_NbDeci),0)</f>
        <v>358.94</v>
      </c>
      <c r="AF21" s="152">
        <f>IF(OR(Z21&lt;=_Différé,Z21&gt;_NoEchMaxi),IF(_DiffTotal,-AE21,0),IF(Z21&gt;=_NoEchRemb,AD21,IF('Données Projet 1'!B30-(AE21*_EchFIXE)&gt;AD21-2,AD21,'Données Projet 1'!B30-(AE21*_EchFIXE))))+U21</f>
        <v>410.04</v>
      </c>
      <c r="AG21" s="154">
        <f t="shared" si="7"/>
        <v>19.77</v>
      </c>
      <c r="AH21" s="157">
        <f t="shared" si="1"/>
        <v>788.75</v>
      </c>
      <c r="AI21"/>
      <c r="AJ21" s="3"/>
      <c r="AK21" s="164"/>
      <c r="AL21" s="22"/>
      <c r="AM21" s="21"/>
      <c r="AN21" s="23"/>
      <c r="AO21" s="10"/>
      <c r="AP21" s="5">
        <f t="shared" si="8"/>
        <v>15</v>
      </c>
      <c r="AQ21" s="7">
        <f t="shared" si="9"/>
        <v>166</v>
      </c>
      <c r="AR21" s="8">
        <f t="shared" si="2"/>
        <v>2010</v>
      </c>
      <c r="AS21" s="31">
        <f>IF(AT21=0,"",IF(_Ijour1=0,MIN(DATE(YEAR(_DebAmort1),MONTH(_DebAmort1)+(AP21-1)*_Imois1,__Jou1),DATE(YEAR(_DebAmort1),MONTH(_DebAmort1)+1+(AP21-1)*_Imois1,0)),DATE(YEAR(_DebAmort1),MONTH(_DebAmort1),__Jou1+(AP21-1)*_Ijour1)))</f>
        <v>40238</v>
      </c>
      <c r="AT21" s="156">
        <f t="shared" si="10"/>
        <v>187250</v>
      </c>
      <c r="AU21" s="153">
        <f>IF(AP21&lt;=_NoEchMaxi1,ROUND(AT21*'Données Projet 1'!H30,_NbDeci1),0)</f>
        <v>156.04</v>
      </c>
      <c r="AV21" s="152">
        <f>IF(OR(AP21&lt;=_Différé1,AP21&gt;_NoEchMaxi1),IF(_DiffTotal1,-AU21,0),IF(AP21&gt;=_NoEchRemb1,AT21,IF('Données Projet 1'!I30-(AU21*_EchFIXE1)&gt;AT21-2,AT21,'Données Projet 1'!I30-(AU21*_EchFIXE1))))+AK21</f>
        <v>0</v>
      </c>
      <c r="AW21" s="154">
        <f t="shared" si="11"/>
        <v>15.6</v>
      </c>
      <c r="AX21" s="157">
        <f t="shared" si="3"/>
        <v>171.64</v>
      </c>
    </row>
    <row r="22" spans="1:50" ht="15.75" customHeight="1" x14ac:dyDescent="0.3">
      <c r="A22" s="363"/>
      <c r="B22" s="269"/>
      <c r="C22" s="269"/>
      <c r="D22" s="269"/>
      <c r="E22" s="480" t="s">
        <v>340</v>
      </c>
      <c r="F22" s="494"/>
      <c r="G22" s="269"/>
      <c r="H22" s="269"/>
      <c r="T22" s="3"/>
      <c r="U22" s="164"/>
      <c r="V22" s="22"/>
      <c r="W22" s="21"/>
      <c r="X22" s="23"/>
      <c r="Y22" s="10"/>
      <c r="Z22" s="5">
        <f t="shared" si="4"/>
        <v>16</v>
      </c>
      <c r="AA22" s="7">
        <f t="shared" si="5"/>
        <v>405</v>
      </c>
      <c r="AB22" s="8">
        <f t="shared" si="0"/>
        <v>2010</v>
      </c>
      <c r="AC22" s="31">
        <f>IF(AD22=0,"",IF(_Ijour=0,MIN(DATE(YEAR(_DebAmort),MONTH(_DebAmort)+_MoisD+(Z22-1)*_Imois,_Jour2),DATE(YEAR(_DebAmort),MONTH(_DebAmort)+_MoisD+1+(Z22-1)*_Imois,0)),DATE(YEAR(_DebAmort),MONTH(_DebAmort),_Jour1+(Z22-1)*_Ijour)))</f>
        <v>40269</v>
      </c>
      <c r="AD22" s="156">
        <f t="shared" si="6"/>
        <v>231165.62000000008</v>
      </c>
      <c r="AE22" s="153">
        <f>IF(Z22&lt;=_NoEchMaxi,ROUND(AD22*'Données Projet 1'!A31,_NbDeci),0)</f>
        <v>358.31</v>
      </c>
      <c r="AF22" s="152">
        <f>IF(OR(Z22&lt;=_Différé,Z22&gt;_NoEchMaxi),IF(_DiffTotal,-AE22,0),IF(Z22&gt;=_NoEchRemb,AD22,IF('Données Projet 1'!B31-(AE22*_EchFIXE)&gt;AD22-2,AD22,'Données Projet 1'!B31-(AE22*_EchFIXE))))+U22</f>
        <v>410.67</v>
      </c>
      <c r="AG22" s="154">
        <f t="shared" si="7"/>
        <v>19.77</v>
      </c>
      <c r="AH22" s="157">
        <f t="shared" si="1"/>
        <v>788.75</v>
      </c>
      <c r="AI22"/>
      <c r="AJ22" s="3"/>
      <c r="AK22" s="164"/>
      <c r="AL22" s="22"/>
      <c r="AM22" s="21"/>
      <c r="AN22" s="23"/>
      <c r="AO22" s="10"/>
      <c r="AP22" s="5">
        <f t="shared" si="8"/>
        <v>16</v>
      </c>
      <c r="AQ22" s="7">
        <f t="shared" si="9"/>
        <v>165</v>
      </c>
      <c r="AR22" s="8">
        <f t="shared" si="2"/>
        <v>2010</v>
      </c>
      <c r="AS22" s="31">
        <f>IF(AT22=0,"",IF(_Ijour1=0,MIN(DATE(YEAR(_DebAmort1),MONTH(_DebAmort1)+_MoisD1+(AP22-1)*_Imois1,__Jou2),DATE(YEAR(_DebAmort1),MONTH(_DebAmort1)+_MoisD1+1+(AP22-1)*_Imois1,0)),DATE(YEAR(_DebAmort1),MONTH(_DebAmort1),__Jou1+(AP22-1)*_Ijour1)))</f>
        <v>40269</v>
      </c>
      <c r="AT22" s="156">
        <f t="shared" si="10"/>
        <v>187250</v>
      </c>
      <c r="AU22" s="153">
        <f>IF(AP22&lt;=_NoEchMaxi1,ROUND(AT22*'Données Projet 1'!H31,_NbDeci1),0)</f>
        <v>156.04</v>
      </c>
      <c r="AV22" s="152">
        <f>IF(OR(AP22&lt;=_Différé1,AP22&gt;_NoEchMaxi1),IF(_DiffTotal1,-AU22,0),IF(AP22&gt;=_NoEchRemb1,AT22,IF('Données Projet 1'!I31-(AU22*_EchFIXE1)&gt;AT22-2,AT22,'Données Projet 1'!I31-(AU22*_EchFIXE1))))+AK22</f>
        <v>0</v>
      </c>
      <c r="AW22" s="154">
        <f t="shared" si="11"/>
        <v>15.6</v>
      </c>
      <c r="AX22" s="157">
        <f t="shared" si="3"/>
        <v>171.64</v>
      </c>
    </row>
    <row r="23" spans="1:50" ht="15.75" customHeight="1" x14ac:dyDescent="0.3">
      <c r="A23" s="363"/>
      <c r="B23" s="269"/>
      <c r="C23" s="269"/>
      <c r="D23" s="269"/>
      <c r="E23" s="480" t="s">
        <v>210</v>
      </c>
      <c r="F23" s="493">
        <f>IF(D24=1,_ann,'Dégressif projet 1'!D11)</f>
        <v>19770.833333333336</v>
      </c>
      <c r="G23" s="411"/>
      <c r="H23" s="411"/>
      <c r="T23" s="3"/>
      <c r="U23" s="164"/>
      <c r="V23" s="22"/>
      <c r="W23" s="21"/>
      <c r="X23" s="23"/>
      <c r="Y23" s="10"/>
      <c r="Z23" s="5">
        <f t="shared" si="4"/>
        <v>17</v>
      </c>
      <c r="AA23" s="7">
        <f t="shared" si="5"/>
        <v>404</v>
      </c>
      <c r="AB23" s="8">
        <f t="shared" si="0"/>
        <v>2010</v>
      </c>
      <c r="AC23" s="31">
        <f>IF(AD23=0,"",IF(_Ijour=0,MIN(DATE(YEAR(_DebAmort),MONTH(_DebAmort)+(Z23-1)*_Imois,_Jour1),DATE(YEAR(_DebAmort),MONTH(_DebAmort)+1+(Z23-1)*_Imois,0)),DATE(YEAR(_DebAmort),MONTH(_DebAmort),_Jour1+(Z23-1)*_Ijour)))</f>
        <v>40299</v>
      </c>
      <c r="AD23" s="156">
        <f t="shared" si="6"/>
        <v>230754.95000000007</v>
      </c>
      <c r="AE23" s="153">
        <f>IF(Z23&lt;=_NoEchMaxi,ROUND(AD23*'Données Projet 1'!A32,_NbDeci),0)</f>
        <v>357.67</v>
      </c>
      <c r="AF23" s="152">
        <f>IF(OR(Z23&lt;=_Différé,Z23&gt;_NoEchMaxi),IF(_DiffTotal,-AE23,0),IF(Z23&gt;=_NoEchRemb,AD23,IF('Données Projet 1'!B32-(AE23*_EchFIXE)&gt;AD23-2,AD23,'Données Projet 1'!B32-(AE23*_EchFIXE))))+U23</f>
        <v>411.31</v>
      </c>
      <c r="AG23" s="154">
        <f t="shared" si="7"/>
        <v>19.77</v>
      </c>
      <c r="AH23" s="157">
        <f t="shared" si="1"/>
        <v>788.75</v>
      </c>
      <c r="AI23"/>
      <c r="AJ23" s="3"/>
      <c r="AK23" s="164"/>
      <c r="AL23" s="22"/>
      <c r="AM23" s="21"/>
      <c r="AN23" s="23"/>
      <c r="AO23" s="10"/>
      <c r="AP23" s="5">
        <f t="shared" si="8"/>
        <v>17</v>
      </c>
      <c r="AQ23" s="7">
        <f t="shared" si="9"/>
        <v>164</v>
      </c>
      <c r="AR23" s="8">
        <f t="shared" si="2"/>
        <v>2010</v>
      </c>
      <c r="AS23" s="31">
        <f>IF(AT23=0,"",IF(_Ijour1=0,MIN(DATE(YEAR(_DebAmort1),MONTH(_DebAmort1)+(AP23-1)*_Imois1,__Jou1),DATE(YEAR(_DebAmort1),MONTH(_DebAmort1)+1+(AP23-1)*_Imois1,0)),DATE(YEAR(_DebAmort1),MONTH(_DebAmort1),__Jou1+(AP23-1)*_Ijour1)))</f>
        <v>40299</v>
      </c>
      <c r="AT23" s="156">
        <f t="shared" si="10"/>
        <v>187250</v>
      </c>
      <c r="AU23" s="153">
        <f>IF(AP23&lt;=_NoEchMaxi1,ROUND(AT23*'Données Projet 1'!H32,_NbDeci1),0)</f>
        <v>156.04</v>
      </c>
      <c r="AV23" s="152">
        <f>IF(OR(AP23&lt;=_Différé1,AP23&gt;_NoEchMaxi1),IF(_DiffTotal1,-AU23,0),IF(AP23&gt;=_NoEchRemb1,AT23,IF('Données Projet 1'!I32-(AU23*_EchFIXE1)&gt;AT23-2,AT23,'Données Projet 1'!I32-(AU23*_EchFIXE1))))+AK23</f>
        <v>0</v>
      </c>
      <c r="AW23" s="154">
        <f t="shared" si="11"/>
        <v>15.6</v>
      </c>
      <c r="AX23" s="157">
        <f t="shared" si="3"/>
        <v>171.64</v>
      </c>
    </row>
    <row r="24" spans="1:50" ht="15.75" customHeight="1" x14ac:dyDescent="0.3">
      <c r="A24" s="363"/>
      <c r="B24" s="269"/>
      <c r="C24" s="269"/>
      <c r="D24" s="411">
        <v>1</v>
      </c>
      <c r="E24" s="480" t="s">
        <v>184</v>
      </c>
      <c r="F24" s="493" t="e">
        <f>SUM(F17+F18+F19+F20+F21+F22+F23)</f>
        <v>#REF!</v>
      </c>
      <c r="G24" s="411"/>
      <c r="T24" s="3"/>
      <c r="U24" s="164"/>
      <c r="V24" s="22"/>
      <c r="W24" s="21"/>
      <c r="X24" s="23"/>
      <c r="Y24" s="10"/>
      <c r="Z24" s="5">
        <f t="shared" si="4"/>
        <v>18</v>
      </c>
      <c r="AA24" s="7">
        <f t="shared" si="5"/>
        <v>403</v>
      </c>
      <c r="AB24" s="8">
        <f t="shared" si="0"/>
        <v>2010</v>
      </c>
      <c r="AC24" s="31">
        <f>IF(AD24=0,"",IF(_Ijour=0,MIN(DATE(YEAR(_DebAmort),MONTH(_DebAmort)+_MoisD+(Z24-1)*_Imois,_Jour2),DATE(YEAR(_DebAmort),MONTH(_DebAmort)+_MoisD+1+(Z24-1)*_Imois,0)),DATE(YEAR(_DebAmort),MONTH(_DebAmort),_Jour1+(Z24-1)*_Ijour)))</f>
        <v>40330</v>
      </c>
      <c r="AD24" s="156">
        <f t="shared" si="6"/>
        <v>230343.64000000007</v>
      </c>
      <c r="AE24" s="153">
        <f>IF(Z24&lt;=_NoEchMaxi,ROUND(AD24*'Données Projet 1'!A33,_NbDeci),0)</f>
        <v>357.03</v>
      </c>
      <c r="AF24" s="152">
        <f>IF(OR(Z24&lt;=_Différé,Z24&gt;_NoEchMaxi),IF(_DiffTotal,-AE24,0),IF(Z24&gt;=_NoEchRemb,AD24,IF('Données Projet 1'!B33-(AE24*_EchFIXE)&gt;AD24-2,AD24,'Données Projet 1'!B33-(AE24*_EchFIXE))))+U24</f>
        <v>411.95000000000005</v>
      </c>
      <c r="AG24" s="154">
        <f t="shared" si="7"/>
        <v>19.77</v>
      </c>
      <c r="AH24" s="157">
        <f t="shared" si="1"/>
        <v>788.75</v>
      </c>
      <c r="AI24"/>
      <c r="AJ24" s="3"/>
      <c r="AK24" s="164"/>
      <c r="AL24" s="22"/>
      <c r="AM24" s="21"/>
      <c r="AN24" s="23"/>
      <c r="AO24" s="10"/>
      <c r="AP24" s="5">
        <f t="shared" si="8"/>
        <v>18</v>
      </c>
      <c r="AQ24" s="7">
        <f t="shared" si="9"/>
        <v>163</v>
      </c>
      <c r="AR24" s="8">
        <f t="shared" si="2"/>
        <v>2010</v>
      </c>
      <c r="AS24" s="31">
        <f>IF(AT24=0,"",IF(_Ijour1=0,MIN(DATE(YEAR(_DebAmort1),MONTH(_DebAmort1)+_MoisD1+(AP24-1)*_Imois1,__Jou2),DATE(YEAR(_DebAmort1),MONTH(_DebAmort1)+_MoisD1+1+(AP24-1)*_Imois1,0)),DATE(YEAR(_DebAmort1),MONTH(_DebAmort1),__Jou1+(AP24-1)*_Ijour1)))</f>
        <v>40330</v>
      </c>
      <c r="AT24" s="156">
        <f t="shared" si="10"/>
        <v>187250</v>
      </c>
      <c r="AU24" s="153">
        <f>IF(AP24&lt;=_NoEchMaxi1,ROUND(AT24*'Données Projet 1'!H33,_NbDeci1),0)</f>
        <v>156.04</v>
      </c>
      <c r="AV24" s="152">
        <f>IF(OR(AP24&lt;=_Différé1,AP24&gt;_NoEchMaxi1),IF(_DiffTotal1,-AU24,0),IF(AP24&gt;=_NoEchRemb1,AT24,IF('Données Projet 1'!I33-(AU24*_EchFIXE1)&gt;AT24-2,AT24,'Données Projet 1'!I33-(AU24*_EchFIXE1))))+AK24</f>
        <v>0</v>
      </c>
      <c r="AW24" s="154">
        <f t="shared" si="11"/>
        <v>15.6</v>
      </c>
      <c r="AX24" s="157">
        <f t="shared" si="3"/>
        <v>171.64</v>
      </c>
    </row>
    <row r="25" spans="1:50" ht="15.75" customHeight="1" x14ac:dyDescent="0.3">
      <c r="A25" s="363"/>
      <c r="B25" s="269"/>
      <c r="C25" s="269"/>
      <c r="D25" s="269"/>
      <c r="E25" s="269"/>
      <c r="F25" s="338"/>
      <c r="G25" s="411"/>
      <c r="I25" s="550" t="s">
        <v>360</v>
      </c>
      <c r="J25" s="550"/>
      <c r="T25" s="3"/>
      <c r="U25" s="164"/>
      <c r="V25" s="22"/>
      <c r="W25" s="21"/>
      <c r="X25" s="23"/>
      <c r="Y25" s="10"/>
      <c r="Z25" s="5">
        <f t="shared" si="4"/>
        <v>19</v>
      </c>
      <c r="AA25" s="7">
        <f t="shared" si="5"/>
        <v>402</v>
      </c>
      <c r="AB25" s="8">
        <f t="shared" si="0"/>
        <v>2010</v>
      </c>
      <c r="AC25" s="31">
        <f>IF(AD25=0,"",IF(_Ijour=0,MIN(DATE(YEAR(_DebAmort),MONTH(_DebAmort)+(Z25-1)*_Imois,_Jour1),DATE(YEAR(_DebAmort),MONTH(_DebAmort)+1+(Z25-1)*_Imois,0)),DATE(YEAR(_DebAmort),MONTH(_DebAmort),_Jour1+(Z25-1)*_Ijour)))</f>
        <v>40360</v>
      </c>
      <c r="AD25" s="156">
        <f t="shared" si="6"/>
        <v>229931.69000000006</v>
      </c>
      <c r="AE25" s="153">
        <f>IF(Z25&lt;=_NoEchMaxi,ROUND(AD25*'Données Projet 1'!A34,_NbDeci),0)</f>
        <v>356.39</v>
      </c>
      <c r="AF25" s="152">
        <f>IF(OR(Z25&lt;=_Différé,Z25&gt;_NoEchMaxi),IF(_DiffTotal,-AE25,0),IF(Z25&gt;=_NoEchRemb,AD25,IF('Données Projet 1'!B34-(AE25*_EchFIXE)&gt;AD25-2,AD25,'Données Projet 1'!B34-(AE25*_EchFIXE))))+U25</f>
        <v>412.59000000000003</v>
      </c>
      <c r="AG25" s="154">
        <f t="shared" si="7"/>
        <v>19.77</v>
      </c>
      <c r="AH25" s="157">
        <f t="shared" si="1"/>
        <v>788.75</v>
      </c>
      <c r="AI25"/>
      <c r="AJ25" s="3"/>
      <c r="AK25" s="164"/>
      <c r="AL25" s="22"/>
      <c r="AM25" s="21"/>
      <c r="AN25" s="23"/>
      <c r="AO25" s="10"/>
      <c r="AP25" s="5">
        <f t="shared" si="8"/>
        <v>19</v>
      </c>
      <c r="AQ25" s="7">
        <f t="shared" si="9"/>
        <v>162</v>
      </c>
      <c r="AR25" s="8">
        <f t="shared" si="2"/>
        <v>2010</v>
      </c>
      <c r="AS25" s="31">
        <f>IF(AT25=0,"",IF(_Ijour1=0,MIN(DATE(YEAR(_DebAmort1),MONTH(_DebAmort1)+(AP25-1)*_Imois1,__Jou1),DATE(YEAR(_DebAmort1),MONTH(_DebAmort1)+1+(AP25-1)*_Imois1,0)),DATE(YEAR(_DebAmort1),MONTH(_DebAmort1),__Jou1+(AP25-1)*_Ijour1)))</f>
        <v>40360</v>
      </c>
      <c r="AT25" s="156">
        <f t="shared" si="10"/>
        <v>187250</v>
      </c>
      <c r="AU25" s="153">
        <f>IF(AP25&lt;=_NoEchMaxi1,ROUND(AT25*'Données Projet 1'!H34,_NbDeci1),0)</f>
        <v>156.04</v>
      </c>
      <c r="AV25" s="152">
        <f>IF(OR(AP25&lt;=_Différé1,AP25&gt;_NoEchMaxi1),IF(_DiffTotal1,-AU25,0),IF(AP25&gt;=_NoEchRemb1,AT25,IF('Données Projet 1'!I34-(AU25*_EchFIXE1)&gt;AT25-2,AT25,'Données Projet 1'!I34-(AU25*_EchFIXE1))))+AK25</f>
        <v>0</v>
      </c>
      <c r="AW25" s="154">
        <f t="shared" si="11"/>
        <v>15.6</v>
      </c>
      <c r="AX25" s="157">
        <f t="shared" si="3"/>
        <v>171.64</v>
      </c>
    </row>
    <row r="26" spans="1:50" ht="15.75" customHeight="1" x14ac:dyDescent="0.3">
      <c r="A26" s="568" t="s">
        <v>327</v>
      </c>
      <c r="B26" s="569"/>
      <c r="C26" s="569" t="s">
        <v>367</v>
      </c>
      <c r="D26" s="569"/>
      <c r="E26" s="569" t="s">
        <v>341</v>
      </c>
      <c r="F26" s="570"/>
      <c r="G26" s="411"/>
      <c r="I26" s="520" t="s">
        <v>356</v>
      </c>
      <c r="J26" s="526">
        <f>S3</f>
        <v>15000</v>
      </c>
      <c r="T26" s="3"/>
      <c r="U26" s="164"/>
      <c r="V26" s="22"/>
      <c r="W26" s="21"/>
      <c r="X26" s="23"/>
      <c r="Y26" s="10"/>
      <c r="Z26" s="5">
        <f t="shared" si="4"/>
        <v>20</v>
      </c>
      <c r="AA26" s="7">
        <f t="shared" si="5"/>
        <v>401</v>
      </c>
      <c r="AB26" s="8">
        <f t="shared" si="0"/>
        <v>2010</v>
      </c>
      <c r="AC26" s="31">
        <f>IF(AD26=0,"",IF(_Ijour=0,MIN(DATE(YEAR(_DebAmort),MONTH(_DebAmort)+_MoisD+(Z26-1)*_Imois,_Jour2),DATE(YEAR(_DebAmort),MONTH(_DebAmort)+_MoisD+1+(Z26-1)*_Imois,0)),DATE(YEAR(_DebAmort),MONTH(_DebAmort),_Jour1+(Z26-1)*_Ijour)))</f>
        <v>40391</v>
      </c>
      <c r="AD26" s="156">
        <f t="shared" si="6"/>
        <v>229519.10000000006</v>
      </c>
      <c r="AE26" s="153">
        <f>IF(Z26&lt;=_NoEchMaxi,ROUND(AD26*'Données Projet 1'!A35,_NbDeci),0)</f>
        <v>355.75</v>
      </c>
      <c r="AF26" s="152">
        <f>IF(OR(Z26&lt;=_Différé,Z26&gt;_NoEchMaxi),IF(_DiffTotal,-AE26,0),IF(Z26&gt;=_NoEchRemb,AD26,IF('Données Projet 1'!B35-(AE26*_EchFIXE)&gt;AD26-2,AD26,'Données Projet 1'!B35-(AE26*_EchFIXE))))+U26</f>
        <v>413.23</v>
      </c>
      <c r="AG26" s="154">
        <f t="shared" si="7"/>
        <v>19.77</v>
      </c>
      <c r="AH26" s="157">
        <f t="shared" si="1"/>
        <v>788.75</v>
      </c>
      <c r="AI26"/>
      <c r="AJ26" s="3"/>
      <c r="AK26" s="164"/>
      <c r="AL26" s="22"/>
      <c r="AM26" s="21"/>
      <c r="AN26" s="23"/>
      <c r="AO26" s="10"/>
      <c r="AP26" s="5">
        <f t="shared" si="8"/>
        <v>20</v>
      </c>
      <c r="AQ26" s="7">
        <f t="shared" si="9"/>
        <v>161</v>
      </c>
      <c r="AR26" s="8">
        <f t="shared" si="2"/>
        <v>2010</v>
      </c>
      <c r="AS26" s="31">
        <f>IF(AT26=0,"",IF(_Ijour1=0,MIN(DATE(YEAR(_DebAmort1),MONTH(_DebAmort1)+_MoisD1+(AP26-1)*_Imois1,__Jou2),DATE(YEAR(_DebAmort1),MONTH(_DebAmort1)+_MoisD1+1+(AP26-1)*_Imois1,0)),DATE(YEAR(_DebAmort1),MONTH(_DebAmort1),__Jou1+(AP26-1)*_Ijour1)))</f>
        <v>40391</v>
      </c>
      <c r="AT26" s="156">
        <f t="shared" si="10"/>
        <v>187250</v>
      </c>
      <c r="AU26" s="153">
        <f>IF(AP26&lt;=_NoEchMaxi1,ROUND(AT26*'Données Projet 1'!H35,_NbDeci1),0)</f>
        <v>156.04</v>
      </c>
      <c r="AV26" s="152">
        <f>IF(OR(AP26&lt;=_Différé1,AP26&gt;_NoEchMaxi1),IF(_DiffTotal1,-AU26,0),IF(AP26&gt;=_NoEchRemb1,AT26,IF('Données Projet 1'!I35-(AU26*_EchFIXE1)&gt;AT26-2,AT26,'Données Projet 1'!I35-(AU26*_EchFIXE1))))+AK26</f>
        <v>0</v>
      </c>
      <c r="AW26" s="154">
        <f t="shared" si="11"/>
        <v>15.6</v>
      </c>
      <c r="AX26" s="157">
        <f t="shared" si="3"/>
        <v>171.64</v>
      </c>
    </row>
    <row r="27" spans="1:50" ht="15.75" customHeight="1" x14ac:dyDescent="0.3">
      <c r="A27" s="481" t="s">
        <v>187</v>
      </c>
      <c r="B27" s="286">
        <f>S2</f>
        <v>11500</v>
      </c>
      <c r="C27" s="484" t="s">
        <v>187</v>
      </c>
      <c r="D27" s="286">
        <f>'TAM Projet 1'!S2</f>
        <v>11500</v>
      </c>
      <c r="E27" s="486" t="s">
        <v>214</v>
      </c>
      <c r="F27" s="366" t="e">
        <f>SUM('TAM Projet 1'!H15-F24)</f>
        <v>#REF!</v>
      </c>
      <c r="G27" s="411"/>
      <c r="I27" s="520" t="s">
        <v>357</v>
      </c>
      <c r="J27" s="526">
        <f>J26*0.9</f>
        <v>13500</v>
      </c>
      <c r="T27" s="3"/>
      <c r="U27" s="164"/>
      <c r="V27" s="22"/>
      <c r="W27" s="21"/>
      <c r="X27" s="23"/>
      <c r="Y27" s="10"/>
      <c r="Z27" s="5">
        <f t="shared" si="4"/>
        <v>21</v>
      </c>
      <c r="AA27" s="7">
        <f t="shared" si="5"/>
        <v>400</v>
      </c>
      <c r="AB27" s="8">
        <f t="shared" si="0"/>
        <v>2010</v>
      </c>
      <c r="AC27" s="31">
        <f>IF(AD27=0,"",IF(_Ijour=0,MIN(DATE(YEAR(_DebAmort),MONTH(_DebAmort)+(Z27-1)*_Imois,_Jour1),DATE(YEAR(_DebAmort),MONTH(_DebAmort)+1+(Z27-1)*_Imois,0)),DATE(YEAR(_DebAmort),MONTH(_DebAmort),_Jour1+(Z27-1)*_Ijour)))</f>
        <v>40422</v>
      </c>
      <c r="AD27" s="156">
        <f t="shared" si="6"/>
        <v>229105.87000000005</v>
      </c>
      <c r="AE27" s="153">
        <f>IF(Z27&lt;=_NoEchMaxi,ROUND(AD27*'Données Projet 1'!A36,_NbDeci),0)</f>
        <v>355.11</v>
      </c>
      <c r="AF27" s="152">
        <f>IF(OR(Z27&lt;=_Différé,Z27&gt;_NoEchMaxi),IF(_DiffTotal,-AE27,0),IF(Z27&gt;=_NoEchRemb,AD27,IF('Données Projet 1'!B36-(AE27*_EchFIXE)&gt;AD27-2,AD27,'Données Projet 1'!B36-(AE27*_EchFIXE))))+U27</f>
        <v>413.87</v>
      </c>
      <c r="AG27" s="154">
        <f t="shared" si="7"/>
        <v>19.77</v>
      </c>
      <c r="AH27" s="157">
        <f t="shared" si="1"/>
        <v>788.75</v>
      </c>
      <c r="AI27"/>
      <c r="AJ27" s="3"/>
      <c r="AK27" s="164"/>
      <c r="AL27" s="22"/>
      <c r="AM27" s="21"/>
      <c r="AN27" s="23"/>
      <c r="AO27" s="10"/>
      <c r="AP27" s="5">
        <f t="shared" si="8"/>
        <v>21</v>
      </c>
      <c r="AQ27" s="7">
        <f t="shared" si="9"/>
        <v>160</v>
      </c>
      <c r="AR27" s="8">
        <f t="shared" si="2"/>
        <v>2010</v>
      </c>
      <c r="AS27" s="31">
        <f>IF(AT27=0,"",IF(_Ijour1=0,MIN(DATE(YEAR(_DebAmort1),MONTH(_DebAmort1)+(AP27-1)*_Imois1,__Jou1),DATE(YEAR(_DebAmort1),MONTH(_DebAmort1)+1+(AP27-1)*_Imois1,0)),DATE(YEAR(_DebAmort1),MONTH(_DebAmort1),__Jou1+(AP27-1)*_Ijour1)))</f>
        <v>40422</v>
      </c>
      <c r="AT27" s="156">
        <f t="shared" si="10"/>
        <v>187250</v>
      </c>
      <c r="AU27" s="153">
        <f>IF(AP27&lt;=_NoEchMaxi1,ROUND(AT27*'Données Projet 1'!H36,_NbDeci1),0)</f>
        <v>156.04</v>
      </c>
      <c r="AV27" s="152">
        <f>IF(OR(AP27&lt;=_Différé1,AP27&gt;_NoEchMaxi1),IF(_DiffTotal1,-AU27,0),IF(AP27&gt;=_NoEchRemb1,AT27,IF('Données Projet 1'!I36-(AU27*_EchFIXE1)&gt;AT27-2,AT27,'Données Projet 1'!I36-(AU27*_EchFIXE1))))+AK27</f>
        <v>0</v>
      </c>
      <c r="AW27" s="154">
        <f t="shared" si="11"/>
        <v>15.6</v>
      </c>
      <c r="AX27" s="157">
        <f t="shared" si="3"/>
        <v>171.64</v>
      </c>
    </row>
    <row r="28" spans="1:50" ht="15.75" customHeight="1" x14ac:dyDescent="0.3">
      <c r="A28" s="481" t="s">
        <v>218</v>
      </c>
      <c r="B28" s="286">
        <f>11500*0.9</f>
        <v>10350</v>
      </c>
      <c r="C28" s="484" t="s">
        <v>218</v>
      </c>
      <c r="D28" s="286">
        <f>11500*0.9</f>
        <v>10350</v>
      </c>
      <c r="E28" s="486" t="s">
        <v>219</v>
      </c>
      <c r="F28" s="366" t="e">
        <f>SUM(+'TAM Projet 1'!M93)</f>
        <v>#REF!</v>
      </c>
      <c r="G28" s="411"/>
      <c r="I28" s="520" t="s">
        <v>358</v>
      </c>
      <c r="J28" s="526">
        <f>B29</f>
        <v>18360</v>
      </c>
      <c r="T28" s="3"/>
      <c r="U28" s="164"/>
      <c r="V28" s="22"/>
      <c r="W28" s="21"/>
      <c r="X28" s="23"/>
      <c r="Y28" s="10"/>
      <c r="Z28" s="5">
        <f t="shared" si="4"/>
        <v>22</v>
      </c>
      <c r="AA28" s="7">
        <f t="shared" si="5"/>
        <v>399</v>
      </c>
      <c r="AB28" s="8">
        <f t="shared" si="0"/>
        <v>2010</v>
      </c>
      <c r="AC28" s="31">
        <f>IF(AD28=0,"",IF(_Ijour=0,MIN(DATE(YEAR(_DebAmort),MONTH(_DebAmort)+_MoisD+(Z28-1)*_Imois,_Jour2),DATE(YEAR(_DebAmort),MONTH(_DebAmort)+_MoisD+1+(Z28-1)*_Imois,0)),DATE(YEAR(_DebAmort),MONTH(_DebAmort),_Jour1+(Z28-1)*_Ijour)))</f>
        <v>40452</v>
      </c>
      <c r="AD28" s="156">
        <f t="shared" si="6"/>
        <v>228692.00000000006</v>
      </c>
      <c r="AE28" s="153">
        <f>IF(Z28&lt;=_NoEchMaxi,ROUND(AD28*'Données Projet 1'!A37,_NbDeci),0)</f>
        <v>354.47</v>
      </c>
      <c r="AF28" s="152">
        <f>IF(OR(Z28&lt;=_Différé,Z28&gt;_NoEchMaxi),IF(_DiffTotal,-AE28,0),IF(Z28&gt;=_NoEchRemb,AD28,IF('Données Projet 1'!B37-(AE28*_EchFIXE)&gt;AD28-2,AD28,'Données Projet 1'!B37-(AE28*_EchFIXE))))+U28</f>
        <v>414.51</v>
      </c>
      <c r="AG28" s="154">
        <f t="shared" si="7"/>
        <v>19.77</v>
      </c>
      <c r="AH28" s="157">
        <f t="shared" si="1"/>
        <v>788.75</v>
      </c>
      <c r="AI28"/>
      <c r="AJ28" s="3"/>
      <c r="AK28" s="164"/>
      <c r="AL28" s="22"/>
      <c r="AM28" s="21"/>
      <c r="AN28" s="23"/>
      <c r="AO28" s="10"/>
      <c r="AP28" s="5">
        <f t="shared" si="8"/>
        <v>22</v>
      </c>
      <c r="AQ28" s="7">
        <f t="shared" si="9"/>
        <v>159</v>
      </c>
      <c r="AR28" s="8">
        <f t="shared" si="2"/>
        <v>2010</v>
      </c>
      <c r="AS28" s="31">
        <f>IF(AT28=0,"",IF(_Ijour1=0,MIN(DATE(YEAR(_DebAmort1),MONTH(_DebAmort1)+_MoisD1+(AP28-1)*_Imois1,__Jou2),DATE(YEAR(_DebAmort1),MONTH(_DebAmort1)+_MoisD1+1+(AP28-1)*_Imois1,0)),DATE(YEAR(_DebAmort1),MONTH(_DebAmort1),__Jou1+(AP28-1)*_Ijour1)))</f>
        <v>40452</v>
      </c>
      <c r="AT28" s="156">
        <f t="shared" si="10"/>
        <v>187250</v>
      </c>
      <c r="AU28" s="153">
        <f>IF(AP28&lt;=_NoEchMaxi1,ROUND(AT28*'Données Projet 1'!H37,_NbDeci1),0)</f>
        <v>156.04</v>
      </c>
      <c r="AV28" s="152">
        <f>IF(OR(AP28&lt;=_Différé1,AP28&gt;_NoEchMaxi1),IF(_DiffTotal1,-AU28,0),IF(AP28&gt;=_NoEchRemb1,AT28,IF('Données Projet 1'!I37-(AU28*_EchFIXE1)&gt;AT28-2,AT28,'Données Projet 1'!I37-(AU28*_EchFIXE1))))+AK28</f>
        <v>0</v>
      </c>
      <c r="AW28" s="154">
        <f t="shared" si="11"/>
        <v>15.6</v>
      </c>
      <c r="AX28" s="157">
        <f t="shared" si="3"/>
        <v>171.64</v>
      </c>
    </row>
    <row r="29" spans="1:50" ht="15.75" customHeight="1" x14ac:dyDescent="0.3">
      <c r="A29" s="481" t="s">
        <v>221</v>
      </c>
      <c r="B29" s="286">
        <f>H15</f>
        <v>18360</v>
      </c>
      <c r="C29" s="484" t="s">
        <v>221</v>
      </c>
      <c r="D29" s="286">
        <f>'TAM Projet 1'!H15</f>
        <v>18360</v>
      </c>
      <c r="E29" s="485"/>
      <c r="F29" s="367"/>
      <c r="G29" s="411"/>
      <c r="I29" s="481" t="s">
        <v>223</v>
      </c>
      <c r="J29" s="527">
        <f>B30</f>
        <v>4808.41</v>
      </c>
      <c r="T29" s="3"/>
      <c r="U29" s="164"/>
      <c r="V29" s="22"/>
      <c r="W29" s="21"/>
      <c r="X29" s="23"/>
      <c r="Y29" s="10"/>
      <c r="Z29" s="5">
        <f t="shared" si="4"/>
        <v>23</v>
      </c>
      <c r="AA29" s="7">
        <f t="shared" si="5"/>
        <v>398</v>
      </c>
      <c r="AB29" s="8">
        <f t="shared" si="0"/>
        <v>2010</v>
      </c>
      <c r="AC29" s="31">
        <f>IF(AD29=0,"",IF(_Ijour=0,MIN(DATE(YEAR(_DebAmort),MONTH(_DebAmort)+(Z29-1)*_Imois,_Jour1),DATE(YEAR(_DebAmort),MONTH(_DebAmort)+1+(Z29-1)*_Imois,0)),DATE(YEAR(_DebAmort),MONTH(_DebAmort),_Jour1+(Z29-1)*_Ijour)))</f>
        <v>40483</v>
      </c>
      <c r="AD29" s="156">
        <f t="shared" si="6"/>
        <v>228277.49000000005</v>
      </c>
      <c r="AE29" s="153">
        <f>IF(Z29&lt;=_NoEchMaxi,ROUND(AD29*'Données Projet 1'!A38,_NbDeci),0)</f>
        <v>353.83</v>
      </c>
      <c r="AF29" s="152">
        <f>IF(OR(Z29&lt;=_Différé,Z29&gt;_NoEchMaxi),IF(_DiffTotal,-AE29,0),IF(Z29&gt;=_NoEchRemb,AD29,IF('Données Projet 1'!B38-(AE29*_EchFIXE)&gt;AD29-2,AD29,'Données Projet 1'!B38-(AE29*_EchFIXE))))+U29</f>
        <v>415.15000000000003</v>
      </c>
      <c r="AG29" s="154">
        <f t="shared" si="7"/>
        <v>19.77</v>
      </c>
      <c r="AH29" s="157">
        <f t="shared" si="1"/>
        <v>788.75</v>
      </c>
      <c r="AI29"/>
      <c r="AJ29" s="3"/>
      <c r="AK29" s="164"/>
      <c r="AL29" s="22"/>
      <c r="AM29" s="21"/>
      <c r="AN29" s="23"/>
      <c r="AO29" s="10"/>
      <c r="AP29" s="5">
        <f t="shared" si="8"/>
        <v>23</v>
      </c>
      <c r="AQ29" s="7">
        <f t="shared" si="9"/>
        <v>158</v>
      </c>
      <c r="AR29" s="8">
        <f t="shared" si="2"/>
        <v>2010</v>
      </c>
      <c r="AS29" s="31">
        <f>IF(AT29=0,"",IF(_Ijour1=0,MIN(DATE(YEAR(_DebAmort1),MONTH(_DebAmort1)+(AP29-1)*_Imois1,__Jou1),DATE(YEAR(_DebAmort1),MONTH(_DebAmort1)+1+(AP29-1)*_Imois1,0)),DATE(YEAR(_DebAmort1),MONTH(_DebAmort1),__Jou1+(AP29-1)*_Ijour1)))</f>
        <v>40483</v>
      </c>
      <c r="AT29" s="156">
        <f t="shared" si="10"/>
        <v>187250</v>
      </c>
      <c r="AU29" s="153">
        <f>IF(AP29&lt;=_NoEchMaxi1,ROUND(AT29*'Données Projet 1'!H38,_NbDeci1),0)</f>
        <v>156.04</v>
      </c>
      <c r="AV29" s="152">
        <f>IF(OR(AP29&lt;=_Différé1,AP29&gt;_NoEchMaxi1),IF(_DiffTotal1,-AU29,0),IF(AP29&gt;=_NoEchRemb1,AT29,IF('Données Projet 1'!I38-(AU29*_EchFIXE1)&gt;AT29-2,AT29,'Données Projet 1'!I38-(AU29*_EchFIXE1))))+AK29</f>
        <v>0</v>
      </c>
      <c r="AW29" s="154">
        <f t="shared" si="11"/>
        <v>15.6</v>
      </c>
      <c r="AX29" s="157">
        <f t="shared" si="3"/>
        <v>171.64</v>
      </c>
    </row>
    <row r="30" spans="1:50" ht="15.75" customHeight="1" x14ac:dyDescent="0.3">
      <c r="A30" s="481" t="s">
        <v>223</v>
      </c>
      <c r="B30" s="528">
        <f>'TAM Projet 1'!H11-B21</f>
        <v>4808.41</v>
      </c>
      <c r="C30" s="484" t="s">
        <v>223</v>
      </c>
      <c r="D30" s="528">
        <f>'TAM Projet 1'!H11-D21</f>
        <v>7307.52</v>
      </c>
      <c r="E30" s="485" t="s">
        <v>224</v>
      </c>
      <c r="F30" s="368" t="e">
        <f>SUM('TAM Projet 1'!H15-F28)</f>
        <v>#REF!</v>
      </c>
      <c r="G30" s="411"/>
      <c r="I30" s="481" t="s">
        <v>226</v>
      </c>
      <c r="J30" s="527">
        <f>B31+J27</f>
        <v>28658.41</v>
      </c>
      <c r="T30" s="3"/>
      <c r="U30" s="164"/>
      <c r="V30" s="22"/>
      <c r="W30" s="21"/>
      <c r="X30" s="23"/>
      <c r="Y30" s="10"/>
      <c r="Z30" s="5">
        <f t="shared" si="4"/>
        <v>24</v>
      </c>
      <c r="AA30" s="7">
        <f t="shared" si="5"/>
        <v>397</v>
      </c>
      <c r="AB30" s="8">
        <f t="shared" si="0"/>
        <v>2010</v>
      </c>
      <c r="AC30" s="31">
        <f>IF(AD30=0,"",IF(_Ijour=0,MIN(DATE(YEAR(_DebAmort),MONTH(_DebAmort)+_MoisD+(Z30-1)*_Imois,_Jour2),DATE(YEAR(_DebAmort),MONTH(_DebAmort)+_MoisD+1+(Z30-1)*_Imois,0)),DATE(YEAR(_DebAmort),MONTH(_DebAmort),_Jour1+(Z30-1)*_Ijour)))</f>
        <v>40513</v>
      </c>
      <c r="AD30" s="156">
        <f t="shared" si="6"/>
        <v>227862.34000000005</v>
      </c>
      <c r="AE30" s="153">
        <f>IF(Z30&lt;=_NoEchMaxi,ROUND(AD30*'Données Projet 1'!A39,_NbDeci),0)</f>
        <v>353.19</v>
      </c>
      <c r="AF30" s="152">
        <f>IF(OR(Z30&lt;=_Différé,Z30&gt;_NoEchMaxi),IF(_DiffTotal,-AE30,0),IF(Z30&gt;=_NoEchRemb,AD30,IF('Données Projet 1'!B39-(AE30*_EchFIXE)&gt;AD30-2,AD30,'Données Projet 1'!B39-(AE30*_EchFIXE))))+U30</f>
        <v>415.79</v>
      </c>
      <c r="AG30" s="154">
        <f t="shared" si="7"/>
        <v>19.77</v>
      </c>
      <c r="AH30" s="157">
        <f t="shared" si="1"/>
        <v>788.75</v>
      </c>
      <c r="AI30"/>
      <c r="AJ30" s="3"/>
      <c r="AK30" s="164"/>
      <c r="AL30" s="22"/>
      <c r="AM30" s="21"/>
      <c r="AN30" s="23"/>
      <c r="AO30" s="10"/>
      <c r="AP30" s="5">
        <f t="shared" si="8"/>
        <v>24</v>
      </c>
      <c r="AQ30" s="7">
        <f t="shared" si="9"/>
        <v>157</v>
      </c>
      <c r="AR30" s="8">
        <f t="shared" si="2"/>
        <v>2010</v>
      </c>
      <c r="AS30" s="31">
        <f>IF(AT30=0,"",IF(_Ijour1=0,MIN(DATE(YEAR(_DebAmort1),MONTH(_DebAmort1)+_MoisD1+(AP30-1)*_Imois1,__Jou2),DATE(YEAR(_DebAmort1),MONTH(_DebAmort1)+_MoisD1+1+(AP30-1)*_Imois1,0)),DATE(YEAR(_DebAmort1),MONTH(_DebAmort1),__Jou1+(AP30-1)*_Ijour1)))</f>
        <v>40513</v>
      </c>
      <c r="AT30" s="156">
        <f t="shared" si="10"/>
        <v>187250</v>
      </c>
      <c r="AU30" s="153">
        <f>IF(AP30&lt;=_NoEchMaxi1,ROUND(AT30*'Données Projet 1'!H39,_NbDeci1),0)</f>
        <v>156.04</v>
      </c>
      <c r="AV30" s="152">
        <f>IF(OR(AP30&lt;=_Différé1,AP30&gt;_NoEchMaxi1),IF(_DiffTotal1,-AU30,0),IF(AP30&gt;=_NoEchRemb1,AT30,IF('Données Projet 1'!I39-(AU30*_EchFIXE1)&gt;AT30-2,AT30,'Données Projet 1'!I39-(AU30*_EchFIXE1))))+AK30</f>
        <v>0</v>
      </c>
      <c r="AW30" s="154">
        <f t="shared" si="11"/>
        <v>15.6</v>
      </c>
      <c r="AX30" s="157">
        <f t="shared" si="3"/>
        <v>171.64</v>
      </c>
    </row>
    <row r="31" spans="1:50" ht="15.75" customHeight="1" x14ac:dyDescent="0.3">
      <c r="A31" s="481" t="s">
        <v>226</v>
      </c>
      <c r="B31" s="528">
        <f>B28+B30+'TAM Projet 1'!H14</f>
        <v>15158.41</v>
      </c>
      <c r="C31" s="484" t="s">
        <v>226</v>
      </c>
      <c r="D31" s="528">
        <f>D28+D30+'TAM Projet 1'!H14</f>
        <v>17657.52</v>
      </c>
      <c r="E31" s="485"/>
      <c r="F31" s="367"/>
      <c r="I31" s="481" t="s">
        <v>228</v>
      </c>
      <c r="J31" s="526">
        <v>2.5</v>
      </c>
      <c r="T31" s="3"/>
      <c r="U31" s="164"/>
      <c r="V31" s="22"/>
      <c r="W31" s="21"/>
      <c r="X31" s="23"/>
      <c r="Y31" s="10"/>
      <c r="Z31" s="5">
        <f t="shared" si="4"/>
        <v>25</v>
      </c>
      <c r="AA31" s="7">
        <f t="shared" si="5"/>
        <v>396</v>
      </c>
      <c r="AB31" s="8">
        <f t="shared" si="0"/>
        <v>2011</v>
      </c>
      <c r="AC31" s="31">
        <f>IF(AD31=0,"",IF(_Ijour=0,MIN(DATE(YEAR(_DebAmort),MONTH(_DebAmort)+(Z31-1)*_Imois,_Jour1),DATE(YEAR(_DebAmort),MONTH(_DebAmort)+1+(Z31-1)*_Imois,0)),DATE(YEAR(_DebAmort),MONTH(_DebAmort),_Jour1+(Z31-1)*_Ijour)))</f>
        <v>40544</v>
      </c>
      <c r="AD31" s="156">
        <f t="shared" si="6"/>
        <v>227446.55000000005</v>
      </c>
      <c r="AE31" s="153">
        <f>IF(Z31&lt;=_NoEchMaxi,ROUND(AD31*'Données Projet 1'!A40,_NbDeci),0)</f>
        <v>352.54</v>
      </c>
      <c r="AF31" s="152">
        <f>IF(OR(Z31&lt;=_Différé,Z31&gt;_NoEchMaxi),IF(_DiffTotal,-AE31,0),IF(Z31&gt;=_NoEchRemb,AD31,IF('Données Projet 1'!B40-(AE31*_EchFIXE)&gt;AD31-2,AD31,'Données Projet 1'!B40-(AE31*_EchFIXE))))+U31</f>
        <v>416.44</v>
      </c>
      <c r="AG31" s="154">
        <f t="shared" si="7"/>
        <v>19.77</v>
      </c>
      <c r="AH31" s="157">
        <f t="shared" si="1"/>
        <v>788.75</v>
      </c>
      <c r="AI31"/>
      <c r="AJ31" s="3"/>
      <c r="AK31" s="164"/>
      <c r="AL31" s="22"/>
      <c r="AM31" s="21"/>
      <c r="AN31" s="23"/>
      <c r="AO31" s="10"/>
      <c r="AP31" s="5">
        <f t="shared" si="8"/>
        <v>25</v>
      </c>
      <c r="AQ31" s="7">
        <f t="shared" si="9"/>
        <v>156</v>
      </c>
      <c r="AR31" s="8">
        <f t="shared" si="2"/>
        <v>2011</v>
      </c>
      <c r="AS31" s="31">
        <f>IF(AT31=0,"",IF(_Ijour1=0,MIN(DATE(YEAR(_DebAmort1),MONTH(_DebAmort1)+(AP31-1)*_Imois1,__Jou1),DATE(YEAR(_DebAmort1),MONTH(_DebAmort1)+1+(AP31-1)*_Imois1,0)),DATE(YEAR(_DebAmort1),MONTH(_DebAmort1),__Jou1+(AP31-1)*_Ijour1)))</f>
        <v>40544</v>
      </c>
      <c r="AT31" s="156">
        <f t="shared" si="10"/>
        <v>187250</v>
      </c>
      <c r="AU31" s="153">
        <f>IF(AP31&lt;=_NoEchMaxi1,ROUND(AT31*'Données Projet 1'!H40,_NbDeci1),0)</f>
        <v>156.04</v>
      </c>
      <c r="AV31" s="152">
        <f>IF(OR(AP31&lt;=_Différé1,AP31&gt;_NoEchMaxi1),IF(_DiffTotal1,-AU31,0),IF(AP31&gt;=_NoEchRemb1,AT31,IF('Données Projet 1'!I40-(AU31*_EchFIXE1)&gt;AT31-2,AT31,'Données Projet 1'!I40-(AU31*_EchFIXE1))))+AK31</f>
        <v>0</v>
      </c>
      <c r="AW31" s="154">
        <f t="shared" si="11"/>
        <v>15.6</v>
      </c>
      <c r="AX31" s="157">
        <f t="shared" si="3"/>
        <v>171.64</v>
      </c>
    </row>
    <row r="32" spans="1:50" ht="15.75" customHeight="1" x14ac:dyDescent="0.3">
      <c r="A32" s="481" t="s">
        <v>228</v>
      </c>
      <c r="B32" s="286">
        <f>S4</f>
        <v>1.5</v>
      </c>
      <c r="C32" s="484" t="s">
        <v>228</v>
      </c>
      <c r="D32" s="286">
        <v>1.5</v>
      </c>
      <c r="E32" s="486" t="s">
        <v>229</v>
      </c>
      <c r="F32" s="366" t="e">
        <f>SUM(+F30)</f>
        <v>#REF!</v>
      </c>
      <c r="G32" s="411"/>
      <c r="I32" s="481" t="s">
        <v>231</v>
      </c>
      <c r="J32" s="527">
        <f>J30/J31</f>
        <v>11463.364</v>
      </c>
      <c r="T32" s="3"/>
      <c r="U32" s="164"/>
      <c r="V32" s="22"/>
      <c r="W32" s="21"/>
      <c r="X32" s="23"/>
      <c r="Y32" s="10"/>
      <c r="Z32" s="5">
        <f t="shared" si="4"/>
        <v>26</v>
      </c>
      <c r="AA32" s="7">
        <f t="shared" si="5"/>
        <v>395</v>
      </c>
      <c r="AB32" s="8">
        <f t="shared" si="0"/>
        <v>2011</v>
      </c>
      <c r="AC32" s="31">
        <f>IF(AD32=0,"",IF(_Ijour=0,MIN(DATE(YEAR(_DebAmort),MONTH(_DebAmort)+_MoisD+(Z32-1)*_Imois,_Jour2),DATE(YEAR(_DebAmort),MONTH(_DebAmort)+_MoisD+1+(Z32-1)*_Imois,0)),DATE(YEAR(_DebAmort),MONTH(_DebAmort),_Jour1+(Z32-1)*_Ijour)))</f>
        <v>40575</v>
      </c>
      <c r="AD32" s="156">
        <f t="shared" si="6"/>
        <v>227030.11000000004</v>
      </c>
      <c r="AE32" s="153">
        <f>IF(Z32&lt;=_NoEchMaxi,ROUND(AD32*'Données Projet 1'!A41,_NbDeci),0)</f>
        <v>351.9</v>
      </c>
      <c r="AF32" s="152">
        <f>IF(OR(Z32&lt;=_Différé,Z32&gt;_NoEchMaxi),IF(_DiffTotal,-AE32,0),IF(Z32&gt;=_NoEchRemb,AD32,IF('Données Projet 1'!B41-(AE32*_EchFIXE)&gt;AD32-2,AD32,'Données Projet 1'!B41-(AE32*_EchFIXE))))+U32</f>
        <v>417.08000000000004</v>
      </c>
      <c r="AG32" s="154">
        <f t="shared" si="7"/>
        <v>19.77</v>
      </c>
      <c r="AH32" s="157">
        <f t="shared" si="1"/>
        <v>788.75</v>
      </c>
      <c r="AI32"/>
      <c r="AJ32" s="3"/>
      <c r="AK32" s="164"/>
      <c r="AL32" s="22"/>
      <c r="AM32" s="21"/>
      <c r="AN32" s="23"/>
      <c r="AO32" s="10"/>
      <c r="AP32" s="5">
        <f t="shared" si="8"/>
        <v>26</v>
      </c>
      <c r="AQ32" s="7">
        <f t="shared" si="9"/>
        <v>155</v>
      </c>
      <c r="AR32" s="8">
        <f t="shared" si="2"/>
        <v>2011</v>
      </c>
      <c r="AS32" s="31">
        <f>IF(AT32=0,"",IF(_Ijour1=0,MIN(DATE(YEAR(_DebAmort1),MONTH(_DebAmort1)+_MoisD1+(AP32-1)*_Imois1,__Jou2),DATE(YEAR(_DebAmort1),MONTH(_DebAmort1)+_MoisD1+1+(AP32-1)*_Imois1,0)),DATE(YEAR(_DebAmort1),MONTH(_DebAmort1),__Jou1+(AP32-1)*_Ijour1)))</f>
        <v>40575</v>
      </c>
      <c r="AT32" s="156">
        <f t="shared" si="10"/>
        <v>187250</v>
      </c>
      <c r="AU32" s="153">
        <f>IF(AP32&lt;=_NoEchMaxi1,ROUND(AT32*'Données Projet 1'!H41,_NbDeci1),0)</f>
        <v>156.04</v>
      </c>
      <c r="AV32" s="152">
        <f>IF(OR(AP32&lt;=_Différé1,AP32&gt;_NoEchMaxi1),IF(_DiffTotal1,-AU32,0),IF(AP32&gt;=_NoEchRemb1,AT32,IF('Données Projet 1'!I41-(AU32*_EchFIXE1)&gt;AT32-2,AT32,'Données Projet 1'!I41-(AU32*_EchFIXE1))))+AK32</f>
        <v>0</v>
      </c>
      <c r="AW32" s="154">
        <f t="shared" si="11"/>
        <v>15.6</v>
      </c>
      <c r="AX32" s="157">
        <f t="shared" si="3"/>
        <v>171.64</v>
      </c>
    </row>
    <row r="33" spans="1:50" ht="15.75" customHeight="1" x14ac:dyDescent="0.3">
      <c r="A33" s="481" t="s">
        <v>231</v>
      </c>
      <c r="B33" s="286">
        <f>B31/B32</f>
        <v>10105.606666666667</v>
      </c>
      <c r="C33" s="484" t="s">
        <v>231</v>
      </c>
      <c r="D33" s="286">
        <f>D31/D32</f>
        <v>11771.68</v>
      </c>
      <c r="E33" s="486" t="s">
        <v>232</v>
      </c>
      <c r="F33" s="366" t="e">
        <f>SUM(F32*0.4)</f>
        <v>#REF!</v>
      </c>
      <c r="T33" s="3"/>
      <c r="U33" s="164"/>
      <c r="V33" s="22"/>
      <c r="W33" s="21"/>
      <c r="X33" s="23"/>
      <c r="Y33" s="10"/>
      <c r="Z33" s="5">
        <f t="shared" si="4"/>
        <v>27</v>
      </c>
      <c r="AA33" s="7">
        <f t="shared" si="5"/>
        <v>394</v>
      </c>
      <c r="AB33" s="8">
        <f t="shared" si="0"/>
        <v>2011</v>
      </c>
      <c r="AC33" s="31">
        <f>IF(AD33=0,"",IF(_Ijour=0,MIN(DATE(YEAR(_DebAmort),MONTH(_DebAmort)+(Z33-1)*_Imois,_Jour1),DATE(YEAR(_DebAmort),MONTH(_DebAmort)+1+(Z33-1)*_Imois,0)),DATE(YEAR(_DebAmort),MONTH(_DebAmort),_Jour1+(Z33-1)*_Ijour)))</f>
        <v>40603</v>
      </c>
      <c r="AD33" s="156">
        <f t="shared" si="6"/>
        <v>226613.03000000006</v>
      </c>
      <c r="AE33" s="153">
        <f>IF(Z33&lt;=_NoEchMaxi,ROUND(AD33*'Données Projet 1'!A42,_NbDeci),0)</f>
        <v>351.25</v>
      </c>
      <c r="AF33" s="152">
        <f>IF(OR(Z33&lt;=_Différé,Z33&gt;_NoEchMaxi),IF(_DiffTotal,-AE33,0),IF(Z33&gt;=_NoEchRemb,AD33,IF('Données Projet 1'!B42-(AE33*_EchFIXE)&gt;AD33-2,AD33,'Données Projet 1'!B42-(AE33*_EchFIXE))))+U33</f>
        <v>417.73</v>
      </c>
      <c r="AG33" s="154">
        <f t="shared" si="7"/>
        <v>19.77</v>
      </c>
      <c r="AH33" s="157">
        <f t="shared" si="1"/>
        <v>788.75</v>
      </c>
      <c r="AI33"/>
      <c r="AJ33" s="3"/>
      <c r="AK33" s="164"/>
      <c r="AL33" s="22"/>
      <c r="AM33" s="21"/>
      <c r="AN33" s="23"/>
      <c r="AO33" s="10"/>
      <c r="AP33" s="5">
        <f t="shared" si="8"/>
        <v>27</v>
      </c>
      <c r="AQ33" s="7">
        <f t="shared" si="9"/>
        <v>154</v>
      </c>
      <c r="AR33" s="8">
        <f t="shared" si="2"/>
        <v>2011</v>
      </c>
      <c r="AS33" s="31">
        <f>IF(AT33=0,"",IF(_Ijour1=0,MIN(DATE(YEAR(_DebAmort1),MONTH(_DebAmort1)+(AP33-1)*_Imois1,__Jou1),DATE(YEAR(_DebAmort1),MONTH(_DebAmort1)+1+(AP33-1)*_Imois1,0)),DATE(YEAR(_DebAmort1),MONTH(_DebAmort1),__Jou1+(AP33-1)*_Ijour1)))</f>
        <v>40603</v>
      </c>
      <c r="AT33" s="156">
        <f t="shared" si="10"/>
        <v>187250</v>
      </c>
      <c r="AU33" s="153">
        <f>IF(AP33&lt;=_NoEchMaxi1,ROUND(AT33*'Données Projet 1'!H42,_NbDeci1),0)</f>
        <v>156.04</v>
      </c>
      <c r="AV33" s="152">
        <f>IF(OR(AP33&lt;=_Différé1,AP33&gt;_NoEchMaxi1),IF(_DiffTotal1,-AU33,0),IF(AP33&gt;=_NoEchRemb1,AT33,IF('Données Projet 1'!I42-(AU33*_EchFIXE1)&gt;AT33-2,AT33,'Données Projet 1'!I42-(AU33*_EchFIXE1))))+AK33</f>
        <v>0</v>
      </c>
      <c r="AW33" s="154">
        <f t="shared" si="11"/>
        <v>15.6</v>
      </c>
      <c r="AX33" s="157">
        <f t="shared" si="3"/>
        <v>171.64</v>
      </c>
    </row>
    <row r="34" spans="1:50" ht="15.75" customHeight="1" x14ac:dyDescent="0.3">
      <c r="A34" s="481" t="s">
        <v>234</v>
      </c>
      <c r="B34" s="297">
        <f>SUM('TAM Projet 1'!M59+'TAM Projet 1'!M60+'TAM Projet 1'!M61)*'TAM Projet 1'!S4</f>
        <v>62.707399999999986</v>
      </c>
      <c r="C34" s="484" t="s">
        <v>234</v>
      </c>
      <c r="D34" s="297">
        <f>SUM('TAM Projet 1'!M74:M77)*'TAM Projet 1'!S4</f>
        <v>412.58280000000013</v>
      </c>
      <c r="E34" s="484" t="s">
        <v>235</v>
      </c>
      <c r="F34" s="366" t="e">
        <f>SUM(F32-F33)</f>
        <v>#REF!</v>
      </c>
      <c r="I34" s="520" t="s">
        <v>354</v>
      </c>
      <c r="J34" s="518">
        <f>M111*J31</f>
        <v>579.72739999999988</v>
      </c>
      <c r="T34" s="3"/>
      <c r="U34" s="164"/>
      <c r="V34" s="22"/>
      <c r="W34" s="21"/>
      <c r="X34" s="23"/>
      <c r="Y34" s="10"/>
      <c r="Z34" s="5">
        <f t="shared" si="4"/>
        <v>28</v>
      </c>
      <c r="AA34" s="7">
        <f t="shared" si="5"/>
        <v>393</v>
      </c>
      <c r="AB34" s="8">
        <f t="shared" si="0"/>
        <v>2011</v>
      </c>
      <c r="AC34" s="31">
        <f>IF(AD34=0,"",IF(_Ijour=0,MIN(DATE(YEAR(_DebAmort),MONTH(_DebAmort)+_MoisD+(Z34-1)*_Imois,_Jour2),DATE(YEAR(_DebAmort),MONTH(_DebAmort)+_MoisD+1+(Z34-1)*_Imois,0)),DATE(YEAR(_DebAmort),MONTH(_DebAmort),_Jour1+(Z34-1)*_Ijour)))</f>
        <v>40634</v>
      </c>
      <c r="AD34" s="156">
        <f t="shared" si="6"/>
        <v>226195.30000000005</v>
      </c>
      <c r="AE34" s="153">
        <f>IF(Z34&lt;=_NoEchMaxi,ROUND(AD34*'Données Projet 1'!A43,_NbDeci),0)</f>
        <v>350.6</v>
      </c>
      <c r="AF34" s="152">
        <f>IF(OR(Z34&lt;=_Différé,Z34&gt;_NoEchMaxi),IF(_DiffTotal,-AE34,0),IF(Z34&gt;=_NoEchRemb,AD34,IF('Données Projet 1'!B43-(AE34*_EchFIXE)&gt;AD34-2,AD34,'Données Projet 1'!B43-(AE34*_EchFIXE))))+U34</f>
        <v>418.38</v>
      </c>
      <c r="AG34" s="154">
        <f t="shared" si="7"/>
        <v>19.77</v>
      </c>
      <c r="AH34" s="157">
        <f t="shared" si="1"/>
        <v>788.75</v>
      </c>
      <c r="AI34"/>
      <c r="AJ34" s="3"/>
      <c r="AK34" s="164"/>
      <c r="AL34" s="22"/>
      <c r="AM34" s="21"/>
      <c r="AN34" s="23"/>
      <c r="AO34" s="10"/>
      <c r="AP34" s="5">
        <f t="shared" si="8"/>
        <v>28</v>
      </c>
      <c r="AQ34" s="7">
        <f t="shared" si="9"/>
        <v>153</v>
      </c>
      <c r="AR34" s="8">
        <f t="shared" si="2"/>
        <v>2011</v>
      </c>
      <c r="AS34" s="31">
        <f>IF(AT34=0,"",IF(_Ijour1=0,MIN(DATE(YEAR(_DebAmort1),MONTH(_DebAmort1)+_MoisD1+(AP34-1)*_Imois1,__Jou2),DATE(YEAR(_DebAmort1),MONTH(_DebAmort1)+_MoisD1+1+(AP34-1)*_Imois1,0)),DATE(YEAR(_DebAmort1),MONTH(_DebAmort1),__Jou1+(AP34-1)*_Ijour1)))</f>
        <v>40634</v>
      </c>
      <c r="AT34" s="156">
        <f t="shared" si="10"/>
        <v>187250</v>
      </c>
      <c r="AU34" s="153">
        <f>IF(AP34&lt;=_NoEchMaxi1,ROUND(AT34*'Données Projet 1'!H43,_NbDeci1),0)</f>
        <v>156.04</v>
      </c>
      <c r="AV34" s="152">
        <f>IF(OR(AP34&lt;=_Différé1,AP34&gt;_NoEchMaxi1),IF(_DiffTotal1,-AU34,0),IF(AP34&gt;=_NoEchRemb1,AT34,IF('Données Projet 1'!I43-(AU34*_EchFIXE1)&gt;AT34-2,AT34,'Données Projet 1'!I43-(AU34*_EchFIXE1))))+AK34</f>
        <v>0</v>
      </c>
      <c r="AW34" s="154">
        <f t="shared" si="11"/>
        <v>15.6</v>
      </c>
      <c r="AX34" s="157">
        <f t="shared" si="3"/>
        <v>171.64</v>
      </c>
    </row>
    <row r="35" spans="1:50" ht="15.75" customHeight="1" x14ac:dyDescent="0.3">
      <c r="A35" s="482" t="s">
        <v>350</v>
      </c>
      <c r="B35" s="369" t="b">
        <f>IF(B34&lt;B40,B40)</f>
        <v>0</v>
      </c>
      <c r="C35" s="485"/>
      <c r="D35" s="369"/>
      <c r="E35" s="484" t="s">
        <v>237</v>
      </c>
      <c r="F35" s="366" t="e">
        <f>SUM('TAM Projet 1'!M98+'TAM Projet 1'!M99+'TAM Projet 1'!M100)</f>
        <v>#REF!</v>
      </c>
      <c r="I35" s="520" t="s">
        <v>355</v>
      </c>
      <c r="J35" s="519" t="b">
        <f>IF(J34&lt;K40,K40)</f>
        <v>0</v>
      </c>
      <c r="T35" s="3"/>
      <c r="U35" s="164"/>
      <c r="V35" s="22"/>
      <c r="W35" s="21"/>
      <c r="X35" s="23"/>
      <c r="Y35" s="10"/>
      <c r="Z35" s="5">
        <f t="shared" si="4"/>
        <v>29</v>
      </c>
      <c r="AA35" s="7">
        <f t="shared" si="5"/>
        <v>392</v>
      </c>
      <c r="AB35" s="8">
        <f t="shared" si="0"/>
        <v>2011</v>
      </c>
      <c r="AC35" s="31">
        <f>IF(AD35=0,"",IF(_Ijour=0,MIN(DATE(YEAR(_DebAmort),MONTH(_DebAmort)+(Z35-1)*_Imois,_Jour1),DATE(YEAR(_DebAmort),MONTH(_DebAmort)+1+(Z35-1)*_Imois,0)),DATE(YEAR(_DebAmort),MONTH(_DebAmort),_Jour1+(Z35-1)*_Ijour)))</f>
        <v>40664</v>
      </c>
      <c r="AD35" s="156">
        <f t="shared" si="6"/>
        <v>225776.92000000004</v>
      </c>
      <c r="AE35" s="153">
        <f>IF(Z35&lt;=_NoEchMaxi,ROUND(AD35*'Données Projet 1'!A44,_NbDeci),0)</f>
        <v>349.95</v>
      </c>
      <c r="AF35" s="152">
        <f>IF(OR(Z35&lt;=_Différé,Z35&gt;_NoEchMaxi),IF(_DiffTotal,-AE35,0),IF(Z35&gt;=_NoEchRemb,AD35,IF('Données Projet 1'!B44-(AE35*_EchFIXE)&gt;AD35-2,AD35,'Données Projet 1'!B44-(AE35*_EchFIXE))))+U35</f>
        <v>419.03000000000003</v>
      </c>
      <c r="AG35" s="154">
        <f t="shared" si="7"/>
        <v>19.77</v>
      </c>
      <c r="AH35" s="157">
        <f t="shared" si="1"/>
        <v>788.75</v>
      </c>
      <c r="AI35"/>
      <c r="AJ35" s="3"/>
      <c r="AK35" s="164"/>
      <c r="AL35" s="22"/>
      <c r="AM35" s="21"/>
      <c r="AN35" s="23"/>
      <c r="AO35" s="10"/>
      <c r="AP35" s="5">
        <f t="shared" si="8"/>
        <v>29</v>
      </c>
      <c r="AQ35" s="7">
        <f t="shared" si="9"/>
        <v>152</v>
      </c>
      <c r="AR35" s="8">
        <f t="shared" si="2"/>
        <v>2011</v>
      </c>
      <c r="AS35" s="31">
        <f>IF(AT35=0,"",IF(_Ijour1=0,MIN(DATE(YEAR(_DebAmort1),MONTH(_DebAmort1)+(AP35-1)*_Imois1,__Jou1),DATE(YEAR(_DebAmort1),MONTH(_DebAmort1)+1+(AP35-1)*_Imois1,0)),DATE(YEAR(_DebAmort1),MONTH(_DebAmort1),__Jou1+(AP35-1)*_Ijour1)))</f>
        <v>40664</v>
      </c>
      <c r="AT35" s="156">
        <f t="shared" si="10"/>
        <v>187250</v>
      </c>
      <c r="AU35" s="153">
        <f>IF(AP35&lt;=_NoEchMaxi1,ROUND(AT35*'Données Projet 1'!H44,_NbDeci1),0)</f>
        <v>156.04</v>
      </c>
      <c r="AV35" s="152">
        <f>IF(OR(AP35&lt;=_Différé1,AP35&gt;_NoEchMaxi1),IF(_DiffTotal1,-AU35,0),IF(AP35&gt;=_NoEchRemb1,AT35,IF('Données Projet 1'!I44-(AU35*_EchFIXE1)&gt;AT35-2,AT35,'Données Projet 1'!I44-(AU35*_EchFIXE1))))+AK35</f>
        <v>0</v>
      </c>
      <c r="AW35" s="154">
        <f t="shared" si="11"/>
        <v>15.6</v>
      </c>
      <c r="AX35" s="157">
        <f t="shared" si="3"/>
        <v>171.64</v>
      </c>
    </row>
    <row r="36" spans="1:50" ht="15.75" customHeight="1" x14ac:dyDescent="0.3">
      <c r="A36" s="551" t="s">
        <v>239</v>
      </c>
      <c r="B36" s="552"/>
      <c r="C36" s="547" t="s">
        <v>239</v>
      </c>
      <c r="D36" s="548"/>
      <c r="E36" s="486" t="s">
        <v>240</v>
      </c>
      <c r="F36" s="366" t="e">
        <f>SUM(F34*15.5%)</f>
        <v>#REF!</v>
      </c>
      <c r="I36" s="550" t="s">
        <v>239</v>
      </c>
      <c r="J36" s="550"/>
      <c r="T36" s="3"/>
      <c r="U36" s="164"/>
      <c r="V36" s="22"/>
      <c r="W36" s="21"/>
      <c r="X36" s="23"/>
      <c r="Y36" s="10"/>
      <c r="Z36" s="5">
        <f t="shared" si="4"/>
        <v>30</v>
      </c>
      <c r="AA36" s="7">
        <f t="shared" si="5"/>
        <v>391</v>
      </c>
      <c r="AB36" s="8">
        <f t="shared" si="0"/>
        <v>2011</v>
      </c>
      <c r="AC36" s="31">
        <f>IF(AD36=0,"",IF(_Ijour=0,MIN(DATE(YEAR(_DebAmort),MONTH(_DebAmort)+_MoisD+(Z36-1)*_Imois,_Jour2),DATE(YEAR(_DebAmort),MONTH(_DebAmort)+_MoisD+1+(Z36-1)*_Imois,0)),DATE(YEAR(_DebAmort),MONTH(_DebAmort),_Jour1+(Z36-1)*_Ijour)))</f>
        <v>40695</v>
      </c>
      <c r="AD36" s="156">
        <f t="shared" si="6"/>
        <v>225357.89000000004</v>
      </c>
      <c r="AE36" s="153">
        <f>IF(Z36&lt;=_NoEchMaxi,ROUND(AD36*'Données Projet 1'!A45,_NbDeci),0)</f>
        <v>349.3</v>
      </c>
      <c r="AF36" s="152">
        <f>IF(OR(Z36&lt;=_Différé,Z36&gt;_NoEchMaxi),IF(_DiffTotal,-AE36,0),IF(Z36&gt;=_NoEchRemb,AD36,IF('Données Projet 1'!B45-(AE36*_EchFIXE)&gt;AD36-2,AD36,'Données Projet 1'!B45-(AE36*_EchFIXE))))+U36</f>
        <v>419.68</v>
      </c>
      <c r="AG36" s="154">
        <f t="shared" si="7"/>
        <v>19.77</v>
      </c>
      <c r="AH36" s="157">
        <f t="shared" si="1"/>
        <v>788.75</v>
      </c>
      <c r="AI36"/>
      <c r="AJ36" s="3"/>
      <c r="AK36" s="164"/>
      <c r="AL36" s="22"/>
      <c r="AM36" s="21"/>
      <c r="AN36" s="23"/>
      <c r="AO36" s="10"/>
      <c r="AP36" s="5">
        <f t="shared" si="8"/>
        <v>30</v>
      </c>
      <c r="AQ36" s="7">
        <f t="shared" si="9"/>
        <v>151</v>
      </c>
      <c r="AR36" s="8">
        <f t="shared" si="2"/>
        <v>2011</v>
      </c>
      <c r="AS36" s="31">
        <f>IF(AT36=0,"",IF(_Ijour1=0,MIN(DATE(YEAR(_DebAmort1),MONTH(_DebAmort1)+_MoisD1+(AP36-1)*_Imois1,__Jou2),DATE(YEAR(_DebAmort1),MONTH(_DebAmort1)+_MoisD1+1+(AP36-1)*_Imois1,0)),DATE(YEAR(_DebAmort1),MONTH(_DebAmort1),__Jou1+(AP36-1)*_Ijour1)))</f>
        <v>40695</v>
      </c>
      <c r="AT36" s="156">
        <f t="shared" si="10"/>
        <v>187250</v>
      </c>
      <c r="AU36" s="153">
        <f>IF(AP36&lt;=_NoEchMaxi1,ROUND(AT36*'Données Projet 1'!H45,_NbDeci1),0)</f>
        <v>156.04</v>
      </c>
      <c r="AV36" s="152">
        <f>IF(OR(AP36&lt;=_Différé1,AP36&gt;_NoEchMaxi1),IF(_DiffTotal1,-AU36,0),IF(AP36&gt;=_NoEchRemb1,AT36,IF('Données Projet 1'!I45-(AU36*_EchFIXE1)&gt;AT36-2,AT36,'Données Projet 1'!I45-(AU36*_EchFIXE1))))+AK36</f>
        <v>0</v>
      </c>
      <c r="AW36" s="154">
        <f t="shared" si="11"/>
        <v>15.6</v>
      </c>
      <c r="AX36" s="157">
        <f t="shared" si="3"/>
        <v>171.64</v>
      </c>
    </row>
    <row r="37" spans="1:50" ht="15.75" customHeight="1" x14ac:dyDescent="0.3">
      <c r="A37" s="483" t="s">
        <v>242</v>
      </c>
      <c r="B37" s="529">
        <v>1</v>
      </c>
      <c r="C37" s="489" t="s">
        <v>242</v>
      </c>
      <c r="D37" s="529">
        <v>1</v>
      </c>
      <c r="E37" s="485"/>
      <c r="F37" s="367"/>
      <c r="I37" s="483" t="s">
        <v>242</v>
      </c>
      <c r="J37" s="523">
        <v>1</v>
      </c>
      <c r="T37" s="3"/>
      <c r="U37" s="164"/>
      <c r="V37" s="22"/>
      <c r="W37" s="21"/>
      <c r="X37" s="23"/>
      <c r="Y37" s="10"/>
      <c r="Z37" s="5">
        <f t="shared" si="4"/>
        <v>31</v>
      </c>
      <c r="AA37" s="7">
        <f t="shared" si="5"/>
        <v>390</v>
      </c>
      <c r="AB37" s="8">
        <f t="shared" si="0"/>
        <v>2011</v>
      </c>
      <c r="AC37" s="31">
        <f>IF(AD37=0,"",IF(_Ijour=0,MIN(DATE(YEAR(_DebAmort),MONTH(_DebAmort)+(Z37-1)*_Imois,_Jour1),DATE(YEAR(_DebAmort),MONTH(_DebAmort)+1+(Z37-1)*_Imois,0)),DATE(YEAR(_DebAmort),MONTH(_DebAmort),_Jour1+(Z37-1)*_Ijour)))</f>
        <v>40725</v>
      </c>
      <c r="AD37" s="156">
        <f t="shared" si="6"/>
        <v>224938.21000000005</v>
      </c>
      <c r="AE37" s="153">
        <f>IF(Z37&lt;=_NoEchMaxi,ROUND(AD37*'Données Projet 1'!A46,_NbDeci),0)</f>
        <v>348.65</v>
      </c>
      <c r="AF37" s="152">
        <f>IF(OR(Z37&lt;=_Différé,Z37&gt;_NoEchMaxi),IF(_DiffTotal,-AE37,0),IF(Z37&gt;=_NoEchRemb,AD37,IF('Données Projet 1'!B46-(AE37*_EchFIXE)&gt;AD37-2,AD37,'Données Projet 1'!B46-(AE37*_EchFIXE))))+U37</f>
        <v>420.33000000000004</v>
      </c>
      <c r="AG37" s="154">
        <f t="shared" si="7"/>
        <v>19.77</v>
      </c>
      <c r="AH37" s="157">
        <f t="shared" si="1"/>
        <v>788.75</v>
      </c>
      <c r="AI37"/>
      <c r="AJ37" s="3"/>
      <c r="AK37" s="164"/>
      <c r="AL37" s="22"/>
      <c r="AM37" s="21"/>
      <c r="AN37" s="23"/>
      <c r="AO37" s="10"/>
      <c r="AP37" s="5">
        <f t="shared" si="8"/>
        <v>31</v>
      </c>
      <c r="AQ37" s="7">
        <f t="shared" si="9"/>
        <v>150</v>
      </c>
      <c r="AR37" s="8">
        <f t="shared" si="2"/>
        <v>2011</v>
      </c>
      <c r="AS37" s="31">
        <f>IF(AT37=0,"",IF(_Ijour1=0,MIN(DATE(YEAR(_DebAmort1),MONTH(_DebAmort1)+(AP37-1)*_Imois1,__Jou1),DATE(YEAR(_DebAmort1),MONTH(_DebAmort1)+1+(AP37-1)*_Imois1,0)),DATE(YEAR(_DebAmort1),MONTH(_DebAmort1),__Jou1+(AP37-1)*_Ijour1)))</f>
        <v>40725</v>
      </c>
      <c r="AT37" s="156">
        <f t="shared" si="10"/>
        <v>187250</v>
      </c>
      <c r="AU37" s="153">
        <f>IF(AP37&lt;=_NoEchMaxi1,ROUND(AT37*'Données Projet 1'!H46,_NbDeci1),0)</f>
        <v>156.04</v>
      </c>
      <c r="AV37" s="152">
        <f>IF(OR(AP37&lt;=_Différé1,AP37&gt;_NoEchMaxi1),IF(_DiffTotal1,-AU37,0),IF(AP37&gt;=_NoEchRemb1,AT37,IF('Données Projet 1'!I46-(AU37*_EchFIXE1)&gt;AT37-2,AT37,'Données Projet 1'!I46-(AU37*_EchFIXE1))))+AK37</f>
        <v>0</v>
      </c>
      <c r="AW37" s="154">
        <f t="shared" si="11"/>
        <v>15.6</v>
      </c>
      <c r="AX37" s="157">
        <f t="shared" si="3"/>
        <v>171.64</v>
      </c>
    </row>
    <row r="38" spans="1:50" ht="15.75" customHeight="1" x14ac:dyDescent="0.3">
      <c r="A38" s="483" t="s">
        <v>244</v>
      </c>
      <c r="B38" s="529">
        <f>B37*'TAM Projet 1'!S6</f>
        <v>1512</v>
      </c>
      <c r="C38" s="489" t="s">
        <v>244</v>
      </c>
      <c r="D38" s="529">
        <f>D37*'TAM Projet 1'!S6</f>
        <v>1512</v>
      </c>
      <c r="E38" s="486" t="s">
        <v>245</v>
      </c>
      <c r="F38" s="495" t="e">
        <f>SUM(F35+F36)</f>
        <v>#REF!</v>
      </c>
      <c r="I38" s="483" t="s">
        <v>244</v>
      </c>
      <c r="J38" s="523">
        <v>1512</v>
      </c>
      <c r="T38" s="3"/>
      <c r="U38" s="164"/>
      <c r="V38" s="22"/>
      <c r="W38" s="21"/>
      <c r="X38" s="23"/>
      <c r="Y38" s="10"/>
      <c r="Z38" s="5">
        <f t="shared" si="4"/>
        <v>32</v>
      </c>
      <c r="AA38" s="7">
        <f t="shared" si="5"/>
        <v>389</v>
      </c>
      <c r="AB38" s="8">
        <f t="shared" si="0"/>
        <v>2011</v>
      </c>
      <c r="AC38" s="31">
        <f>IF(AD38=0,"",IF(_Ijour=0,MIN(DATE(YEAR(_DebAmort),MONTH(_DebAmort)+_MoisD+(Z38-1)*_Imois,_Jour2),DATE(YEAR(_DebAmort),MONTH(_DebAmort)+_MoisD+1+(Z38-1)*_Imois,0)),DATE(YEAR(_DebAmort),MONTH(_DebAmort),_Jour1+(Z38-1)*_Ijour)))</f>
        <v>40756</v>
      </c>
      <c r="AD38" s="156">
        <f t="shared" si="6"/>
        <v>224517.88000000006</v>
      </c>
      <c r="AE38" s="153">
        <f>IF(Z38&lt;=_NoEchMaxi,ROUND(AD38*'Données Projet 1'!A47,_NbDeci),0)</f>
        <v>348</v>
      </c>
      <c r="AF38" s="152">
        <f>IF(OR(Z38&lt;=_Différé,Z38&gt;_NoEchMaxi),IF(_DiffTotal,-AE38,0),IF(Z38&gt;=_NoEchRemb,AD38,IF('Données Projet 1'!B47-(AE38*_EchFIXE)&gt;AD38-2,AD38,'Données Projet 1'!B47-(AE38*_EchFIXE))))+U38</f>
        <v>420.98</v>
      </c>
      <c r="AG38" s="154">
        <f t="shared" si="7"/>
        <v>19.77</v>
      </c>
      <c r="AH38" s="157">
        <f t="shared" si="1"/>
        <v>788.75</v>
      </c>
      <c r="AI38"/>
      <c r="AJ38" s="3"/>
      <c r="AK38" s="164"/>
      <c r="AL38" s="22"/>
      <c r="AM38" s="21"/>
      <c r="AN38" s="23"/>
      <c r="AO38" s="10"/>
      <c r="AP38" s="5">
        <f t="shared" si="8"/>
        <v>32</v>
      </c>
      <c r="AQ38" s="7">
        <f t="shared" si="9"/>
        <v>149</v>
      </c>
      <c r="AR38" s="8">
        <f t="shared" si="2"/>
        <v>2011</v>
      </c>
      <c r="AS38" s="31">
        <f>IF(AT38=0,"",IF(_Ijour1=0,MIN(DATE(YEAR(_DebAmort1),MONTH(_DebAmort1)+_MoisD1+(AP38-1)*_Imois1,__Jou2),DATE(YEAR(_DebAmort1),MONTH(_DebAmort1)+_MoisD1+1+(AP38-1)*_Imois1,0)),DATE(YEAR(_DebAmort1),MONTH(_DebAmort1),__Jou1+(AP38-1)*_Ijour1)))</f>
        <v>40756</v>
      </c>
      <c r="AT38" s="156">
        <f t="shared" si="10"/>
        <v>187250</v>
      </c>
      <c r="AU38" s="153">
        <f>IF(AP38&lt;=_NoEchMaxi1,ROUND(AT38*'Données Projet 1'!H47,_NbDeci1),0)</f>
        <v>156.04</v>
      </c>
      <c r="AV38" s="152">
        <f>IF(OR(AP38&lt;=_Différé1,AP38&gt;_NoEchMaxi1),IF(_DiffTotal1,-AU38,0),IF(AP38&gt;=_NoEchRemb1,AT38,IF('Données Projet 1'!I47-(AU38*_EchFIXE1)&gt;AT38-2,AT38,'Données Projet 1'!I47-(AU38*_EchFIXE1))))+AK38</f>
        <v>0</v>
      </c>
      <c r="AW38" s="154">
        <f t="shared" si="11"/>
        <v>15.6</v>
      </c>
      <c r="AX38" s="157">
        <f t="shared" si="3"/>
        <v>171.64</v>
      </c>
    </row>
    <row r="39" spans="1:50" ht="15.75" customHeight="1" x14ac:dyDescent="0.3">
      <c r="A39" s="483" t="s">
        <v>247</v>
      </c>
      <c r="B39" s="530">
        <f>M70</f>
        <v>749.19740000000002</v>
      </c>
      <c r="C39" s="489" t="s">
        <v>247</v>
      </c>
      <c r="D39" s="530">
        <f>M86</f>
        <v>1099.0728000000001</v>
      </c>
      <c r="E39" s="486" t="s">
        <v>248</v>
      </c>
      <c r="F39" s="366" t="e">
        <f>SUM(F30-F38)</f>
        <v>#REF!</v>
      </c>
      <c r="I39" s="483" t="s">
        <v>247</v>
      </c>
      <c r="J39" s="525">
        <f>M119</f>
        <v>633.1087</v>
      </c>
      <c r="O39" s="412"/>
      <c r="P39" s="413"/>
      <c r="R39" s="413"/>
      <c r="S39" s="413"/>
      <c r="T39" s="3"/>
      <c r="U39" s="164"/>
      <c r="V39" s="22"/>
      <c r="W39" s="21"/>
      <c r="X39" s="23"/>
      <c r="Y39" s="10"/>
      <c r="Z39" s="5">
        <f t="shared" si="4"/>
        <v>33</v>
      </c>
      <c r="AA39" s="7">
        <f t="shared" si="5"/>
        <v>388</v>
      </c>
      <c r="AB39" s="8">
        <f t="shared" si="0"/>
        <v>2011</v>
      </c>
      <c r="AC39" s="31">
        <f>IF(AD39=0,"",IF(_Ijour=0,MIN(DATE(YEAR(_DebAmort),MONTH(_DebAmort)+(Z39-1)*_Imois,_Jour1),DATE(YEAR(_DebAmort),MONTH(_DebAmort)+1+(Z39-1)*_Imois,0)),DATE(YEAR(_DebAmort),MONTH(_DebAmort),_Jour1+(Z39-1)*_Ijour)))</f>
        <v>40787</v>
      </c>
      <c r="AD39" s="156">
        <f t="shared" si="6"/>
        <v>224096.90000000005</v>
      </c>
      <c r="AE39" s="153">
        <f>IF(Z39&lt;=_NoEchMaxi,ROUND(AD39*'Données Projet 1'!A48,_NbDeci),0)</f>
        <v>347.35</v>
      </c>
      <c r="AF39" s="152">
        <f>IF(OR(Z39&lt;=_Différé,Z39&gt;_NoEchMaxi),IF(_DiffTotal,-AE39,0),IF(Z39&gt;=_NoEchRemb,AD39,IF('Données Projet 1'!B48-(AE39*_EchFIXE)&gt;AD39-2,AD39,'Données Projet 1'!B48-(AE39*_EchFIXE))))+U39</f>
        <v>421.63</v>
      </c>
      <c r="AG39" s="154">
        <f t="shared" si="7"/>
        <v>19.77</v>
      </c>
      <c r="AH39" s="157">
        <f t="shared" si="1"/>
        <v>788.75</v>
      </c>
      <c r="AI39"/>
      <c r="AJ39" s="3"/>
      <c r="AK39" s="164"/>
      <c r="AL39" s="22"/>
      <c r="AM39" s="21"/>
      <c r="AN39" s="23"/>
      <c r="AO39" s="10"/>
      <c r="AP39" s="5">
        <f t="shared" si="8"/>
        <v>33</v>
      </c>
      <c r="AQ39" s="7">
        <f t="shared" si="9"/>
        <v>148</v>
      </c>
      <c r="AR39" s="8">
        <f t="shared" si="2"/>
        <v>2011</v>
      </c>
      <c r="AS39" s="31">
        <f>IF(AT39=0,"",IF(_Ijour1=0,MIN(DATE(YEAR(_DebAmort1),MONTH(_DebAmort1)+(AP39-1)*_Imois1,__Jou1),DATE(YEAR(_DebAmort1),MONTH(_DebAmort1)+1+(AP39-1)*_Imois1,0)),DATE(YEAR(_DebAmort1),MONTH(_DebAmort1),__Jou1+(AP39-1)*_Ijour1)))</f>
        <v>40787</v>
      </c>
      <c r="AT39" s="156">
        <f t="shared" si="10"/>
        <v>187250</v>
      </c>
      <c r="AU39" s="153">
        <f>IF(AP39&lt;=_NoEchMaxi1,ROUND(AT39*'Données Projet 1'!H48,_NbDeci1),0)</f>
        <v>156.04</v>
      </c>
      <c r="AV39" s="152">
        <f>IF(OR(AP39&lt;=_Différé1,AP39&gt;_NoEchMaxi1),IF(_DiffTotal1,-AU39,0),IF(AP39&gt;=_NoEchRemb1,AT39,IF('Données Projet 1'!I48-(AU39*_EchFIXE1)&gt;AT39-2,AT39,'Données Projet 1'!I48-(AU39*_EchFIXE1))))+AK39</f>
        <v>0</v>
      </c>
      <c r="AW39" s="154">
        <f t="shared" si="11"/>
        <v>15.6</v>
      </c>
      <c r="AX39" s="157">
        <f t="shared" si="3"/>
        <v>171.64</v>
      </c>
    </row>
    <row r="40" spans="1:50" ht="15.75" customHeight="1" x14ac:dyDescent="0.3">
      <c r="A40" s="496" t="s">
        <v>250</v>
      </c>
      <c r="B40" s="531">
        <f>IF(B39-1512&lt;0,0,B39-1512)</f>
        <v>0</v>
      </c>
      <c r="C40" s="490" t="s">
        <v>250</v>
      </c>
      <c r="D40" s="531">
        <f>IF(D39-1512&lt;0,0,D39-1512)</f>
        <v>0</v>
      </c>
      <c r="E40" s="486" t="s">
        <v>251</v>
      </c>
      <c r="F40" s="366" t="e">
        <f>SUM(F30-F35)</f>
        <v>#REF!</v>
      </c>
      <c r="I40" s="496" t="s">
        <v>250</v>
      </c>
      <c r="J40" s="523">
        <f>IF(J39-1512&lt;0,0,J39-1512)</f>
        <v>0</v>
      </c>
      <c r="O40" s="412"/>
      <c r="P40" s="413"/>
      <c r="R40" s="413"/>
      <c r="S40" s="413"/>
      <c r="T40" s="3"/>
      <c r="U40" s="164"/>
      <c r="V40" s="22"/>
      <c r="W40" s="21"/>
      <c r="X40" s="23"/>
      <c r="Y40" s="10"/>
      <c r="Z40" s="5">
        <f t="shared" si="4"/>
        <v>34</v>
      </c>
      <c r="AA40" s="7">
        <f t="shared" si="5"/>
        <v>387</v>
      </c>
      <c r="AB40" s="8">
        <f t="shared" si="0"/>
        <v>2011</v>
      </c>
      <c r="AC40" s="31">
        <f>IF(AD40=0,"",IF(_Ijour=0,MIN(DATE(YEAR(_DebAmort),MONTH(_DebAmort)+_MoisD+(Z40-1)*_Imois,_Jour2),DATE(YEAR(_DebAmort),MONTH(_DebAmort)+_MoisD+1+(Z40-1)*_Imois,0)),DATE(YEAR(_DebAmort),MONTH(_DebAmort),_Jour1+(Z40-1)*_Ijour)))</f>
        <v>40817</v>
      </c>
      <c r="AD40" s="156">
        <f t="shared" si="6"/>
        <v>223675.27000000005</v>
      </c>
      <c r="AE40" s="153">
        <f>IF(Z40&lt;=_NoEchMaxi,ROUND(AD40*'Données Projet 1'!A49,_NbDeci),0)</f>
        <v>346.7</v>
      </c>
      <c r="AF40" s="152">
        <f>IF(OR(Z40&lt;=_Différé,Z40&gt;_NoEchMaxi),IF(_DiffTotal,-AE40,0),IF(Z40&gt;=_NoEchRemb,AD40,IF('Données Projet 1'!B49-(AE40*_EchFIXE)&gt;AD40-2,AD40,'Données Projet 1'!B49-(AE40*_EchFIXE))))+U40</f>
        <v>422.28000000000003</v>
      </c>
      <c r="AG40" s="154">
        <f t="shared" si="7"/>
        <v>19.77</v>
      </c>
      <c r="AH40" s="157">
        <f t="shared" si="1"/>
        <v>788.75</v>
      </c>
      <c r="AI40"/>
      <c r="AJ40" s="3"/>
      <c r="AK40" s="164"/>
      <c r="AL40" s="22"/>
      <c r="AM40" s="21"/>
      <c r="AN40" s="23"/>
      <c r="AO40" s="10"/>
      <c r="AP40" s="5">
        <f t="shared" si="8"/>
        <v>34</v>
      </c>
      <c r="AQ40" s="7">
        <f t="shared" si="9"/>
        <v>147</v>
      </c>
      <c r="AR40" s="8">
        <f t="shared" si="2"/>
        <v>2011</v>
      </c>
      <c r="AS40" s="31">
        <f>IF(AT40=0,"",IF(_Ijour1=0,MIN(DATE(YEAR(_DebAmort1),MONTH(_DebAmort1)+_MoisD1+(AP40-1)*_Imois1,__Jou2),DATE(YEAR(_DebAmort1),MONTH(_DebAmort1)+_MoisD1+1+(AP40-1)*_Imois1,0)),DATE(YEAR(_DebAmort1),MONTH(_DebAmort1),__Jou1+(AP40-1)*_Ijour1)))</f>
        <v>40817</v>
      </c>
      <c r="AT40" s="156">
        <f t="shared" si="10"/>
        <v>187250</v>
      </c>
      <c r="AU40" s="153">
        <f>IF(AP40&lt;=_NoEchMaxi1,ROUND(AT40*'Données Projet 1'!H49,_NbDeci1),0)</f>
        <v>156.04</v>
      </c>
      <c r="AV40" s="152">
        <f>IF(OR(AP40&lt;=_Différé1,AP40&gt;_NoEchMaxi1),IF(_DiffTotal1,-AU40,0),IF(AP40&gt;=_NoEchRemb1,AT40,IF('Données Projet 1'!I49-(AU40*_EchFIXE1)&gt;AT40-2,AT40,'Données Projet 1'!I49-(AU40*_EchFIXE1))))+AK40</f>
        <v>0</v>
      </c>
      <c r="AW40" s="154">
        <f t="shared" si="11"/>
        <v>15.6</v>
      </c>
      <c r="AX40" s="157">
        <f t="shared" si="3"/>
        <v>171.64</v>
      </c>
    </row>
    <row r="41" spans="1:50" ht="15.75" customHeight="1" x14ac:dyDescent="0.3">
      <c r="A41" s="482"/>
      <c r="B41" s="369"/>
      <c r="C41" s="485"/>
      <c r="D41" s="369"/>
      <c r="E41" s="485"/>
      <c r="F41" s="367" t="e">
        <f>F40-F17-#REF!*12</f>
        <v>#REF!</v>
      </c>
      <c r="I41" s="482"/>
      <c r="O41" s="412"/>
      <c r="P41" s="413"/>
      <c r="R41" s="413"/>
      <c r="S41" s="413"/>
      <c r="T41" s="3"/>
      <c r="U41" s="164"/>
      <c r="V41" s="22"/>
      <c r="W41" s="21"/>
      <c r="X41" s="23"/>
      <c r="Y41" s="10"/>
      <c r="Z41" s="5">
        <f t="shared" si="4"/>
        <v>35</v>
      </c>
      <c r="AA41" s="7">
        <f t="shared" si="5"/>
        <v>386</v>
      </c>
      <c r="AB41" s="8">
        <f t="shared" si="0"/>
        <v>2011</v>
      </c>
      <c r="AC41" s="31">
        <f>IF(AD41=0,"",IF(_Ijour=0,MIN(DATE(YEAR(_DebAmort),MONTH(_DebAmort)+(Z41-1)*_Imois,_Jour1),DATE(YEAR(_DebAmort),MONTH(_DebAmort)+1+(Z41-1)*_Imois,0)),DATE(YEAR(_DebAmort),MONTH(_DebAmort),_Jour1+(Z41-1)*_Ijour)))</f>
        <v>40848</v>
      </c>
      <c r="AD41" s="156">
        <f t="shared" si="6"/>
        <v>223252.99000000005</v>
      </c>
      <c r="AE41" s="153">
        <f>IF(Z41&lt;=_NoEchMaxi,ROUND(AD41*'Données Projet 1'!A50,_NbDeci),0)</f>
        <v>346.04</v>
      </c>
      <c r="AF41" s="152">
        <f>IF(OR(Z41&lt;=_Différé,Z41&gt;_NoEchMaxi),IF(_DiffTotal,-AE41,0),IF(Z41&gt;=_NoEchRemb,AD41,IF('Données Projet 1'!B50-(AE41*_EchFIXE)&gt;AD41-2,AD41,'Données Projet 1'!B50-(AE41*_EchFIXE))))+U41</f>
        <v>422.94</v>
      </c>
      <c r="AG41" s="154">
        <f t="shared" si="7"/>
        <v>19.77</v>
      </c>
      <c r="AH41" s="157">
        <f t="shared" si="1"/>
        <v>788.75</v>
      </c>
      <c r="AI41"/>
      <c r="AJ41" s="3"/>
      <c r="AK41" s="164"/>
      <c r="AL41" s="22"/>
      <c r="AM41" s="21"/>
      <c r="AN41" s="23"/>
      <c r="AO41" s="10"/>
      <c r="AP41" s="5">
        <f t="shared" si="8"/>
        <v>35</v>
      </c>
      <c r="AQ41" s="7">
        <f t="shared" si="9"/>
        <v>146</v>
      </c>
      <c r="AR41" s="8">
        <f t="shared" si="2"/>
        <v>2011</v>
      </c>
      <c r="AS41" s="31">
        <f>IF(AT41=0,"",IF(_Ijour1=0,MIN(DATE(YEAR(_DebAmort1),MONTH(_DebAmort1)+(AP41-1)*_Imois1,__Jou1),DATE(YEAR(_DebAmort1),MONTH(_DebAmort1)+1+(AP41-1)*_Imois1,0)),DATE(YEAR(_DebAmort1),MONTH(_DebAmort1),__Jou1+(AP41-1)*_Ijour1)))</f>
        <v>40848</v>
      </c>
      <c r="AT41" s="156">
        <f t="shared" si="10"/>
        <v>187250</v>
      </c>
      <c r="AU41" s="153">
        <f>IF(AP41&lt;=_NoEchMaxi1,ROUND(AT41*'Données Projet 1'!H50,_NbDeci1),0)</f>
        <v>156.04</v>
      </c>
      <c r="AV41" s="152">
        <f>IF(OR(AP41&lt;=_Différé1,AP41&gt;_NoEchMaxi1),IF(_DiffTotal1,-AU41,0),IF(AP41&gt;=_NoEchRemb1,AT41,IF('Données Projet 1'!I50-(AU41*_EchFIXE1)&gt;AT41-2,AT41,'Données Projet 1'!I50-(AU41*_EchFIXE1))))+AK41</f>
        <v>0</v>
      </c>
      <c r="AW41" s="154">
        <f t="shared" si="11"/>
        <v>15.6</v>
      </c>
      <c r="AX41" s="157">
        <f t="shared" si="3"/>
        <v>171.64</v>
      </c>
    </row>
    <row r="42" spans="1:50" ht="15.75" customHeight="1" x14ac:dyDescent="0.3">
      <c r="A42" s="491" t="s">
        <v>254</v>
      </c>
      <c r="B42" s="532">
        <f>IF(1177-(MAX(B34,B40)*0.75)&lt;=0,"0",1177-(MAX(B34,B40)*0.75))</f>
        <v>1129.9694500000001</v>
      </c>
      <c r="C42" s="488" t="s">
        <v>254</v>
      </c>
      <c r="D42" s="532">
        <f>IF(1177-(MAX(D34,D40)*0.75)&lt;=0,"0",1177-(MAX(D34,D40)*0.75))</f>
        <v>867.5628999999999</v>
      </c>
      <c r="E42" s="485"/>
      <c r="F42" s="374" t="e">
        <f>F41/12</f>
        <v>#REF!</v>
      </c>
      <c r="O42" s="412"/>
      <c r="P42" s="413"/>
      <c r="R42" s="413"/>
      <c r="S42" s="413"/>
      <c r="T42" s="3"/>
      <c r="U42" s="164"/>
      <c r="V42" s="22"/>
      <c r="W42" s="21"/>
      <c r="X42" s="23"/>
      <c r="Y42" s="10"/>
      <c r="Z42" s="5">
        <f t="shared" si="4"/>
        <v>36</v>
      </c>
      <c r="AA42" s="7">
        <f t="shared" si="5"/>
        <v>385</v>
      </c>
      <c r="AB42" s="8">
        <f t="shared" si="0"/>
        <v>2011</v>
      </c>
      <c r="AC42" s="31">
        <f>IF(AD42=0,"",IF(_Ijour=0,MIN(DATE(YEAR(_DebAmort),MONTH(_DebAmort)+_MoisD+(Z42-1)*_Imois,_Jour2),DATE(YEAR(_DebAmort),MONTH(_DebAmort)+_MoisD+1+(Z42-1)*_Imois,0)),DATE(YEAR(_DebAmort),MONTH(_DebAmort),_Jour1+(Z42-1)*_Ijour)))</f>
        <v>40878</v>
      </c>
      <c r="AD42" s="156">
        <f t="shared" si="6"/>
        <v>222830.05000000005</v>
      </c>
      <c r="AE42" s="153">
        <f>IF(Z42&lt;=_NoEchMaxi,ROUND(AD42*'Données Projet 1'!A51,_NbDeci),0)</f>
        <v>345.39</v>
      </c>
      <c r="AF42" s="152">
        <f>IF(OR(Z42&lt;=_Différé,Z42&gt;_NoEchMaxi),IF(_DiffTotal,-AE42,0),IF(Z42&gt;=_NoEchRemb,AD42,IF('Données Projet 1'!B51-(AE42*_EchFIXE)&gt;AD42-2,AD42,'Données Projet 1'!B51-(AE42*_EchFIXE))))+U42</f>
        <v>423.59000000000003</v>
      </c>
      <c r="AG42" s="154">
        <f t="shared" si="7"/>
        <v>19.77</v>
      </c>
      <c r="AH42" s="157">
        <f t="shared" si="1"/>
        <v>788.75</v>
      </c>
      <c r="AI42"/>
      <c r="AJ42" s="3"/>
      <c r="AK42" s="164"/>
      <c r="AL42" s="22"/>
      <c r="AM42" s="21"/>
      <c r="AN42" s="23"/>
      <c r="AO42" s="10"/>
      <c r="AP42" s="5">
        <f t="shared" si="8"/>
        <v>36</v>
      </c>
      <c r="AQ42" s="7">
        <f t="shared" si="9"/>
        <v>145</v>
      </c>
      <c r="AR42" s="8">
        <f t="shared" si="2"/>
        <v>2011</v>
      </c>
      <c r="AS42" s="31">
        <f>IF(AT42=0,"",IF(_Ijour1=0,MIN(DATE(YEAR(_DebAmort1),MONTH(_DebAmort1)+_MoisD1+(AP42-1)*_Imois1,__Jou2),DATE(YEAR(_DebAmort1),MONTH(_DebAmort1)+_MoisD1+1+(AP42-1)*_Imois1,0)),DATE(YEAR(_DebAmort1),MONTH(_DebAmort1),__Jou1+(AP42-1)*_Ijour1)))</f>
        <v>40878</v>
      </c>
      <c r="AT42" s="156">
        <f t="shared" si="10"/>
        <v>187250</v>
      </c>
      <c r="AU42" s="153">
        <f>IF(AP42&lt;=_NoEchMaxi1,ROUND(AT42*'Données Projet 1'!H51,_NbDeci1),0)</f>
        <v>156.04</v>
      </c>
      <c r="AV42" s="152">
        <f>IF(OR(AP42&lt;=_Différé1,AP42&gt;_NoEchMaxi1),IF(_DiffTotal1,-AU42,0),IF(AP42&gt;=_NoEchRemb1,AT42,IF('Données Projet 1'!I51-(AU42*_EchFIXE1)&gt;AT42-2,AT42,'Données Projet 1'!I51-(AU42*_EchFIXE1))))+AK42</f>
        <v>0</v>
      </c>
      <c r="AW42" s="154">
        <f t="shared" si="11"/>
        <v>15.6</v>
      </c>
      <c r="AX42" s="157">
        <f t="shared" si="3"/>
        <v>171.64</v>
      </c>
    </row>
    <row r="43" spans="1:50" ht="15.75" customHeight="1" x14ac:dyDescent="0.3">
      <c r="A43" s="483" t="s">
        <v>258</v>
      </c>
      <c r="B43" s="530" t="str">
        <f>IF((MAX(B34,B40)-B42)&lt;=0,"0",(MAX(B34,B40)-B42))</f>
        <v>0</v>
      </c>
      <c r="C43" s="489" t="s">
        <v>258</v>
      </c>
      <c r="D43" s="530" t="str">
        <f>IF((MAX(D34,D40)-B42)&lt;=0,"0",(MAX(D34,D40)-B42))</f>
        <v>0</v>
      </c>
      <c r="E43" s="487"/>
      <c r="F43" s="414"/>
      <c r="I43" s="483" t="s">
        <v>256</v>
      </c>
      <c r="J43" s="523">
        <f>IF(1939-(MAX(J34,J40)*0.75)&lt;=0,"0",1939-(MAX(J34,J40)*0.75))</f>
        <v>1504.2044500000002</v>
      </c>
      <c r="O43" s="412"/>
      <c r="P43" s="413"/>
      <c r="R43" s="413"/>
      <c r="S43" s="413"/>
      <c r="T43" s="3"/>
      <c r="U43" s="164"/>
      <c r="V43" s="22"/>
      <c r="W43" s="21"/>
      <c r="X43" s="23"/>
      <c r="Y43" s="10"/>
      <c r="Z43" s="5">
        <f t="shared" si="4"/>
        <v>37</v>
      </c>
      <c r="AA43" s="7">
        <f t="shared" si="5"/>
        <v>384</v>
      </c>
      <c r="AB43" s="8">
        <f t="shared" si="0"/>
        <v>2012</v>
      </c>
      <c r="AC43" s="31">
        <f>IF(AD43=0,"",IF(_Ijour=0,MIN(DATE(YEAR(_DebAmort),MONTH(_DebAmort)+(Z43-1)*_Imois,_Jour1),DATE(YEAR(_DebAmort),MONTH(_DebAmort)+1+(Z43-1)*_Imois,0)),DATE(YEAR(_DebAmort),MONTH(_DebAmort),_Jour1+(Z43-1)*_Ijour)))</f>
        <v>40909</v>
      </c>
      <c r="AD43" s="156">
        <f t="shared" si="6"/>
        <v>222406.46000000005</v>
      </c>
      <c r="AE43" s="153">
        <f>IF(Z43&lt;=_NoEchMaxi,ROUND(AD43*'Données Projet 1'!A52,_NbDeci),0)</f>
        <v>344.73</v>
      </c>
      <c r="AF43" s="152">
        <f>IF(OR(Z43&lt;=_Différé,Z43&gt;_NoEchMaxi),IF(_DiffTotal,-AE43,0),IF(Z43&gt;=_NoEchRemb,AD43,IF('Données Projet 1'!B52-(AE43*_EchFIXE)&gt;AD43-2,AD43,'Données Projet 1'!B52-(AE43*_EchFIXE))))+U43</f>
        <v>424.25</v>
      </c>
      <c r="AG43" s="154">
        <f t="shared" si="7"/>
        <v>19.77</v>
      </c>
      <c r="AH43" s="157">
        <f t="shared" si="1"/>
        <v>788.75</v>
      </c>
      <c r="AI43"/>
      <c r="AJ43" s="3"/>
      <c r="AK43" s="164"/>
      <c r="AL43" s="22"/>
      <c r="AM43" s="21"/>
      <c r="AN43" s="23"/>
      <c r="AO43" s="10"/>
      <c r="AP43" s="5">
        <f t="shared" si="8"/>
        <v>37</v>
      </c>
      <c r="AQ43" s="7">
        <f t="shared" si="9"/>
        <v>144</v>
      </c>
      <c r="AR43" s="8">
        <f t="shared" si="2"/>
        <v>2012</v>
      </c>
      <c r="AS43" s="31">
        <f>IF(AT43=0,"",IF(_Ijour1=0,MIN(DATE(YEAR(_DebAmort1),MONTH(_DebAmort1)+(AP43-1)*_Imois1,__Jou1),DATE(YEAR(_DebAmort1),MONTH(_DebAmort1)+1+(AP43-1)*_Imois1,0)),DATE(YEAR(_DebAmort1),MONTH(_DebAmort1),__Jou1+(AP43-1)*_Ijour1)))</f>
        <v>40909</v>
      </c>
      <c r="AT43" s="156">
        <f t="shared" si="10"/>
        <v>187250</v>
      </c>
      <c r="AU43" s="153">
        <f>IF(AP43&lt;=_NoEchMaxi1,ROUND(AT43*'Données Projet 1'!H52,_NbDeci1),0)</f>
        <v>156.04</v>
      </c>
      <c r="AV43" s="152">
        <f>IF(OR(AP43&lt;=_Différé1,AP43&gt;_NoEchMaxi1),IF(_DiffTotal1,-AU43,0),IF(AP43&gt;=_NoEchRemb1,AT43,IF('Données Projet 1'!I52-(AU43*_EchFIXE1)&gt;AT43-2,AT43,'Données Projet 1'!I52-(AU43*_EchFIXE1))))+AK43</f>
        <v>0</v>
      </c>
      <c r="AW43" s="154">
        <f t="shared" si="11"/>
        <v>15.6</v>
      </c>
      <c r="AX43" s="157">
        <f t="shared" si="3"/>
        <v>171.64</v>
      </c>
    </row>
    <row r="44" spans="1:50" ht="15.75" customHeight="1" x14ac:dyDescent="0.3">
      <c r="E44" s="487"/>
      <c r="F44" s="414"/>
      <c r="I44" s="521" t="s">
        <v>351</v>
      </c>
      <c r="J44" s="523" t="str">
        <f>IF((MAX(J34,J40)-J43)&lt;=0,"0",(MAX(J34,J40)-J43))</f>
        <v>0</v>
      </c>
      <c r="O44" s="412"/>
      <c r="P44" s="413"/>
      <c r="R44" s="413"/>
      <c r="S44" s="413"/>
      <c r="T44" s="3"/>
      <c r="U44" s="164"/>
      <c r="V44" s="22"/>
      <c r="W44" s="21"/>
      <c r="X44" s="23"/>
      <c r="Y44" s="10"/>
      <c r="Z44" s="5">
        <f t="shared" si="4"/>
        <v>38</v>
      </c>
      <c r="AA44" s="7">
        <f t="shared" si="5"/>
        <v>383</v>
      </c>
      <c r="AB44" s="8">
        <f t="shared" si="0"/>
        <v>2012</v>
      </c>
      <c r="AC44" s="31">
        <f>IF(AD44=0,"",IF(_Ijour=0,MIN(DATE(YEAR(_DebAmort),MONTH(_DebAmort)+_MoisD+(Z44-1)*_Imois,_Jour2),DATE(YEAR(_DebAmort),MONTH(_DebAmort)+_MoisD+1+(Z44-1)*_Imois,0)),DATE(YEAR(_DebAmort),MONTH(_DebAmort),_Jour1+(Z44-1)*_Ijour)))</f>
        <v>40940</v>
      </c>
      <c r="AD44" s="156">
        <f t="shared" si="6"/>
        <v>221982.21000000005</v>
      </c>
      <c r="AE44" s="153">
        <f>IF(Z44&lt;=_NoEchMaxi,ROUND(AD44*'Données Projet 1'!A53,_NbDeci),0)</f>
        <v>344.07</v>
      </c>
      <c r="AF44" s="152">
        <f>IF(OR(Z44&lt;=_Différé,Z44&gt;_NoEchMaxi),IF(_DiffTotal,-AE44,0),IF(Z44&gt;=_NoEchRemb,AD44,IF('Données Projet 1'!B53-(AE44*_EchFIXE)&gt;AD44-2,AD44,'Données Projet 1'!B53-(AE44*_EchFIXE))))+U44</f>
        <v>424.91</v>
      </c>
      <c r="AG44" s="154">
        <f t="shared" si="7"/>
        <v>19.77</v>
      </c>
      <c r="AH44" s="157">
        <f t="shared" si="1"/>
        <v>788.75</v>
      </c>
      <c r="AI44"/>
      <c r="AJ44" s="3"/>
      <c r="AK44" s="164"/>
      <c r="AL44" s="22"/>
      <c r="AM44" s="21"/>
      <c r="AN44" s="23"/>
      <c r="AO44" s="10"/>
      <c r="AP44" s="5">
        <f t="shared" si="8"/>
        <v>38</v>
      </c>
      <c r="AQ44" s="7">
        <f t="shared" si="9"/>
        <v>143</v>
      </c>
      <c r="AR44" s="8">
        <f t="shared" si="2"/>
        <v>2012</v>
      </c>
      <c r="AS44" s="31">
        <f>IF(AT44=0,"",IF(_Ijour1=0,MIN(DATE(YEAR(_DebAmort1),MONTH(_DebAmort1)+_MoisD1+(AP44-1)*_Imois1,__Jou2),DATE(YEAR(_DebAmort1),MONTH(_DebAmort1)+_MoisD1+1+(AP44-1)*_Imois1,0)),DATE(YEAR(_DebAmort1),MONTH(_DebAmort1),__Jou1+(AP44-1)*_Ijour1)))</f>
        <v>40940</v>
      </c>
      <c r="AT44" s="156">
        <f t="shared" si="10"/>
        <v>187250</v>
      </c>
      <c r="AU44" s="153">
        <f>IF(AP44&lt;=_NoEchMaxi1,ROUND(AT44*'Données Projet 1'!H53,_NbDeci1),0)</f>
        <v>156.04</v>
      </c>
      <c r="AV44" s="152">
        <f>IF(OR(AP44&lt;=_Différé1,AP44&gt;_NoEchMaxi1),IF(_DiffTotal1,-AU44,0),IF(AP44&gt;=_NoEchRemb1,AT44,IF('Données Projet 1'!I53-(AU44*_EchFIXE1)&gt;AT44-2,AT44,'Données Projet 1'!I53-(AU44*_EchFIXE1))))+AK44</f>
        <v>0</v>
      </c>
      <c r="AW44" s="154">
        <f t="shared" si="11"/>
        <v>15.6</v>
      </c>
      <c r="AX44" s="157">
        <f t="shared" si="3"/>
        <v>171.64</v>
      </c>
    </row>
    <row r="45" spans="1:50" ht="15.75" customHeight="1" x14ac:dyDescent="0.3">
      <c r="A45" s="496" t="s">
        <v>260</v>
      </c>
      <c r="B45" s="533" t="str">
        <f>B43</f>
        <v>0</v>
      </c>
      <c r="C45" s="490" t="s">
        <v>260</v>
      </c>
      <c r="D45" s="533" t="str">
        <f>D43</f>
        <v>0</v>
      </c>
      <c r="E45" s="487"/>
      <c r="F45" s="414"/>
      <c r="O45" s="412"/>
      <c r="P45" s="413"/>
      <c r="R45" s="413"/>
      <c r="S45" s="413"/>
      <c r="T45" s="3"/>
      <c r="U45" s="164"/>
      <c r="V45" s="22"/>
      <c r="W45" s="21"/>
      <c r="X45" s="23"/>
      <c r="Y45" s="10"/>
      <c r="Z45" s="5">
        <f t="shared" si="4"/>
        <v>39</v>
      </c>
      <c r="AA45" s="7">
        <f t="shared" si="5"/>
        <v>382</v>
      </c>
      <c r="AB45" s="8">
        <f t="shared" si="0"/>
        <v>2012</v>
      </c>
      <c r="AC45" s="31">
        <f>IF(AD45=0,"",IF(_Ijour=0,MIN(DATE(YEAR(_DebAmort),MONTH(_DebAmort)+(Z45-1)*_Imois,_Jour1),DATE(YEAR(_DebAmort),MONTH(_DebAmort)+1+(Z45-1)*_Imois,0)),DATE(YEAR(_DebAmort),MONTH(_DebAmort),_Jour1+(Z45-1)*_Ijour)))</f>
        <v>40969</v>
      </c>
      <c r="AD45" s="156">
        <f t="shared" si="6"/>
        <v>221557.30000000005</v>
      </c>
      <c r="AE45" s="153">
        <f>IF(Z45&lt;=_NoEchMaxi,ROUND(AD45*'Données Projet 1'!A54,_NbDeci),0)</f>
        <v>343.41</v>
      </c>
      <c r="AF45" s="152">
        <f>IF(OR(Z45&lt;=_Différé,Z45&gt;_NoEchMaxi),IF(_DiffTotal,-AE45,0),IF(Z45&gt;=_NoEchRemb,AD45,IF('Données Projet 1'!B54-(AE45*_EchFIXE)&gt;AD45-2,AD45,'Données Projet 1'!B54-(AE45*_EchFIXE))))+U45</f>
        <v>425.57</v>
      </c>
      <c r="AG45" s="154">
        <f t="shared" si="7"/>
        <v>19.77</v>
      </c>
      <c r="AH45" s="157">
        <f t="shared" si="1"/>
        <v>788.75</v>
      </c>
      <c r="AI45"/>
      <c r="AJ45" s="3"/>
      <c r="AK45" s="164"/>
      <c r="AL45" s="22"/>
      <c r="AM45" s="21"/>
      <c r="AN45" s="23"/>
      <c r="AO45" s="10"/>
      <c r="AP45" s="5">
        <f t="shared" si="8"/>
        <v>39</v>
      </c>
      <c r="AQ45" s="7">
        <f t="shared" si="9"/>
        <v>142</v>
      </c>
      <c r="AR45" s="8">
        <f t="shared" si="2"/>
        <v>2012</v>
      </c>
      <c r="AS45" s="31">
        <f>IF(AT45=0,"",IF(_Ijour1=0,MIN(DATE(YEAR(_DebAmort1),MONTH(_DebAmort1)+(AP45-1)*_Imois1,__Jou1),DATE(YEAR(_DebAmort1),MONTH(_DebAmort1)+1+(AP45-1)*_Imois1,0)),DATE(YEAR(_DebAmort1),MONTH(_DebAmort1),__Jou1+(AP45-1)*_Ijour1)))</f>
        <v>40969</v>
      </c>
      <c r="AT45" s="156">
        <f t="shared" si="10"/>
        <v>187250</v>
      </c>
      <c r="AU45" s="153">
        <f>IF(AP45&lt;=_NoEchMaxi1,ROUND(AT45*'Données Projet 1'!H54,_NbDeci1),0)</f>
        <v>156.04</v>
      </c>
      <c r="AV45" s="152">
        <f>IF(OR(AP45&lt;=_Différé1,AP45&gt;_NoEchMaxi1),IF(_DiffTotal1,-AU45,0),IF(AP45&gt;=_NoEchRemb1,AT45,IF('Données Projet 1'!I54-(AU45*_EchFIXE1)&gt;AT45-2,AT45,'Données Projet 1'!I54-(AU45*_EchFIXE1))))+AK45</f>
        <v>0</v>
      </c>
      <c r="AW45" s="154">
        <f t="shared" si="11"/>
        <v>15.6</v>
      </c>
      <c r="AX45" s="157">
        <f t="shared" si="3"/>
        <v>171.64</v>
      </c>
    </row>
    <row r="46" spans="1:50" ht="15.75" customHeight="1" x14ac:dyDescent="0.3">
      <c r="E46" s="487"/>
      <c r="F46" s="414"/>
      <c r="I46" s="412"/>
      <c r="O46" s="412"/>
      <c r="P46" s="413"/>
      <c r="R46" s="413"/>
      <c r="S46" s="413"/>
      <c r="T46" s="3"/>
      <c r="U46" s="164"/>
      <c r="V46" s="22"/>
      <c r="W46" s="21"/>
      <c r="X46" s="23"/>
      <c r="Y46" s="10"/>
      <c r="Z46" s="5">
        <f t="shared" si="4"/>
        <v>40</v>
      </c>
      <c r="AA46" s="7">
        <f t="shared" si="5"/>
        <v>381</v>
      </c>
      <c r="AB46" s="8">
        <f t="shared" si="0"/>
        <v>2012</v>
      </c>
      <c r="AC46" s="31">
        <f>IF(AD46=0,"",IF(_Ijour=0,MIN(DATE(YEAR(_DebAmort),MONTH(_DebAmort)+_MoisD+(Z46-1)*_Imois,_Jour2),DATE(YEAR(_DebAmort),MONTH(_DebAmort)+_MoisD+1+(Z46-1)*_Imois,0)),DATE(YEAR(_DebAmort),MONTH(_DebAmort),_Jour1+(Z46-1)*_Ijour)))</f>
        <v>41000</v>
      </c>
      <c r="AD46" s="156">
        <f t="shared" si="6"/>
        <v>221131.73000000004</v>
      </c>
      <c r="AE46" s="153">
        <f>IF(Z46&lt;=_NoEchMaxi,ROUND(AD46*'Données Projet 1'!A55,_NbDeci),0)</f>
        <v>342.75</v>
      </c>
      <c r="AF46" s="152">
        <f>IF(OR(Z46&lt;=_Différé,Z46&gt;_NoEchMaxi),IF(_DiffTotal,-AE46,0),IF(Z46&gt;=_NoEchRemb,AD46,IF('Données Projet 1'!B55-(AE46*_EchFIXE)&gt;AD46-2,AD46,'Données Projet 1'!B55-(AE46*_EchFIXE))))+U46</f>
        <v>426.23</v>
      </c>
      <c r="AG46" s="154">
        <f t="shared" si="7"/>
        <v>19.77</v>
      </c>
      <c r="AH46" s="157">
        <f t="shared" si="1"/>
        <v>788.75</v>
      </c>
      <c r="AI46"/>
      <c r="AJ46" s="3"/>
      <c r="AK46" s="164"/>
      <c r="AL46" s="22"/>
      <c r="AM46" s="21"/>
      <c r="AN46" s="23"/>
      <c r="AO46" s="10"/>
      <c r="AP46" s="5">
        <f t="shared" si="8"/>
        <v>40</v>
      </c>
      <c r="AQ46" s="7">
        <f t="shared" si="9"/>
        <v>141</v>
      </c>
      <c r="AR46" s="8">
        <f t="shared" si="2"/>
        <v>2012</v>
      </c>
      <c r="AS46" s="31">
        <f>IF(AT46=0,"",IF(_Ijour1=0,MIN(DATE(YEAR(_DebAmort1),MONTH(_DebAmort1)+_MoisD1+(AP46-1)*_Imois1,__Jou2),DATE(YEAR(_DebAmort1),MONTH(_DebAmort1)+_MoisD1+1+(AP46-1)*_Imois1,0)),DATE(YEAR(_DebAmort1),MONTH(_DebAmort1),__Jou1+(AP46-1)*_Ijour1)))</f>
        <v>41000</v>
      </c>
      <c r="AT46" s="156">
        <f t="shared" si="10"/>
        <v>187250</v>
      </c>
      <c r="AU46" s="153">
        <f>IF(AP46&lt;=_NoEchMaxi1,ROUND(AT46*'Données Projet 1'!H55,_NbDeci1),0)</f>
        <v>156.04</v>
      </c>
      <c r="AV46" s="152">
        <f>IF(OR(AP46&lt;=_Différé1,AP46&gt;_NoEchMaxi1),IF(_DiffTotal1,-AU46,0),IF(AP46&gt;=_NoEchRemb1,AT46,IF('Données Projet 1'!I55-(AU46*_EchFIXE1)&gt;AT46-2,AT46,'Données Projet 1'!I55-(AU46*_EchFIXE1))))+AK46</f>
        <v>0</v>
      </c>
      <c r="AW46" s="154">
        <f t="shared" si="11"/>
        <v>15.6</v>
      </c>
      <c r="AX46" s="157">
        <f t="shared" si="3"/>
        <v>171.64</v>
      </c>
    </row>
    <row r="47" spans="1:50" ht="15.75" customHeight="1" thickBot="1" x14ac:dyDescent="0.35">
      <c r="A47" s="491" t="s">
        <v>240</v>
      </c>
      <c r="B47" s="532">
        <f>B30*17.2%</f>
        <v>827.04651999999987</v>
      </c>
      <c r="C47" s="488" t="s">
        <v>240</v>
      </c>
      <c r="D47" s="532">
        <f>D30*17.2%</f>
        <v>1256.8934400000001</v>
      </c>
      <c r="E47" s="487"/>
      <c r="F47" s="414"/>
      <c r="I47" s="521" t="s">
        <v>352</v>
      </c>
      <c r="J47" s="523" t="str">
        <f>J44</f>
        <v>0</v>
      </c>
      <c r="O47" s="412"/>
      <c r="P47" s="413"/>
      <c r="R47" s="413"/>
      <c r="S47" s="413"/>
      <c r="T47" s="3"/>
      <c r="U47" s="164"/>
      <c r="V47" s="22"/>
      <c r="W47" s="21"/>
      <c r="X47" s="23"/>
      <c r="Y47" s="10"/>
      <c r="Z47" s="5">
        <f t="shared" si="4"/>
        <v>41</v>
      </c>
      <c r="AA47" s="7">
        <f t="shared" si="5"/>
        <v>380</v>
      </c>
      <c r="AB47" s="8">
        <f t="shared" si="0"/>
        <v>2012</v>
      </c>
      <c r="AC47" s="31">
        <f>IF(AD47=0,"",IF(_Ijour=0,MIN(DATE(YEAR(_DebAmort),MONTH(_DebAmort)+(Z47-1)*_Imois,_Jour1),DATE(YEAR(_DebAmort),MONTH(_DebAmort)+1+(Z47-1)*_Imois,0)),DATE(YEAR(_DebAmort),MONTH(_DebAmort),_Jour1+(Z47-1)*_Ijour)))</f>
        <v>41030</v>
      </c>
      <c r="AD47" s="156">
        <f t="shared" si="6"/>
        <v>220705.50000000003</v>
      </c>
      <c r="AE47" s="153">
        <f>IF(Z47&lt;=_NoEchMaxi,ROUND(AD47*'Données Projet 1'!A56,_NbDeci),0)</f>
        <v>342.09</v>
      </c>
      <c r="AF47" s="152">
        <f>IF(OR(Z47&lt;=_Différé,Z47&gt;_NoEchMaxi),IF(_DiffTotal,-AE47,0),IF(Z47&gt;=_NoEchRemb,AD47,IF('Données Projet 1'!B56-(AE47*_EchFIXE)&gt;AD47-2,AD47,'Données Projet 1'!B56-(AE47*_EchFIXE))))+U47</f>
        <v>426.89000000000004</v>
      </c>
      <c r="AG47" s="154">
        <f t="shared" si="7"/>
        <v>19.77</v>
      </c>
      <c r="AH47" s="157">
        <f t="shared" si="1"/>
        <v>788.75</v>
      </c>
      <c r="AI47"/>
      <c r="AJ47" s="3"/>
      <c r="AK47" s="164"/>
      <c r="AL47" s="22"/>
      <c r="AM47" s="21"/>
      <c r="AN47" s="23"/>
      <c r="AO47" s="10"/>
      <c r="AP47" s="5">
        <f t="shared" si="8"/>
        <v>41</v>
      </c>
      <c r="AQ47" s="7">
        <f t="shared" si="9"/>
        <v>140</v>
      </c>
      <c r="AR47" s="8">
        <f t="shared" si="2"/>
        <v>2012</v>
      </c>
      <c r="AS47" s="31">
        <f>IF(AT47=0,"",IF(_Ijour1=0,MIN(DATE(YEAR(_DebAmort1),MONTH(_DebAmort1)+(AP47-1)*_Imois1,__Jou1),DATE(YEAR(_DebAmort1),MONTH(_DebAmort1)+1+(AP47-1)*_Imois1,0)),DATE(YEAR(_DebAmort1),MONTH(_DebAmort1),__Jou1+(AP47-1)*_Ijour1)))</f>
        <v>41030</v>
      </c>
      <c r="AT47" s="156">
        <f t="shared" si="10"/>
        <v>187250</v>
      </c>
      <c r="AU47" s="153">
        <f>IF(AP47&lt;=_NoEchMaxi1,ROUND(AT47*'Données Projet 1'!H56,_NbDeci1),0)</f>
        <v>156.04</v>
      </c>
      <c r="AV47" s="152">
        <f>IF(OR(AP47&lt;=_Différé1,AP47&gt;_NoEchMaxi1),IF(_DiffTotal1,-AU47,0),IF(AP47&gt;=_NoEchRemb1,AT47,IF('Données Projet 1'!I56-(AU47*_EchFIXE1)&gt;AT47-2,AT47,'Données Projet 1'!I56-(AU47*_EchFIXE1))))+AK47</f>
        <v>0</v>
      </c>
      <c r="AW47" s="154">
        <f t="shared" si="11"/>
        <v>15.6</v>
      </c>
      <c r="AX47" s="157">
        <f t="shared" si="3"/>
        <v>171.64</v>
      </c>
    </row>
    <row r="48" spans="1:50" ht="15.75" customHeight="1" thickTop="1" x14ac:dyDescent="0.3">
      <c r="A48" s="483" t="s">
        <v>263</v>
      </c>
      <c r="B48" s="530">
        <f>B45+B47</f>
        <v>827.04651999999987</v>
      </c>
      <c r="C48" s="489" t="s">
        <v>263</v>
      </c>
      <c r="D48" s="530">
        <f>D45+D47</f>
        <v>1256.8934400000001</v>
      </c>
      <c r="E48" s="487"/>
      <c r="F48" s="414"/>
      <c r="O48" s="557" t="s">
        <v>348</v>
      </c>
      <c r="P48" s="558"/>
      <c r="Q48" s="559"/>
      <c r="R48" s="413"/>
      <c r="S48" s="413"/>
      <c r="T48" s="3"/>
      <c r="U48" s="164"/>
      <c r="V48" s="22"/>
      <c r="W48" s="21"/>
      <c r="X48" s="23"/>
      <c r="Y48" s="10"/>
      <c r="Z48" s="5">
        <f t="shared" si="4"/>
        <v>42</v>
      </c>
      <c r="AA48" s="7">
        <f t="shared" si="5"/>
        <v>379</v>
      </c>
      <c r="AB48" s="8">
        <f t="shared" si="0"/>
        <v>2012</v>
      </c>
      <c r="AC48" s="31">
        <f>IF(AD48=0,"",IF(_Ijour=0,MIN(DATE(YEAR(_DebAmort),MONTH(_DebAmort)+_MoisD+(Z48-1)*_Imois,_Jour2),DATE(YEAR(_DebAmort),MONTH(_DebAmort)+_MoisD+1+(Z48-1)*_Imois,0)),DATE(YEAR(_DebAmort),MONTH(_DebAmort),_Jour1+(Z48-1)*_Ijour)))</f>
        <v>41061</v>
      </c>
      <c r="AD48" s="156">
        <f t="shared" si="6"/>
        <v>220278.61000000002</v>
      </c>
      <c r="AE48" s="153">
        <f>IF(Z48&lt;=_NoEchMaxi,ROUND(AD48*'Données Projet 1'!A57,_NbDeci),0)</f>
        <v>341.43</v>
      </c>
      <c r="AF48" s="152">
        <f>IF(OR(Z48&lt;=_Différé,Z48&gt;_NoEchMaxi),IF(_DiffTotal,-AE48,0),IF(Z48&gt;=_NoEchRemb,AD48,IF('Données Projet 1'!B57-(AE48*_EchFIXE)&gt;AD48-2,AD48,'Données Projet 1'!B57-(AE48*_EchFIXE))))+U48</f>
        <v>427.55</v>
      </c>
      <c r="AG48" s="154">
        <f t="shared" si="7"/>
        <v>19.77</v>
      </c>
      <c r="AH48" s="157">
        <f t="shared" si="1"/>
        <v>788.75</v>
      </c>
      <c r="AI48"/>
      <c r="AJ48" s="3"/>
      <c r="AK48" s="164"/>
      <c r="AL48" s="22"/>
      <c r="AM48" s="21"/>
      <c r="AN48" s="23"/>
      <c r="AO48" s="10"/>
      <c r="AP48" s="5">
        <f t="shared" si="8"/>
        <v>42</v>
      </c>
      <c r="AQ48" s="7">
        <f t="shared" si="9"/>
        <v>139</v>
      </c>
      <c r="AR48" s="8">
        <f t="shared" si="2"/>
        <v>2012</v>
      </c>
      <c r="AS48" s="31">
        <f>IF(AT48=0,"",IF(_Ijour1=0,MIN(DATE(YEAR(_DebAmort1),MONTH(_DebAmort1)+_MoisD1+(AP48-1)*_Imois1,__Jou2),DATE(YEAR(_DebAmort1),MONTH(_DebAmort1)+_MoisD1+1+(AP48-1)*_Imois1,0)),DATE(YEAR(_DebAmort1),MONTH(_DebAmort1),__Jou1+(AP48-1)*_Ijour1)))</f>
        <v>41061</v>
      </c>
      <c r="AT48" s="156">
        <f t="shared" si="10"/>
        <v>187250</v>
      </c>
      <c r="AU48" s="153">
        <f>IF(AP48&lt;=_NoEchMaxi1,ROUND(AT48*'Données Projet 1'!H57,_NbDeci1),0)</f>
        <v>156.04</v>
      </c>
      <c r="AV48" s="152">
        <f>IF(OR(AP48&lt;=_Différé1,AP48&gt;_NoEchMaxi1),IF(_DiffTotal1,-AU48,0),IF(AP48&gt;=_NoEchRemb1,AT48,IF('Données Projet 1'!I57-(AU48*_EchFIXE1)&gt;AT48-2,AT48,'Données Projet 1'!I57-(AU48*_EchFIXE1))))+AK48</f>
        <v>0</v>
      </c>
      <c r="AW48" s="154">
        <f t="shared" si="11"/>
        <v>15.6</v>
      </c>
      <c r="AX48" s="157">
        <f t="shared" si="3"/>
        <v>171.64</v>
      </c>
    </row>
    <row r="49" spans="1:50" ht="15.75" customHeight="1" x14ac:dyDescent="0.3">
      <c r="E49" s="487"/>
      <c r="F49" s="414"/>
      <c r="I49" s="491" t="s">
        <v>240</v>
      </c>
      <c r="J49" s="524">
        <f>J29*17.2%</f>
        <v>827.04651999999987</v>
      </c>
      <c r="O49" s="560" t="s">
        <v>328</v>
      </c>
      <c r="P49" s="498" t="s">
        <v>199</v>
      </c>
      <c r="Q49" s="500">
        <v>0</v>
      </c>
      <c r="R49" s="413"/>
      <c r="S49" s="413"/>
      <c r="T49" s="3"/>
      <c r="U49" s="164"/>
      <c r="V49" s="22"/>
      <c r="W49" s="21"/>
      <c r="X49" s="23"/>
      <c r="Y49" s="10"/>
      <c r="Z49" s="5">
        <f t="shared" si="4"/>
        <v>43</v>
      </c>
      <c r="AA49" s="7">
        <f t="shared" si="5"/>
        <v>378</v>
      </c>
      <c r="AB49" s="8">
        <f t="shared" si="0"/>
        <v>2012</v>
      </c>
      <c r="AC49" s="31">
        <f>IF(AD49=0,"",IF(_Ijour=0,MIN(DATE(YEAR(_DebAmort),MONTH(_DebAmort)+(Z49-1)*_Imois,_Jour1),DATE(YEAR(_DebAmort),MONTH(_DebAmort)+1+(Z49-1)*_Imois,0)),DATE(YEAR(_DebAmort),MONTH(_DebAmort),_Jour1+(Z49-1)*_Ijour)))</f>
        <v>41091</v>
      </c>
      <c r="AD49" s="156">
        <f t="shared" si="6"/>
        <v>219851.06000000003</v>
      </c>
      <c r="AE49" s="153">
        <f>IF(Z49&lt;=_NoEchMaxi,ROUND(AD49*'Données Projet 1'!A58,_NbDeci),0)</f>
        <v>340.77</v>
      </c>
      <c r="AF49" s="152">
        <f>IF(OR(Z49&lt;=_Différé,Z49&gt;_NoEchMaxi),IF(_DiffTotal,-AE49,0),IF(Z49&gt;=_NoEchRemb,AD49,IF('Données Projet 1'!B58-(AE49*_EchFIXE)&gt;AD49-2,AD49,'Données Projet 1'!B58-(AE49*_EchFIXE))))+U49</f>
        <v>428.21000000000004</v>
      </c>
      <c r="AG49" s="154">
        <f t="shared" si="7"/>
        <v>19.77</v>
      </c>
      <c r="AH49" s="157">
        <f t="shared" si="1"/>
        <v>788.75</v>
      </c>
      <c r="AI49"/>
      <c r="AJ49" s="3"/>
      <c r="AK49" s="164"/>
      <c r="AL49" s="22"/>
      <c r="AM49" s="21"/>
      <c r="AN49" s="23"/>
      <c r="AO49" s="10"/>
      <c r="AP49" s="5">
        <f t="shared" si="8"/>
        <v>43</v>
      </c>
      <c r="AQ49" s="7">
        <f t="shared" si="9"/>
        <v>138</v>
      </c>
      <c r="AR49" s="8">
        <f t="shared" si="2"/>
        <v>2012</v>
      </c>
      <c r="AS49" s="31">
        <f>IF(AT49=0,"",IF(_Ijour1=0,MIN(DATE(YEAR(_DebAmort1),MONTH(_DebAmort1)+(AP49-1)*_Imois1,__Jou1),DATE(YEAR(_DebAmort1),MONTH(_DebAmort1)+1+(AP49-1)*_Imois1,0)),DATE(YEAR(_DebAmort1),MONTH(_DebAmort1),__Jou1+(AP49-1)*_Ijour1)))</f>
        <v>41091</v>
      </c>
      <c r="AT49" s="156">
        <f t="shared" si="10"/>
        <v>187250</v>
      </c>
      <c r="AU49" s="153">
        <f>IF(AP49&lt;=_NoEchMaxi1,ROUND(AT49*'Données Projet 1'!H58,_NbDeci1),0)</f>
        <v>156.04</v>
      </c>
      <c r="AV49" s="152">
        <f>IF(OR(AP49&lt;=_Différé1,AP49&gt;_NoEchMaxi1),IF(_DiffTotal1,-AU49,0),IF(AP49&gt;=_NoEchRemb1,AT49,IF('Données Projet 1'!I58-(AU49*_EchFIXE1)&gt;AT49-2,AT49,'Données Projet 1'!I58-(AU49*_EchFIXE1))))+AK49</f>
        <v>0</v>
      </c>
      <c r="AW49" s="154">
        <f t="shared" si="11"/>
        <v>15.6</v>
      </c>
      <c r="AX49" s="157">
        <f t="shared" si="3"/>
        <v>171.64</v>
      </c>
    </row>
    <row r="50" spans="1:50" ht="15.75" customHeight="1" x14ac:dyDescent="0.3">
      <c r="A50" s="491" t="s">
        <v>248</v>
      </c>
      <c r="B50" s="534">
        <f>SUM('TAM Projet 1'!H15-B48)</f>
        <v>17532.95348</v>
      </c>
      <c r="C50" s="488" t="s">
        <v>248</v>
      </c>
      <c r="D50" s="534">
        <f>SUM('TAM Projet 1'!H15-D48)</f>
        <v>17103.10656</v>
      </c>
      <c r="E50" s="487"/>
      <c r="F50" s="414"/>
      <c r="O50" s="560"/>
      <c r="P50" s="499" t="s">
        <v>309</v>
      </c>
      <c r="Q50" s="501">
        <f>SUM('TAM Projet 1'!D3*0.15)</f>
        <v>229.5</v>
      </c>
      <c r="R50" s="413"/>
      <c r="S50" s="413"/>
      <c r="T50" s="3"/>
      <c r="U50" s="164"/>
      <c r="V50" s="22"/>
      <c r="W50" s="21"/>
      <c r="X50" s="23"/>
      <c r="Y50" s="10"/>
      <c r="Z50" s="5">
        <f t="shared" si="4"/>
        <v>44</v>
      </c>
      <c r="AA50" s="7">
        <f t="shared" si="5"/>
        <v>377</v>
      </c>
      <c r="AB50" s="8">
        <f t="shared" si="0"/>
        <v>2012</v>
      </c>
      <c r="AC50" s="31">
        <f>IF(AD50=0,"",IF(_Ijour=0,MIN(DATE(YEAR(_DebAmort),MONTH(_DebAmort)+_MoisD+(Z50-1)*_Imois,_Jour2),DATE(YEAR(_DebAmort),MONTH(_DebAmort)+_MoisD+1+(Z50-1)*_Imois,0)),DATE(YEAR(_DebAmort),MONTH(_DebAmort),_Jour1+(Z50-1)*_Ijour)))</f>
        <v>41122</v>
      </c>
      <c r="AD50" s="156">
        <f t="shared" si="6"/>
        <v>219422.85000000003</v>
      </c>
      <c r="AE50" s="153">
        <f>IF(Z50&lt;=_NoEchMaxi,ROUND(AD50*'Données Projet 1'!A59,_NbDeci),0)</f>
        <v>340.11</v>
      </c>
      <c r="AF50" s="152">
        <f>IF(OR(Z50&lt;=_Différé,Z50&gt;_NoEchMaxi),IF(_DiffTotal,-AE50,0),IF(Z50&gt;=_NoEchRemb,AD50,IF('Données Projet 1'!B59-(AE50*_EchFIXE)&gt;AD50-2,AD50,'Données Projet 1'!B59-(AE50*_EchFIXE))))+U50</f>
        <v>428.87</v>
      </c>
      <c r="AG50" s="154">
        <f t="shared" si="7"/>
        <v>19.77</v>
      </c>
      <c r="AH50" s="157">
        <f t="shared" si="1"/>
        <v>788.75</v>
      </c>
      <c r="AI50"/>
      <c r="AJ50" s="3"/>
      <c r="AK50" s="164"/>
      <c r="AL50" s="22"/>
      <c r="AM50" s="21"/>
      <c r="AN50" s="23"/>
      <c r="AO50" s="10"/>
      <c r="AP50" s="5">
        <f t="shared" si="8"/>
        <v>44</v>
      </c>
      <c r="AQ50" s="7">
        <f t="shared" si="9"/>
        <v>137</v>
      </c>
      <c r="AR50" s="8">
        <f t="shared" si="2"/>
        <v>2012</v>
      </c>
      <c r="AS50" s="31">
        <f>IF(AT50=0,"",IF(_Ijour1=0,MIN(DATE(YEAR(_DebAmort1),MONTH(_DebAmort1)+_MoisD1+(AP50-1)*_Imois1,__Jou2),DATE(YEAR(_DebAmort1),MONTH(_DebAmort1)+_MoisD1+1+(AP50-1)*_Imois1,0)),DATE(YEAR(_DebAmort1),MONTH(_DebAmort1),__Jou1+(AP50-1)*_Ijour1)))</f>
        <v>41122</v>
      </c>
      <c r="AT50" s="156">
        <f t="shared" si="10"/>
        <v>187250</v>
      </c>
      <c r="AU50" s="153">
        <f>IF(AP50&lt;=_NoEchMaxi1,ROUND(AT50*'Données Projet 1'!H59,_NbDeci1),0)</f>
        <v>156.04</v>
      </c>
      <c r="AV50" s="152">
        <f>IF(OR(AP50&lt;=_Différé1,AP50&gt;_NoEchMaxi1),IF(_DiffTotal1,-AU50,0),IF(AP50&gt;=_NoEchRemb1,AT50,IF('Données Projet 1'!I59-(AU50*_EchFIXE1)&gt;AT50-2,AT50,'Données Projet 1'!I59-(AU50*_EchFIXE1))))+AK50</f>
        <v>0</v>
      </c>
      <c r="AW50" s="154">
        <f t="shared" si="11"/>
        <v>15.6</v>
      </c>
      <c r="AX50" s="157">
        <f t="shared" si="3"/>
        <v>171.64</v>
      </c>
    </row>
    <row r="51" spans="1:50" ht="15.75" customHeight="1" x14ac:dyDescent="0.3">
      <c r="A51" s="483" t="s">
        <v>264</v>
      </c>
      <c r="B51" s="535">
        <f>B50-B17-J8*12</f>
        <v>8067.9534800000001</v>
      </c>
      <c r="C51" s="489" t="s">
        <v>264</v>
      </c>
      <c r="D51" s="535">
        <f>D50-D17-'TAM Projet 1'!J16*12</f>
        <v>15043.42656</v>
      </c>
      <c r="E51" s="487"/>
      <c r="F51" s="414"/>
      <c r="I51" s="522" t="s">
        <v>353</v>
      </c>
      <c r="J51" s="524">
        <f>J47+J49</f>
        <v>827.04651999999987</v>
      </c>
      <c r="O51" s="560"/>
      <c r="P51" s="499" t="s">
        <v>178</v>
      </c>
      <c r="Q51" s="501">
        <f>SUM('TAM Projet 1'!D3*0.5)</f>
        <v>765</v>
      </c>
      <c r="R51" s="413"/>
      <c r="S51" s="413"/>
      <c r="T51" s="3"/>
      <c r="U51" s="164"/>
      <c r="V51" s="22"/>
      <c r="W51" s="21"/>
      <c r="X51" s="23"/>
      <c r="Y51" s="10"/>
      <c r="Z51" s="5">
        <f t="shared" si="4"/>
        <v>45</v>
      </c>
      <c r="AA51" s="7">
        <f t="shared" si="5"/>
        <v>376</v>
      </c>
      <c r="AB51" s="8">
        <f t="shared" si="0"/>
        <v>2012</v>
      </c>
      <c r="AC51" s="31">
        <f>IF(AD51=0,"",IF(_Ijour=0,MIN(DATE(YEAR(_DebAmort),MONTH(_DebAmort)+(Z51-1)*_Imois,_Jour1),DATE(YEAR(_DebAmort),MONTH(_DebAmort)+1+(Z51-1)*_Imois,0)),DATE(YEAR(_DebAmort),MONTH(_DebAmort),_Jour1+(Z51-1)*_Ijour)))</f>
        <v>41153</v>
      </c>
      <c r="AD51" s="156">
        <f t="shared" si="6"/>
        <v>218993.98000000004</v>
      </c>
      <c r="AE51" s="153">
        <f>IF(Z51&lt;=_NoEchMaxi,ROUND(AD51*'Données Projet 1'!A60,_NbDeci),0)</f>
        <v>339.44</v>
      </c>
      <c r="AF51" s="152">
        <f>IF(OR(Z51&lt;=_Différé,Z51&gt;_NoEchMaxi),IF(_DiffTotal,-AE51,0),IF(Z51&gt;=_NoEchRemb,AD51,IF('Données Projet 1'!B60-(AE51*_EchFIXE)&gt;AD51-2,AD51,'Données Projet 1'!B60-(AE51*_EchFIXE))))+U51</f>
        <v>429.54</v>
      </c>
      <c r="AG51" s="154">
        <f t="shared" si="7"/>
        <v>19.77</v>
      </c>
      <c r="AH51" s="157">
        <f t="shared" si="1"/>
        <v>788.75</v>
      </c>
      <c r="AI51"/>
      <c r="AJ51" s="3"/>
      <c r="AK51" s="164"/>
      <c r="AL51" s="22"/>
      <c r="AM51" s="21"/>
      <c r="AN51" s="23"/>
      <c r="AO51" s="10"/>
      <c r="AP51" s="5">
        <f t="shared" si="8"/>
        <v>45</v>
      </c>
      <c r="AQ51" s="7">
        <f t="shared" si="9"/>
        <v>136</v>
      </c>
      <c r="AR51" s="8">
        <f t="shared" si="2"/>
        <v>2012</v>
      </c>
      <c r="AS51" s="31">
        <f>IF(AT51=0,"",IF(_Ijour1=0,MIN(DATE(YEAR(_DebAmort1),MONTH(_DebAmort1)+(AP51-1)*_Imois1,__Jou1),DATE(YEAR(_DebAmort1),MONTH(_DebAmort1)+1+(AP51-1)*_Imois1,0)),DATE(YEAR(_DebAmort1),MONTH(_DebAmort1),__Jou1+(AP51-1)*_Ijour1)))</f>
        <v>41153</v>
      </c>
      <c r="AT51" s="156">
        <f t="shared" si="10"/>
        <v>187250</v>
      </c>
      <c r="AU51" s="153">
        <f>IF(AP51&lt;=_NoEchMaxi1,ROUND(AT51*'Données Projet 1'!H60,_NbDeci1),0)</f>
        <v>156.04</v>
      </c>
      <c r="AV51" s="152">
        <f>IF(OR(AP51&lt;=_Différé1,AP51&gt;_NoEchMaxi1),IF(_DiffTotal1,-AU51,0),IF(AP51&gt;=_NoEchRemb1,AT51,IF('Données Projet 1'!I60-(AU51*_EchFIXE1)&gt;AT51-2,AT51,'Données Projet 1'!I60-(AU51*_EchFIXE1))))+AK51</f>
        <v>0</v>
      </c>
      <c r="AW51" s="154">
        <f t="shared" si="11"/>
        <v>15.6</v>
      </c>
      <c r="AX51" s="157">
        <f t="shared" si="3"/>
        <v>171.64</v>
      </c>
    </row>
    <row r="52" spans="1:50" ht="15.75" customHeight="1" x14ac:dyDescent="0.3">
      <c r="A52" s="483" t="s">
        <v>265</v>
      </c>
      <c r="B52" s="535">
        <f>B51/12</f>
        <v>672.32945666666672</v>
      </c>
      <c r="C52" s="489" t="s">
        <v>265</v>
      </c>
      <c r="D52" s="535">
        <f>D51/12</f>
        <v>1253.61888</v>
      </c>
      <c r="E52" s="487"/>
      <c r="F52" s="414"/>
      <c r="O52" s="561"/>
      <c r="P52" s="504"/>
      <c r="Q52" s="505"/>
      <c r="R52" s="413"/>
      <c r="S52" s="413"/>
      <c r="T52" s="3"/>
      <c r="U52" s="164"/>
      <c r="V52" s="22"/>
      <c r="W52" s="21"/>
      <c r="X52" s="23"/>
      <c r="Y52" s="10"/>
      <c r="Z52" s="5">
        <f t="shared" si="4"/>
        <v>46</v>
      </c>
      <c r="AA52" s="7">
        <f t="shared" si="5"/>
        <v>375</v>
      </c>
      <c r="AB52" s="8">
        <f t="shared" si="0"/>
        <v>2012</v>
      </c>
      <c r="AC52" s="31">
        <f>IF(AD52=0,"",IF(_Ijour=0,MIN(DATE(YEAR(_DebAmort),MONTH(_DebAmort)+_MoisD+(Z52-1)*_Imois,_Jour2),DATE(YEAR(_DebAmort),MONTH(_DebAmort)+_MoisD+1+(Z52-1)*_Imois,0)),DATE(YEAR(_DebAmort),MONTH(_DebAmort),_Jour1+(Z52-1)*_Ijour)))</f>
        <v>41183</v>
      </c>
      <c r="AD52" s="156">
        <f t="shared" si="6"/>
        <v>218564.44000000003</v>
      </c>
      <c r="AE52" s="153">
        <f>IF(Z52&lt;=_NoEchMaxi,ROUND(AD52*'Données Projet 1'!A61,_NbDeci),0)</f>
        <v>338.77</v>
      </c>
      <c r="AF52" s="152">
        <f>IF(OR(Z52&lt;=_Différé,Z52&gt;_NoEchMaxi),IF(_DiffTotal,-AE52,0),IF(Z52&gt;=_NoEchRemb,AD52,IF('Données Projet 1'!B61-(AE52*_EchFIXE)&gt;AD52-2,AD52,'Données Projet 1'!B61-(AE52*_EchFIXE))))+U52</f>
        <v>430.21000000000004</v>
      </c>
      <c r="AG52" s="154">
        <f t="shared" si="7"/>
        <v>19.77</v>
      </c>
      <c r="AH52" s="157">
        <f t="shared" si="1"/>
        <v>788.75</v>
      </c>
      <c r="AI52"/>
      <c r="AJ52" s="3"/>
      <c r="AK52" s="164"/>
      <c r="AL52" s="22"/>
      <c r="AM52" s="21"/>
      <c r="AN52" s="23"/>
      <c r="AO52" s="10"/>
      <c r="AP52" s="5">
        <f t="shared" si="8"/>
        <v>46</v>
      </c>
      <c r="AQ52" s="7">
        <f t="shared" si="9"/>
        <v>135</v>
      </c>
      <c r="AR52" s="8">
        <f t="shared" si="2"/>
        <v>2012</v>
      </c>
      <c r="AS52" s="31">
        <f>IF(AT52=0,"",IF(_Ijour1=0,MIN(DATE(YEAR(_DebAmort1),MONTH(_DebAmort1)+_MoisD1+(AP52-1)*_Imois1,__Jou2),DATE(YEAR(_DebAmort1),MONTH(_DebAmort1)+_MoisD1+1+(AP52-1)*_Imois1,0)),DATE(YEAR(_DebAmort1),MONTH(_DebAmort1),__Jou1+(AP52-1)*_Ijour1)))</f>
        <v>41183</v>
      </c>
      <c r="AT52" s="156">
        <f t="shared" si="10"/>
        <v>187250</v>
      </c>
      <c r="AU52" s="153">
        <f>IF(AP52&lt;=_NoEchMaxi1,ROUND(AT52*'Données Projet 1'!H61,_NbDeci1),0)</f>
        <v>156.04</v>
      </c>
      <c r="AV52" s="152">
        <f>IF(OR(AP52&lt;=_Différé1,AP52&gt;_NoEchMaxi1),IF(_DiffTotal1,-AU52,0),IF(AP52&gt;=_NoEchRemb1,AT52,IF('Données Projet 1'!I61-(AU52*_EchFIXE1)&gt;AT52-2,AT52,'Données Projet 1'!I61-(AU52*_EchFIXE1))))+AK52</f>
        <v>0</v>
      </c>
      <c r="AW52" s="154">
        <f t="shared" si="11"/>
        <v>15.6</v>
      </c>
      <c r="AX52" s="157">
        <f t="shared" si="3"/>
        <v>171.64</v>
      </c>
    </row>
    <row r="53" spans="1:50" ht="15.75" customHeight="1" x14ac:dyDescent="0.3">
      <c r="E53" s="498"/>
      <c r="F53" s="411"/>
      <c r="O53" s="562" t="s">
        <v>310</v>
      </c>
      <c r="P53" s="506" t="s">
        <v>199</v>
      </c>
      <c r="Q53" s="507">
        <v>0</v>
      </c>
      <c r="R53" s="413"/>
      <c r="S53" s="413"/>
      <c r="T53" s="3"/>
      <c r="U53" s="164"/>
      <c r="V53" s="22"/>
      <c r="W53" s="21"/>
      <c r="X53" s="23"/>
      <c r="Y53" s="10"/>
      <c r="Z53" s="5">
        <f t="shared" si="4"/>
        <v>47</v>
      </c>
      <c r="AA53" s="7">
        <f t="shared" si="5"/>
        <v>374</v>
      </c>
      <c r="AB53" s="8">
        <f t="shared" si="0"/>
        <v>2012</v>
      </c>
      <c r="AC53" s="31">
        <f>IF(AD53=0,"",IF(_Ijour=0,MIN(DATE(YEAR(_DebAmort),MONTH(_DebAmort)+(Z53-1)*_Imois,_Jour1),DATE(YEAR(_DebAmort),MONTH(_DebAmort)+1+(Z53-1)*_Imois,0)),DATE(YEAR(_DebAmort),MONTH(_DebAmort),_Jour1+(Z53-1)*_Ijour)))</f>
        <v>41214</v>
      </c>
      <c r="AD53" s="156">
        <f t="shared" si="6"/>
        <v>218134.23000000004</v>
      </c>
      <c r="AE53" s="153">
        <f>IF(Z53&lt;=_NoEchMaxi,ROUND(AD53*'Données Projet 1'!A62,_NbDeci),0)</f>
        <v>338.11</v>
      </c>
      <c r="AF53" s="152">
        <f>IF(OR(Z53&lt;=_Différé,Z53&gt;_NoEchMaxi),IF(_DiffTotal,-AE53,0),IF(Z53&gt;=_NoEchRemb,AD53,IF('Données Projet 1'!B62-(AE53*_EchFIXE)&gt;AD53-2,AD53,'Données Projet 1'!B62-(AE53*_EchFIXE))))+U53</f>
        <v>430.87</v>
      </c>
      <c r="AG53" s="154">
        <f t="shared" si="7"/>
        <v>19.77</v>
      </c>
      <c r="AH53" s="157">
        <f t="shared" si="1"/>
        <v>788.75</v>
      </c>
      <c r="AI53"/>
      <c r="AJ53" s="3"/>
      <c r="AK53" s="164"/>
      <c r="AL53" s="22"/>
      <c r="AM53" s="21"/>
      <c r="AN53" s="23"/>
      <c r="AO53" s="10"/>
      <c r="AP53" s="5">
        <f t="shared" si="8"/>
        <v>47</v>
      </c>
      <c r="AQ53" s="7">
        <f t="shared" si="9"/>
        <v>134</v>
      </c>
      <c r="AR53" s="8">
        <f t="shared" si="2"/>
        <v>2012</v>
      </c>
      <c r="AS53" s="31">
        <f>IF(AT53=0,"",IF(_Ijour1=0,MIN(DATE(YEAR(_DebAmort1),MONTH(_DebAmort1)+(AP53-1)*_Imois1,__Jou1),DATE(YEAR(_DebAmort1),MONTH(_DebAmort1)+1+(AP53-1)*_Imois1,0)),DATE(YEAR(_DebAmort1),MONTH(_DebAmort1),__Jou1+(AP53-1)*_Ijour1)))</f>
        <v>41214</v>
      </c>
      <c r="AT53" s="156">
        <f t="shared" si="10"/>
        <v>187250</v>
      </c>
      <c r="AU53" s="153">
        <f>IF(AP53&lt;=_NoEchMaxi1,ROUND(AT53*'Données Projet 1'!H62,_NbDeci1),0)</f>
        <v>156.04</v>
      </c>
      <c r="AV53" s="152">
        <f>IF(OR(AP53&lt;=_Différé1,AP53&gt;_NoEchMaxi1),IF(_DiffTotal1,-AU53,0),IF(AP53&gt;=_NoEchRemb1,AT53,IF('Données Projet 1'!I62-(AU53*_EchFIXE1)&gt;AT53-2,AT53,'Données Projet 1'!I62-(AU53*_EchFIXE1))))+AK53</f>
        <v>0</v>
      </c>
      <c r="AW53" s="154">
        <f t="shared" si="11"/>
        <v>15.6</v>
      </c>
      <c r="AX53" s="157">
        <f t="shared" si="3"/>
        <v>171.64</v>
      </c>
    </row>
    <row r="54" spans="1:50" ht="15.75" customHeight="1" x14ac:dyDescent="0.3">
      <c r="E54" s="498"/>
      <c r="F54" s="411"/>
      <c r="O54" s="554"/>
      <c r="P54" s="499" t="s">
        <v>309</v>
      </c>
      <c r="Q54" s="501">
        <f>SUM('TAM Projet 1'!D5*0.15)</f>
        <v>0</v>
      </c>
      <c r="R54" s="413"/>
      <c r="S54" s="413"/>
      <c r="T54" s="3"/>
      <c r="U54" s="164"/>
      <c r="V54" s="22"/>
      <c r="W54" s="21"/>
      <c r="X54" s="23"/>
      <c r="Y54" s="10"/>
      <c r="Z54" s="5">
        <f t="shared" si="4"/>
        <v>48</v>
      </c>
      <c r="AA54" s="7">
        <f t="shared" si="5"/>
        <v>373</v>
      </c>
      <c r="AB54" s="8">
        <f t="shared" si="0"/>
        <v>2012</v>
      </c>
      <c r="AC54" s="31">
        <f>IF(AD54=0,"",IF(_Ijour=0,MIN(DATE(YEAR(_DebAmort),MONTH(_DebAmort)+_MoisD+(Z54-1)*_Imois,_Jour2),DATE(YEAR(_DebAmort),MONTH(_DebAmort)+_MoisD+1+(Z54-1)*_Imois,0)),DATE(YEAR(_DebAmort),MONTH(_DebAmort),_Jour1+(Z54-1)*_Ijour)))</f>
        <v>41244</v>
      </c>
      <c r="AD54" s="156">
        <f t="shared" si="6"/>
        <v>217703.36000000004</v>
      </c>
      <c r="AE54" s="153">
        <f>IF(Z54&lt;=_NoEchMaxi,ROUND(AD54*'Données Projet 1'!A63,_NbDeci),0)</f>
        <v>337.44</v>
      </c>
      <c r="AF54" s="152">
        <f>IF(OR(Z54&lt;=_Différé,Z54&gt;_NoEchMaxi),IF(_DiffTotal,-AE54,0),IF(Z54&gt;=_NoEchRemb,AD54,IF('Données Projet 1'!B63-(AE54*_EchFIXE)&gt;AD54-2,AD54,'Données Projet 1'!B63-(AE54*_EchFIXE))))+U54</f>
        <v>431.54</v>
      </c>
      <c r="AG54" s="154">
        <f t="shared" si="7"/>
        <v>19.77</v>
      </c>
      <c r="AH54" s="157">
        <f t="shared" si="1"/>
        <v>788.75</v>
      </c>
      <c r="AI54"/>
      <c r="AJ54" s="3"/>
      <c r="AK54" s="164"/>
      <c r="AL54" s="22"/>
      <c r="AM54" s="21"/>
      <c r="AN54" s="23"/>
      <c r="AO54" s="10"/>
      <c r="AP54" s="5">
        <f t="shared" si="8"/>
        <v>48</v>
      </c>
      <c r="AQ54" s="7">
        <f t="shared" si="9"/>
        <v>133</v>
      </c>
      <c r="AR54" s="8">
        <f t="shared" si="2"/>
        <v>2012</v>
      </c>
      <c r="AS54" s="31">
        <f>IF(AT54=0,"",IF(_Ijour1=0,MIN(DATE(YEAR(_DebAmort1),MONTH(_DebAmort1)+_MoisD1+(AP54-1)*_Imois1,__Jou2),DATE(YEAR(_DebAmort1),MONTH(_DebAmort1)+_MoisD1+1+(AP54-1)*_Imois1,0)),DATE(YEAR(_DebAmort1),MONTH(_DebAmort1),__Jou1+(AP54-1)*_Ijour1)))</f>
        <v>41244</v>
      </c>
      <c r="AT54" s="156">
        <f t="shared" si="10"/>
        <v>187250</v>
      </c>
      <c r="AU54" s="153">
        <f>IF(AP54&lt;=_NoEchMaxi1,ROUND(AT54*'Données Projet 1'!H63,_NbDeci1),0)</f>
        <v>156.04</v>
      </c>
      <c r="AV54" s="152">
        <f>IF(OR(AP54&lt;=_Différé1,AP54&gt;_NoEchMaxi1),IF(_DiffTotal1,-AU54,0),IF(AP54&gt;=_NoEchRemb1,AT54,IF('Données Projet 1'!I63-(AU54*_EchFIXE1)&gt;AT54-2,AT54,'Données Projet 1'!I63-(AU54*_EchFIXE1))))+AK54</f>
        <v>0</v>
      </c>
      <c r="AW54" s="154">
        <f t="shared" si="11"/>
        <v>15.6</v>
      </c>
      <c r="AX54" s="157">
        <f t="shared" si="3"/>
        <v>171.64</v>
      </c>
    </row>
    <row r="55" spans="1:50" ht="15.75" customHeight="1" x14ac:dyDescent="0.3">
      <c r="O55" s="554"/>
      <c r="P55" s="499" t="s">
        <v>178</v>
      </c>
      <c r="Q55" s="501">
        <f>SUM('TAM Projet 1'!D5*0.5)</f>
        <v>0</v>
      </c>
      <c r="R55" s="413"/>
      <c r="S55" s="413"/>
      <c r="T55" s="3"/>
      <c r="U55" s="164"/>
      <c r="V55" s="22"/>
      <c r="W55" s="21"/>
      <c r="X55" s="23"/>
      <c r="Y55" s="10"/>
      <c r="Z55" s="5">
        <f t="shared" si="4"/>
        <v>49</v>
      </c>
      <c r="AA55" s="7">
        <f t="shared" si="5"/>
        <v>372</v>
      </c>
      <c r="AB55" s="8">
        <f t="shared" si="0"/>
        <v>2013</v>
      </c>
      <c r="AC55" s="31">
        <f>IF(AD55=0,"",IF(_Ijour=0,MIN(DATE(YEAR(_DebAmort),MONTH(_DebAmort)+(Z55-1)*_Imois,_Jour1),DATE(YEAR(_DebAmort),MONTH(_DebAmort)+1+(Z55-1)*_Imois,0)),DATE(YEAR(_DebAmort),MONTH(_DebAmort),_Jour1+(Z55-1)*_Ijour)))</f>
        <v>41275</v>
      </c>
      <c r="AD55" s="156">
        <f t="shared" si="6"/>
        <v>217271.82000000004</v>
      </c>
      <c r="AE55" s="153">
        <f>IF(Z55&lt;=_NoEchMaxi,ROUND(AD55*'Données Projet 1'!A64,_NbDeci),0)</f>
        <v>336.77</v>
      </c>
      <c r="AF55" s="152">
        <f>IF(OR(Z55&lt;=_Différé,Z55&gt;_NoEchMaxi),IF(_DiffTotal,-AE55,0),IF(Z55&gt;=_NoEchRemb,AD55,IF('Données Projet 1'!B64-(AE55*_EchFIXE)&gt;AD55-2,AD55,'Données Projet 1'!B64-(AE55*_EchFIXE))))+U55</f>
        <v>432.21000000000004</v>
      </c>
      <c r="AG55" s="154">
        <f t="shared" si="7"/>
        <v>19.77</v>
      </c>
      <c r="AH55" s="157">
        <f t="shared" si="1"/>
        <v>788.75</v>
      </c>
      <c r="AI55"/>
      <c r="AJ55" s="3"/>
      <c r="AK55" s="164"/>
      <c r="AL55" s="22"/>
      <c r="AM55" s="21"/>
      <c r="AN55" s="23"/>
      <c r="AO55" s="10"/>
      <c r="AP55" s="5">
        <f t="shared" si="8"/>
        <v>49</v>
      </c>
      <c r="AQ55" s="7">
        <f t="shared" si="9"/>
        <v>132</v>
      </c>
      <c r="AR55" s="8">
        <f t="shared" si="2"/>
        <v>2013</v>
      </c>
      <c r="AS55" s="31">
        <f>IF(AT55=0,"",IF(_Ijour1=0,MIN(DATE(YEAR(_DebAmort1),MONTH(_DebAmort1)+(AP55-1)*_Imois1,__Jou1),DATE(YEAR(_DebAmort1),MONTH(_DebAmort1)+1+(AP55-1)*_Imois1,0)),DATE(YEAR(_DebAmort1),MONTH(_DebAmort1),__Jou1+(AP55-1)*_Ijour1)))</f>
        <v>41275</v>
      </c>
      <c r="AT55" s="156">
        <f t="shared" si="10"/>
        <v>187250</v>
      </c>
      <c r="AU55" s="153">
        <f>IF(AP55&lt;=_NoEchMaxi1,ROUND(AT55*'Données Projet 1'!H64,_NbDeci1),0)</f>
        <v>156.04</v>
      </c>
      <c r="AV55" s="152">
        <f>IF(OR(AP55&lt;=_Différé1,AP55&gt;_NoEchMaxi1),IF(_DiffTotal1,-AU55,0),IF(AP55&gt;=_NoEchRemb1,AT55,IF('Données Projet 1'!I64-(AU55*_EchFIXE1)&gt;AT55-2,AT55,'Données Projet 1'!I64-(AU55*_EchFIXE1))))+AK55</f>
        <v>0</v>
      </c>
      <c r="AW55" s="154">
        <f t="shared" si="11"/>
        <v>15.6</v>
      </c>
      <c r="AX55" s="157">
        <f t="shared" si="3"/>
        <v>171.64</v>
      </c>
    </row>
    <row r="56" spans="1:50" ht="15.75" customHeight="1" x14ac:dyDescent="0.3">
      <c r="A56" s="482"/>
      <c r="B56" s="369"/>
      <c r="C56" s="485"/>
      <c r="D56" s="369"/>
      <c r="H56" s="549" t="s">
        <v>347</v>
      </c>
      <c r="I56" s="549"/>
      <c r="J56" s="549"/>
      <c r="K56" s="549"/>
      <c r="L56" s="549"/>
      <c r="M56" s="549"/>
      <c r="O56" s="555"/>
      <c r="P56" s="508"/>
      <c r="Q56" s="509"/>
      <c r="R56" s="413"/>
      <c r="S56" s="413"/>
      <c r="T56" s="3"/>
      <c r="U56" s="164"/>
      <c r="V56" s="22"/>
      <c r="W56" s="21"/>
      <c r="X56" s="23"/>
      <c r="Y56" s="10"/>
      <c r="Z56" s="5">
        <f t="shared" si="4"/>
        <v>50</v>
      </c>
      <c r="AA56" s="7">
        <f t="shared" si="5"/>
        <v>371</v>
      </c>
      <c r="AB56" s="8">
        <f t="shared" si="0"/>
        <v>2013</v>
      </c>
      <c r="AC56" s="31">
        <f>IF(AD56=0,"",IF(_Ijour=0,MIN(DATE(YEAR(_DebAmort),MONTH(_DebAmort)+_MoisD+(Z56-1)*_Imois,_Jour2),DATE(YEAR(_DebAmort),MONTH(_DebAmort)+_MoisD+1+(Z56-1)*_Imois,0)),DATE(YEAR(_DebAmort),MONTH(_DebAmort),_Jour1+(Z56-1)*_Ijour)))</f>
        <v>41306</v>
      </c>
      <c r="AD56" s="156">
        <f t="shared" si="6"/>
        <v>216839.61000000004</v>
      </c>
      <c r="AE56" s="153">
        <f>IF(Z56&lt;=_NoEchMaxi,ROUND(AD56*'Données Projet 1'!A65,_NbDeci),0)</f>
        <v>336.1</v>
      </c>
      <c r="AF56" s="152">
        <f>IF(OR(Z56&lt;=_Différé,Z56&gt;_NoEchMaxi),IF(_DiffTotal,-AE56,0),IF(Z56&gt;=_NoEchRemb,AD56,IF('Données Projet 1'!B65-(AE56*_EchFIXE)&gt;AD56-2,AD56,'Données Projet 1'!B65-(AE56*_EchFIXE))))+U56</f>
        <v>432.88</v>
      </c>
      <c r="AG56" s="154">
        <f t="shared" si="7"/>
        <v>19.77</v>
      </c>
      <c r="AH56" s="157">
        <f t="shared" si="1"/>
        <v>788.75</v>
      </c>
      <c r="AI56"/>
      <c r="AJ56" s="3"/>
      <c r="AK56" s="164"/>
      <c r="AL56" s="22"/>
      <c r="AM56" s="21"/>
      <c r="AN56" s="23"/>
      <c r="AO56" s="10"/>
      <c r="AP56" s="5">
        <f t="shared" si="8"/>
        <v>50</v>
      </c>
      <c r="AQ56" s="7">
        <f t="shared" si="9"/>
        <v>131</v>
      </c>
      <c r="AR56" s="8">
        <f t="shared" si="2"/>
        <v>2013</v>
      </c>
      <c r="AS56" s="31">
        <f>IF(AT56=0,"",IF(_Ijour1=0,MIN(DATE(YEAR(_DebAmort1),MONTH(_DebAmort1)+_MoisD1+(AP56-1)*_Imois1,__Jou2),DATE(YEAR(_DebAmort1),MONTH(_DebAmort1)+_MoisD1+1+(AP56-1)*_Imois1,0)),DATE(YEAR(_DebAmort1),MONTH(_DebAmort1),__Jou1+(AP56-1)*_Ijour1)))</f>
        <v>41306</v>
      </c>
      <c r="AT56" s="156">
        <f t="shared" si="10"/>
        <v>187250</v>
      </c>
      <c r="AU56" s="153">
        <f>IF(AP56&lt;=_NoEchMaxi1,ROUND(AT56*'Données Projet 1'!H65,_NbDeci1),0)</f>
        <v>156.04</v>
      </c>
      <c r="AV56" s="152">
        <f>IF(OR(AP56&lt;=_Différé1,AP56&gt;_NoEchMaxi1),IF(_DiffTotal1,-AU56,0),IF(AP56&gt;=_NoEchRemb1,AT56,IF('Données Projet 1'!I65-(AU56*_EchFIXE1)&gt;AT56-2,AT56,'Données Projet 1'!I65-(AU56*_EchFIXE1))))+AK56</f>
        <v>0</v>
      </c>
      <c r="AW56" s="154">
        <f t="shared" si="11"/>
        <v>15.6</v>
      </c>
      <c r="AX56" s="157">
        <f t="shared" si="3"/>
        <v>171.64</v>
      </c>
    </row>
    <row r="57" spans="1:50" ht="15.75" customHeight="1" x14ac:dyDescent="0.3">
      <c r="H57" s="512" t="s">
        <v>293</v>
      </c>
      <c r="I57" s="546" t="s">
        <v>284</v>
      </c>
      <c r="J57" s="546"/>
      <c r="K57" s="513" t="s">
        <v>285</v>
      </c>
      <c r="L57" s="513" t="s">
        <v>286</v>
      </c>
      <c r="M57" s="512" t="s">
        <v>287</v>
      </c>
      <c r="O57" s="553" t="s">
        <v>311</v>
      </c>
      <c r="P57" s="510" t="s">
        <v>199</v>
      </c>
      <c r="Q57" s="511">
        <v>0</v>
      </c>
      <c r="R57" s="413"/>
      <c r="S57" s="413"/>
      <c r="T57" s="3"/>
      <c r="U57" s="164"/>
      <c r="V57" s="22"/>
      <c r="W57" s="21"/>
      <c r="X57" s="23"/>
      <c r="Y57" s="10"/>
      <c r="Z57" s="5">
        <f t="shared" si="4"/>
        <v>51</v>
      </c>
      <c r="AA57" s="7">
        <f t="shared" si="5"/>
        <v>370</v>
      </c>
      <c r="AB57" s="8">
        <f t="shared" si="0"/>
        <v>2013</v>
      </c>
      <c r="AC57" s="31">
        <f>IF(AD57=0,"",IF(_Ijour=0,MIN(DATE(YEAR(_DebAmort),MONTH(_DebAmort)+(Z57-1)*_Imois,_Jour1),DATE(YEAR(_DebAmort),MONTH(_DebAmort)+1+(Z57-1)*_Imois,0)),DATE(YEAR(_DebAmort),MONTH(_DebAmort),_Jour1+(Z57-1)*_Ijour)))</f>
        <v>41334</v>
      </c>
      <c r="AD57" s="156">
        <f t="shared" si="6"/>
        <v>216406.73000000004</v>
      </c>
      <c r="AE57" s="153">
        <f>IF(Z57&lt;=_NoEchMaxi,ROUND(AD57*'Données Projet 1'!A66,_NbDeci),0)</f>
        <v>335.43</v>
      </c>
      <c r="AF57" s="152">
        <f>IF(OR(Z57&lt;=_Différé,Z57&gt;_NoEchMaxi),IF(_DiffTotal,-AE57,0),IF(Z57&gt;=_NoEchRemb,AD57,IF('Données Projet 1'!B66-(AE57*_EchFIXE)&gt;AD57-2,AD57,'Données Projet 1'!B66-(AE57*_EchFIXE))))+U57</f>
        <v>433.55</v>
      </c>
      <c r="AG57" s="154">
        <f t="shared" si="7"/>
        <v>19.77</v>
      </c>
      <c r="AH57" s="157">
        <f t="shared" si="1"/>
        <v>788.75</v>
      </c>
      <c r="AI57"/>
      <c r="AJ57" s="3"/>
      <c r="AK57" s="164"/>
      <c r="AL57" s="22"/>
      <c r="AM57" s="21"/>
      <c r="AN57" s="23"/>
      <c r="AO57" s="10"/>
      <c r="AP57" s="5">
        <f t="shared" si="8"/>
        <v>51</v>
      </c>
      <c r="AQ57" s="7">
        <f t="shared" si="9"/>
        <v>130</v>
      </c>
      <c r="AR57" s="8">
        <f t="shared" si="2"/>
        <v>2013</v>
      </c>
      <c r="AS57" s="31">
        <f>IF(AT57=0,"",IF(_Ijour1=0,MIN(DATE(YEAR(_DebAmort1),MONTH(_DebAmort1)+(AP57-1)*_Imois1,__Jou1),DATE(YEAR(_DebAmort1),MONTH(_DebAmort1)+1+(AP57-1)*_Imois1,0)),DATE(YEAR(_DebAmort1),MONTH(_DebAmort1),__Jou1+(AP57-1)*_Ijour1)))</f>
        <v>41334</v>
      </c>
      <c r="AT57" s="156">
        <f t="shared" si="10"/>
        <v>187250</v>
      </c>
      <c r="AU57" s="153">
        <f>IF(AP57&lt;=_NoEchMaxi1,ROUND(AT57*'Données Projet 1'!H66,_NbDeci1),0)</f>
        <v>156.04</v>
      </c>
      <c r="AV57" s="152">
        <f>IF(OR(AP57&lt;=_Différé1,AP57&gt;_NoEchMaxi1),IF(_DiffTotal1,-AU57,0),IF(AP57&gt;=_NoEchRemb1,AT57,IF('Données Projet 1'!I66-(AU57*_EchFIXE1)&gt;AT57-2,AT57,'Données Projet 1'!I66-(AU57*_EchFIXE1))))+AK57</f>
        <v>0</v>
      </c>
      <c r="AW57" s="154">
        <f t="shared" si="11"/>
        <v>15.6</v>
      </c>
      <c r="AX57" s="157">
        <f t="shared" si="3"/>
        <v>171.64</v>
      </c>
    </row>
    <row r="58" spans="1:50" ht="15.75" customHeight="1" x14ac:dyDescent="0.3">
      <c r="H58" s="314" t="s">
        <v>295</v>
      </c>
      <c r="I58" s="315">
        <v>0</v>
      </c>
      <c r="J58" s="315">
        <v>9807</v>
      </c>
      <c r="K58" s="316">
        <f>+IF('TAM Projet 1'!B33&gt;J58,J58,'TAM Projet 1'!B33)</f>
        <v>9807</v>
      </c>
      <c r="L58" s="317">
        <v>0</v>
      </c>
      <c r="M58" s="316">
        <v>0</v>
      </c>
      <c r="O58" s="554"/>
      <c r="P58" s="499" t="s">
        <v>309</v>
      </c>
      <c r="Q58" s="501">
        <f>SUM('TAM Projet 1'!D7*0.15)</f>
        <v>0</v>
      </c>
      <c r="R58" s="413"/>
      <c r="S58" s="413"/>
      <c r="T58" s="3"/>
      <c r="U58" s="164"/>
      <c r="V58" s="22"/>
      <c r="W58" s="21"/>
      <c r="X58" s="23"/>
      <c r="Y58" s="10"/>
      <c r="Z58" s="5">
        <f t="shared" si="4"/>
        <v>52</v>
      </c>
      <c r="AA58" s="7">
        <f t="shared" si="5"/>
        <v>369</v>
      </c>
      <c r="AB58" s="8">
        <f t="shared" si="0"/>
        <v>2013</v>
      </c>
      <c r="AC58" s="31">
        <f>IF(AD58=0,"",IF(_Ijour=0,MIN(DATE(YEAR(_DebAmort),MONTH(_DebAmort)+_MoisD+(Z58-1)*_Imois,_Jour2),DATE(YEAR(_DebAmort),MONTH(_DebAmort)+_MoisD+1+(Z58-1)*_Imois,0)),DATE(YEAR(_DebAmort),MONTH(_DebAmort),_Jour1+(Z58-1)*_Ijour)))</f>
        <v>41365</v>
      </c>
      <c r="AD58" s="156">
        <f t="shared" si="6"/>
        <v>215973.18000000005</v>
      </c>
      <c r="AE58" s="153">
        <f>IF(Z58&lt;=_NoEchMaxi,ROUND(AD58*'Données Projet 1'!A67,_NbDeci),0)</f>
        <v>334.76</v>
      </c>
      <c r="AF58" s="152">
        <f>IF(OR(Z58&lt;=_Différé,Z58&gt;_NoEchMaxi),IF(_DiffTotal,-AE58,0),IF(Z58&gt;=_NoEchRemb,AD58,IF('Données Projet 1'!B67-(AE58*_EchFIXE)&gt;AD58-2,AD58,'Données Projet 1'!B67-(AE58*_EchFIXE))))+U58</f>
        <v>434.22</v>
      </c>
      <c r="AG58" s="154">
        <f t="shared" si="7"/>
        <v>19.77</v>
      </c>
      <c r="AH58" s="157">
        <f t="shared" si="1"/>
        <v>788.75</v>
      </c>
      <c r="AI58"/>
      <c r="AJ58" s="3"/>
      <c r="AK58" s="164"/>
      <c r="AL58" s="22"/>
      <c r="AM58" s="21"/>
      <c r="AN58" s="23"/>
      <c r="AO58" s="10"/>
      <c r="AP58" s="5">
        <f t="shared" si="8"/>
        <v>52</v>
      </c>
      <c r="AQ58" s="7">
        <f t="shared" si="9"/>
        <v>129</v>
      </c>
      <c r="AR58" s="8">
        <f t="shared" si="2"/>
        <v>2013</v>
      </c>
      <c r="AS58" s="31">
        <f>IF(AT58=0,"",IF(_Ijour1=0,MIN(DATE(YEAR(_DebAmort1),MONTH(_DebAmort1)+_MoisD1+(AP58-1)*_Imois1,__Jou2),DATE(YEAR(_DebAmort1),MONTH(_DebAmort1)+_MoisD1+1+(AP58-1)*_Imois1,0)),DATE(YEAR(_DebAmort1),MONTH(_DebAmort1),__Jou1+(AP58-1)*_Ijour1)))</f>
        <v>41365</v>
      </c>
      <c r="AT58" s="156">
        <f t="shared" si="10"/>
        <v>187250</v>
      </c>
      <c r="AU58" s="153">
        <f>IF(AP58&lt;=_NoEchMaxi1,ROUND(AT58*'Données Projet 1'!H67,_NbDeci1),0)</f>
        <v>156.04</v>
      </c>
      <c r="AV58" s="152">
        <f>IF(OR(AP58&lt;=_Différé1,AP58&gt;_NoEchMaxi1),IF(_DiffTotal1,-AU58,0),IF(AP58&gt;=_NoEchRemb1,AT58,IF('Données Projet 1'!I67-(AU58*_EchFIXE1)&gt;AT58-2,AT58,'Données Projet 1'!I67-(AU58*_EchFIXE1))))+AK58</f>
        <v>0</v>
      </c>
      <c r="AW58" s="154">
        <f t="shared" si="11"/>
        <v>15.6</v>
      </c>
      <c r="AX58" s="157">
        <f t="shared" si="3"/>
        <v>171.64</v>
      </c>
    </row>
    <row r="59" spans="1:50" ht="15.75" customHeight="1" x14ac:dyDescent="0.3">
      <c r="H59" s="314" t="s">
        <v>297</v>
      </c>
      <c r="I59" s="315">
        <v>9808</v>
      </c>
      <c r="J59" s="315">
        <v>27086</v>
      </c>
      <c r="K59" s="316">
        <f>IF('TAM Projet 1'!$B$33&lt;I59,0,IF('TAM Projet 1'!$B$33&lt;=J59,'TAM Projet 1'!$B$33-J58,J59-J58))</f>
        <v>298.60666666666657</v>
      </c>
      <c r="L59" s="317">
        <v>0.14000000000000001</v>
      </c>
      <c r="M59" s="316">
        <f>SUM(K59*L59)</f>
        <v>41.804933333333324</v>
      </c>
      <c r="O59" s="554"/>
      <c r="P59" s="499" t="s">
        <v>178</v>
      </c>
      <c r="Q59" s="501">
        <f>SUM('TAM Projet 1'!D7*0.5)</f>
        <v>0</v>
      </c>
      <c r="R59" s="413"/>
      <c r="S59" s="413"/>
      <c r="T59" s="3"/>
      <c r="U59" s="164"/>
      <c r="V59" s="22"/>
      <c r="W59" s="21"/>
      <c r="X59" s="23"/>
      <c r="Y59" s="10"/>
      <c r="Z59" s="5">
        <f t="shared" si="4"/>
        <v>53</v>
      </c>
      <c r="AA59" s="7">
        <f t="shared" si="5"/>
        <v>368</v>
      </c>
      <c r="AB59" s="8">
        <f t="shared" si="0"/>
        <v>2013</v>
      </c>
      <c r="AC59" s="31">
        <f>IF(AD59=0,"",IF(_Ijour=0,MIN(DATE(YEAR(_DebAmort),MONTH(_DebAmort)+(Z59-1)*_Imois,_Jour1),DATE(YEAR(_DebAmort),MONTH(_DebAmort)+1+(Z59-1)*_Imois,0)),DATE(YEAR(_DebAmort),MONTH(_DebAmort),_Jour1+(Z59-1)*_Ijour)))</f>
        <v>41395</v>
      </c>
      <c r="AD59" s="156">
        <f t="shared" si="6"/>
        <v>215538.96000000005</v>
      </c>
      <c r="AE59" s="153">
        <f>IF(Z59&lt;=_NoEchMaxi,ROUND(AD59*'Données Projet 1'!A68,_NbDeci),0)</f>
        <v>334.09</v>
      </c>
      <c r="AF59" s="152">
        <f>IF(OR(Z59&lt;=_Différé,Z59&gt;_NoEchMaxi),IF(_DiffTotal,-AE59,0),IF(Z59&gt;=_NoEchRemb,AD59,IF('Données Projet 1'!B68-(AE59*_EchFIXE)&gt;AD59-2,AD59,'Données Projet 1'!B68-(AE59*_EchFIXE))))+U59</f>
        <v>434.89000000000004</v>
      </c>
      <c r="AG59" s="154">
        <f t="shared" si="7"/>
        <v>19.77</v>
      </c>
      <c r="AH59" s="157">
        <f t="shared" si="1"/>
        <v>788.75</v>
      </c>
      <c r="AI59"/>
      <c r="AJ59" s="3"/>
      <c r="AK59" s="164"/>
      <c r="AL59" s="22"/>
      <c r="AM59" s="21"/>
      <c r="AN59" s="23"/>
      <c r="AO59" s="10"/>
      <c r="AP59" s="5">
        <f t="shared" si="8"/>
        <v>53</v>
      </c>
      <c r="AQ59" s="7">
        <f t="shared" si="9"/>
        <v>128</v>
      </c>
      <c r="AR59" s="8">
        <f t="shared" si="2"/>
        <v>2013</v>
      </c>
      <c r="AS59" s="31">
        <f>IF(AT59=0,"",IF(_Ijour1=0,MIN(DATE(YEAR(_DebAmort1),MONTH(_DebAmort1)+(AP59-1)*_Imois1,__Jou1),DATE(YEAR(_DebAmort1),MONTH(_DebAmort1)+1+(AP59-1)*_Imois1,0)),DATE(YEAR(_DebAmort1),MONTH(_DebAmort1),__Jou1+(AP59-1)*_Ijour1)))</f>
        <v>41395</v>
      </c>
      <c r="AT59" s="156">
        <f t="shared" si="10"/>
        <v>187250</v>
      </c>
      <c r="AU59" s="153">
        <f>IF(AP59&lt;=_NoEchMaxi1,ROUND(AT59*'Données Projet 1'!H68,_NbDeci1),0)</f>
        <v>156.04</v>
      </c>
      <c r="AV59" s="152">
        <f>IF(OR(AP59&lt;=_Différé1,AP59&gt;_NoEchMaxi1),IF(_DiffTotal1,-AU59,0),IF(AP59&gt;=_NoEchRemb1,AT59,IF('Données Projet 1'!I68-(AU59*_EchFIXE1)&gt;AT59-2,AT59,'Données Projet 1'!I68-(AU59*_EchFIXE1))))+AK59</f>
        <v>0</v>
      </c>
      <c r="AW59" s="154">
        <f t="shared" si="11"/>
        <v>15.6</v>
      </c>
      <c r="AX59" s="157">
        <f t="shared" si="3"/>
        <v>171.64</v>
      </c>
    </row>
    <row r="60" spans="1:50" ht="15.75" customHeight="1" x14ac:dyDescent="0.3">
      <c r="H60" s="314" t="s">
        <v>299</v>
      </c>
      <c r="I60" s="315">
        <v>27087</v>
      </c>
      <c r="J60" s="315">
        <v>72617</v>
      </c>
      <c r="K60" s="316">
        <f>IF('TAM Projet 1'!$B$33&lt;I60,0,IF('TAM Projet 1'!$B$33&lt;=J60,'TAM Projet 1'!$B$33-J59,J60-J59))</f>
        <v>0</v>
      </c>
      <c r="L60" s="317">
        <v>0.3</v>
      </c>
      <c r="M60" s="316">
        <f>SUM(K60*L60)</f>
        <v>0</v>
      </c>
      <c r="O60" s="555"/>
      <c r="P60" s="508"/>
      <c r="Q60" s="509"/>
      <c r="R60" s="413"/>
      <c r="S60" s="413"/>
      <c r="T60" s="3"/>
      <c r="U60" s="164"/>
      <c r="V60" s="22"/>
      <c r="W60" s="21"/>
      <c r="X60" s="23"/>
      <c r="Y60" s="10"/>
      <c r="Z60" s="5">
        <f t="shared" si="4"/>
        <v>54</v>
      </c>
      <c r="AA60" s="7">
        <f t="shared" si="5"/>
        <v>367</v>
      </c>
      <c r="AB60" s="8">
        <f t="shared" si="0"/>
        <v>2013</v>
      </c>
      <c r="AC60" s="31">
        <f>IF(AD60=0,"",IF(_Ijour=0,MIN(DATE(YEAR(_DebAmort),MONTH(_DebAmort)+_MoisD+(Z60-1)*_Imois,_Jour2),DATE(YEAR(_DebAmort),MONTH(_DebAmort)+_MoisD+1+(Z60-1)*_Imois,0)),DATE(YEAR(_DebAmort),MONTH(_DebAmort),_Jour1+(Z60-1)*_Ijour)))</f>
        <v>41426</v>
      </c>
      <c r="AD60" s="156">
        <f t="shared" si="6"/>
        <v>215104.07000000004</v>
      </c>
      <c r="AE60" s="153">
        <f>IF(Z60&lt;=_NoEchMaxi,ROUND(AD60*'Données Projet 1'!A69,_NbDeci),0)</f>
        <v>333.41</v>
      </c>
      <c r="AF60" s="152">
        <f>IF(OR(Z60&lt;=_Différé,Z60&gt;_NoEchMaxi),IF(_DiffTotal,-AE60,0),IF(Z60&gt;=_NoEchRemb,AD60,IF('Données Projet 1'!B69-(AE60*_EchFIXE)&gt;AD60-2,AD60,'Données Projet 1'!B69-(AE60*_EchFIXE))))+U60</f>
        <v>435.57</v>
      </c>
      <c r="AG60" s="154">
        <f t="shared" si="7"/>
        <v>19.77</v>
      </c>
      <c r="AH60" s="157">
        <f t="shared" si="1"/>
        <v>788.75</v>
      </c>
      <c r="AI60"/>
      <c r="AJ60" s="3"/>
      <c r="AK60" s="164"/>
      <c r="AL60" s="22"/>
      <c r="AM60" s="21"/>
      <c r="AN60" s="23"/>
      <c r="AO60" s="10"/>
      <c r="AP60" s="5">
        <f t="shared" si="8"/>
        <v>54</v>
      </c>
      <c r="AQ60" s="7">
        <f t="shared" si="9"/>
        <v>127</v>
      </c>
      <c r="AR60" s="8">
        <f t="shared" si="2"/>
        <v>2013</v>
      </c>
      <c r="AS60" s="31">
        <f>IF(AT60=0,"",IF(_Ijour1=0,MIN(DATE(YEAR(_DebAmort1),MONTH(_DebAmort1)+_MoisD1+(AP60-1)*_Imois1,__Jou2),DATE(YEAR(_DebAmort1),MONTH(_DebAmort1)+_MoisD1+1+(AP60-1)*_Imois1,0)),DATE(YEAR(_DebAmort1),MONTH(_DebAmort1),__Jou1+(AP60-1)*_Ijour1)))</f>
        <v>41426</v>
      </c>
      <c r="AT60" s="156">
        <f t="shared" si="10"/>
        <v>187250</v>
      </c>
      <c r="AU60" s="153">
        <f>IF(AP60&lt;=_NoEchMaxi1,ROUND(AT60*'Données Projet 1'!H69,_NbDeci1),0)</f>
        <v>156.04</v>
      </c>
      <c r="AV60" s="152">
        <f>IF(OR(AP60&lt;=_Différé1,AP60&gt;_NoEchMaxi1),IF(_DiffTotal1,-AU60,0),IF(AP60&gt;=_NoEchRemb1,AT60,IF('Données Projet 1'!I69-(AU60*_EchFIXE1)&gt;AT60-2,AT60,'Données Projet 1'!I69-(AU60*_EchFIXE1))))+AK60</f>
        <v>0</v>
      </c>
      <c r="AW60" s="154">
        <f t="shared" si="11"/>
        <v>15.6</v>
      </c>
      <c r="AX60" s="157">
        <f t="shared" si="3"/>
        <v>171.64</v>
      </c>
    </row>
    <row r="61" spans="1:50" ht="15.75" customHeight="1" x14ac:dyDescent="0.3">
      <c r="H61" s="314" t="s">
        <v>301</v>
      </c>
      <c r="I61" s="315">
        <v>72618</v>
      </c>
      <c r="J61" s="315">
        <v>153783</v>
      </c>
      <c r="K61" s="316">
        <f>IF('TAM Projet 1'!$B$33&lt;I61,0,IF('TAM Projet 1'!$B$33&lt;=J61,'TAM Projet 1'!$B$33-J60,J61-J60))</f>
        <v>0</v>
      </c>
      <c r="L61" s="317">
        <v>0.41</v>
      </c>
      <c r="M61" s="316">
        <f>SUM(K61*L61)</f>
        <v>0</v>
      </c>
      <c r="O61" s="553" t="s">
        <v>312</v>
      </c>
      <c r="P61" s="510" t="s">
        <v>199</v>
      </c>
      <c r="Q61" s="511">
        <v>0</v>
      </c>
      <c r="R61" s="413"/>
      <c r="S61" s="413"/>
      <c r="T61" s="3"/>
      <c r="U61" s="164"/>
      <c r="V61" s="22"/>
      <c r="W61" s="21"/>
      <c r="X61" s="23"/>
      <c r="Y61" s="10"/>
      <c r="Z61" s="5">
        <f t="shared" si="4"/>
        <v>55</v>
      </c>
      <c r="AA61" s="7">
        <f t="shared" si="5"/>
        <v>366</v>
      </c>
      <c r="AB61" s="8">
        <f t="shared" si="0"/>
        <v>2013</v>
      </c>
      <c r="AC61" s="31">
        <f>IF(AD61=0,"",IF(_Ijour=0,MIN(DATE(YEAR(_DebAmort),MONTH(_DebAmort)+(Z61-1)*_Imois,_Jour1),DATE(YEAR(_DebAmort),MONTH(_DebAmort)+1+(Z61-1)*_Imois,0)),DATE(YEAR(_DebAmort),MONTH(_DebAmort),_Jour1+(Z61-1)*_Ijour)))</f>
        <v>41456</v>
      </c>
      <c r="AD61" s="156">
        <f t="shared" si="6"/>
        <v>214668.50000000003</v>
      </c>
      <c r="AE61" s="153">
        <f>IF(Z61&lt;=_NoEchMaxi,ROUND(AD61*'Données Projet 1'!A70,_NbDeci),0)</f>
        <v>332.74</v>
      </c>
      <c r="AF61" s="152">
        <f>IF(OR(Z61&lt;=_Différé,Z61&gt;_NoEchMaxi),IF(_DiffTotal,-AE61,0),IF(Z61&gt;=_NoEchRemb,AD61,IF('Données Projet 1'!B70-(AE61*_EchFIXE)&gt;AD61-2,AD61,'Données Projet 1'!B70-(AE61*_EchFIXE))))+U61</f>
        <v>436.24</v>
      </c>
      <c r="AG61" s="154">
        <f t="shared" si="7"/>
        <v>19.77</v>
      </c>
      <c r="AH61" s="157">
        <f t="shared" si="1"/>
        <v>788.75</v>
      </c>
      <c r="AI61"/>
      <c r="AJ61" s="3"/>
      <c r="AK61" s="164"/>
      <c r="AL61" s="22"/>
      <c r="AM61" s="21"/>
      <c r="AN61" s="23"/>
      <c r="AO61" s="10"/>
      <c r="AP61" s="5">
        <f t="shared" si="8"/>
        <v>55</v>
      </c>
      <c r="AQ61" s="7">
        <f t="shared" si="9"/>
        <v>126</v>
      </c>
      <c r="AR61" s="8">
        <f t="shared" si="2"/>
        <v>2013</v>
      </c>
      <c r="AS61" s="31">
        <f>IF(AT61=0,"",IF(_Ijour1=0,MIN(DATE(YEAR(_DebAmort1),MONTH(_DebAmort1)+(AP61-1)*_Imois1,__Jou1),DATE(YEAR(_DebAmort1),MONTH(_DebAmort1)+1+(AP61-1)*_Imois1,0)),DATE(YEAR(_DebAmort1),MONTH(_DebAmort1),__Jou1+(AP61-1)*_Ijour1)))</f>
        <v>41456</v>
      </c>
      <c r="AT61" s="156">
        <f t="shared" si="10"/>
        <v>187250</v>
      </c>
      <c r="AU61" s="153">
        <f>IF(AP61&lt;=_NoEchMaxi1,ROUND(AT61*'Données Projet 1'!H70,_NbDeci1),0)</f>
        <v>156.04</v>
      </c>
      <c r="AV61" s="152">
        <f>IF(OR(AP61&lt;=_Différé1,AP61&gt;_NoEchMaxi1),IF(_DiffTotal1,-AU61,0),IF(AP61&gt;=_NoEchRemb1,AT61,IF('Données Projet 1'!I70-(AU61*_EchFIXE1)&gt;AT61-2,AT61,'Données Projet 1'!I70-(AU61*_EchFIXE1))))+AK61</f>
        <v>0</v>
      </c>
      <c r="AW61" s="154">
        <f t="shared" si="11"/>
        <v>15.6</v>
      </c>
      <c r="AX61" s="157">
        <f t="shared" si="3"/>
        <v>171.64</v>
      </c>
    </row>
    <row r="62" spans="1:50" ht="15.75" customHeight="1" x14ac:dyDescent="0.3">
      <c r="H62" s="314" t="s">
        <v>303</v>
      </c>
      <c r="I62" s="315"/>
      <c r="J62" s="315"/>
      <c r="K62" s="315"/>
      <c r="L62" s="317">
        <v>0.45</v>
      </c>
      <c r="M62" s="316"/>
      <c r="O62" s="554"/>
      <c r="P62" s="499" t="s">
        <v>309</v>
      </c>
      <c r="Q62" s="501">
        <f>SUM('TAM Projet 1'!D9*0.15)</f>
        <v>0</v>
      </c>
      <c r="R62" s="413"/>
      <c r="S62" s="413"/>
      <c r="T62" s="3"/>
      <c r="U62" s="164"/>
      <c r="V62" s="22"/>
      <c r="W62" s="21"/>
      <c r="X62" s="23"/>
      <c r="Y62" s="10"/>
      <c r="Z62" s="5">
        <f t="shared" si="4"/>
        <v>56</v>
      </c>
      <c r="AA62" s="7">
        <f t="shared" si="5"/>
        <v>365</v>
      </c>
      <c r="AB62" s="8">
        <f t="shared" si="0"/>
        <v>2013</v>
      </c>
      <c r="AC62" s="31">
        <f>IF(AD62=0,"",IF(_Ijour=0,MIN(DATE(YEAR(_DebAmort),MONTH(_DebAmort)+_MoisD+(Z62-1)*_Imois,_Jour2),DATE(YEAR(_DebAmort),MONTH(_DebAmort)+_MoisD+1+(Z62-1)*_Imois,0)),DATE(YEAR(_DebAmort),MONTH(_DebAmort),_Jour1+(Z62-1)*_Ijour)))</f>
        <v>41487</v>
      </c>
      <c r="AD62" s="156">
        <f t="shared" si="6"/>
        <v>214232.26000000004</v>
      </c>
      <c r="AE62" s="153">
        <f>IF(Z62&lt;=_NoEchMaxi,ROUND(AD62*'Données Projet 1'!A71,_NbDeci),0)</f>
        <v>332.06</v>
      </c>
      <c r="AF62" s="152">
        <f>IF(OR(Z62&lt;=_Différé,Z62&gt;_NoEchMaxi),IF(_DiffTotal,-AE62,0),IF(Z62&gt;=_NoEchRemb,AD62,IF('Données Projet 1'!B71-(AE62*_EchFIXE)&gt;AD62-2,AD62,'Données Projet 1'!B71-(AE62*_EchFIXE))))+U62</f>
        <v>436.92</v>
      </c>
      <c r="AG62" s="154">
        <f t="shared" si="7"/>
        <v>19.77</v>
      </c>
      <c r="AH62" s="157">
        <f t="shared" si="1"/>
        <v>788.75</v>
      </c>
      <c r="AI62"/>
      <c r="AJ62" s="3"/>
      <c r="AK62" s="164"/>
      <c r="AL62" s="22"/>
      <c r="AM62" s="21"/>
      <c r="AN62" s="23"/>
      <c r="AO62" s="10"/>
      <c r="AP62" s="5">
        <f t="shared" si="8"/>
        <v>56</v>
      </c>
      <c r="AQ62" s="7">
        <f t="shared" si="9"/>
        <v>125</v>
      </c>
      <c r="AR62" s="8">
        <f t="shared" si="2"/>
        <v>2013</v>
      </c>
      <c r="AS62" s="31">
        <f>IF(AT62=0,"",IF(_Ijour1=0,MIN(DATE(YEAR(_DebAmort1),MONTH(_DebAmort1)+_MoisD1+(AP62-1)*_Imois1,__Jou2),DATE(YEAR(_DebAmort1),MONTH(_DebAmort1)+_MoisD1+1+(AP62-1)*_Imois1,0)),DATE(YEAR(_DebAmort1),MONTH(_DebAmort1),__Jou1+(AP62-1)*_Ijour1)))</f>
        <v>41487</v>
      </c>
      <c r="AT62" s="156">
        <f t="shared" si="10"/>
        <v>187250</v>
      </c>
      <c r="AU62" s="153">
        <f>IF(AP62&lt;=_NoEchMaxi1,ROUND(AT62*'Données Projet 1'!H71,_NbDeci1),0)</f>
        <v>156.04</v>
      </c>
      <c r="AV62" s="152">
        <f>IF(OR(AP62&lt;=_Différé1,AP62&gt;_NoEchMaxi1),IF(_DiffTotal1,-AU62,0),IF(AP62&gt;=_NoEchRemb1,AT62,IF('Données Projet 1'!I71-(AU62*_EchFIXE1)&gt;AT62-2,AT62,'Données Projet 1'!I71-(AU62*_EchFIXE1))))+AK62</f>
        <v>0</v>
      </c>
      <c r="AW62" s="154">
        <f t="shared" si="11"/>
        <v>15.6</v>
      </c>
      <c r="AX62" s="157">
        <f t="shared" si="3"/>
        <v>171.64</v>
      </c>
    </row>
    <row r="63" spans="1:50" ht="15.75" customHeight="1" x14ac:dyDescent="0.3">
      <c r="H63" s="549" t="s">
        <v>364</v>
      </c>
      <c r="I63" s="549"/>
      <c r="J63" s="549"/>
      <c r="K63" s="549"/>
      <c r="L63" s="549"/>
      <c r="M63" s="549"/>
      <c r="O63" s="554"/>
      <c r="P63" s="499" t="s">
        <v>178</v>
      </c>
      <c r="Q63" s="501">
        <f>SUM('TAM Projet 1'!D9*0.5)</f>
        <v>0</v>
      </c>
      <c r="R63" s="413"/>
      <c r="S63" s="413"/>
      <c r="T63" s="3"/>
      <c r="U63" s="164"/>
      <c r="V63" s="22"/>
      <c r="W63" s="21"/>
      <c r="X63" s="23"/>
      <c r="Y63" s="10"/>
      <c r="Z63" s="5">
        <f t="shared" si="4"/>
        <v>57</v>
      </c>
      <c r="AA63" s="7">
        <f t="shared" si="5"/>
        <v>364</v>
      </c>
      <c r="AB63" s="8">
        <f t="shared" si="0"/>
        <v>2013</v>
      </c>
      <c r="AC63" s="31">
        <f>IF(AD63=0,"",IF(_Ijour=0,MIN(DATE(YEAR(_DebAmort),MONTH(_DebAmort)+(Z63-1)*_Imois,_Jour1),DATE(YEAR(_DebAmort),MONTH(_DebAmort)+1+(Z63-1)*_Imois,0)),DATE(YEAR(_DebAmort),MONTH(_DebAmort),_Jour1+(Z63-1)*_Ijour)))</f>
        <v>41518</v>
      </c>
      <c r="AD63" s="156">
        <f t="shared" si="6"/>
        <v>213795.34000000003</v>
      </c>
      <c r="AE63" s="153">
        <f>IF(Z63&lt;=_NoEchMaxi,ROUND(AD63*'Données Projet 1'!A72,_NbDeci),0)</f>
        <v>331.38</v>
      </c>
      <c r="AF63" s="152">
        <f>IF(OR(Z63&lt;=_Différé,Z63&gt;_NoEchMaxi),IF(_DiffTotal,-AE63,0),IF(Z63&gt;=_NoEchRemb,AD63,IF('Données Projet 1'!B72-(AE63*_EchFIXE)&gt;AD63-2,AD63,'Données Projet 1'!B72-(AE63*_EchFIXE))))+U63</f>
        <v>437.6</v>
      </c>
      <c r="AG63" s="154">
        <f t="shared" si="7"/>
        <v>19.77</v>
      </c>
      <c r="AH63" s="157">
        <f t="shared" si="1"/>
        <v>788.75</v>
      </c>
      <c r="AI63"/>
      <c r="AJ63" s="3"/>
      <c r="AK63" s="164"/>
      <c r="AL63" s="22"/>
      <c r="AM63" s="21"/>
      <c r="AN63" s="23"/>
      <c r="AO63" s="10"/>
      <c r="AP63" s="5">
        <f t="shared" si="8"/>
        <v>57</v>
      </c>
      <c r="AQ63" s="7">
        <f t="shared" si="9"/>
        <v>124</v>
      </c>
      <c r="AR63" s="8">
        <f t="shared" si="2"/>
        <v>2013</v>
      </c>
      <c r="AS63" s="31">
        <f>IF(AT63=0,"",IF(_Ijour1=0,MIN(DATE(YEAR(_DebAmort1),MONTH(_DebAmort1)+(AP63-1)*_Imois1,__Jou1),DATE(YEAR(_DebAmort1),MONTH(_DebAmort1)+1+(AP63-1)*_Imois1,0)),DATE(YEAR(_DebAmort1),MONTH(_DebAmort1),__Jou1+(AP63-1)*_Ijour1)))</f>
        <v>41518</v>
      </c>
      <c r="AT63" s="156">
        <f t="shared" si="10"/>
        <v>187250</v>
      </c>
      <c r="AU63" s="153">
        <f>IF(AP63&lt;=_NoEchMaxi1,ROUND(AT63*'Données Projet 1'!H72,_NbDeci1),0)</f>
        <v>156.04</v>
      </c>
      <c r="AV63" s="152">
        <f>IF(OR(AP63&lt;=_Différé1,AP63&gt;_NoEchMaxi1),IF(_DiffTotal1,-AU63,0),IF(AP63&gt;=_NoEchRemb1,AT63,IF('Données Projet 1'!I72-(AU63*_EchFIXE1)&gt;AT63-2,AT63,'Données Projet 1'!I72-(AU63*_EchFIXE1))))+AK63</f>
        <v>0</v>
      </c>
      <c r="AW63" s="154">
        <f t="shared" si="11"/>
        <v>15.6</v>
      </c>
      <c r="AX63" s="157">
        <f t="shared" si="3"/>
        <v>171.64</v>
      </c>
    </row>
    <row r="64" spans="1:50" ht="15.75" customHeight="1" x14ac:dyDescent="0.3">
      <c r="H64" s="512" t="s">
        <v>293</v>
      </c>
      <c r="I64" s="546" t="s">
        <v>284</v>
      </c>
      <c r="J64" s="546"/>
      <c r="K64" s="513" t="s">
        <v>285</v>
      </c>
      <c r="L64" s="513" t="s">
        <v>286</v>
      </c>
      <c r="M64" s="512" t="s">
        <v>287</v>
      </c>
      <c r="O64" s="555"/>
      <c r="P64" s="508"/>
      <c r="Q64" s="509"/>
      <c r="R64" s="413"/>
      <c r="S64" s="413"/>
      <c r="T64" s="3"/>
      <c r="U64" s="164"/>
      <c r="V64" s="22"/>
      <c r="W64" s="21"/>
      <c r="X64" s="23"/>
      <c r="Y64" s="10"/>
      <c r="Z64" s="5">
        <f t="shared" si="4"/>
        <v>58</v>
      </c>
      <c r="AA64" s="7">
        <f t="shared" si="5"/>
        <v>363</v>
      </c>
      <c r="AB64" s="8">
        <f t="shared" si="0"/>
        <v>2013</v>
      </c>
      <c r="AC64" s="31">
        <f>IF(AD64=0,"",IF(_Ijour=0,MIN(DATE(YEAR(_DebAmort),MONTH(_DebAmort)+_MoisD+(Z64-1)*_Imois,_Jour2),DATE(YEAR(_DebAmort),MONTH(_DebAmort)+_MoisD+1+(Z64-1)*_Imois,0)),DATE(YEAR(_DebAmort),MONTH(_DebAmort),_Jour1+(Z64-1)*_Ijour)))</f>
        <v>41548</v>
      </c>
      <c r="AD64" s="156">
        <f t="shared" si="6"/>
        <v>213357.74000000002</v>
      </c>
      <c r="AE64" s="153">
        <f>IF(Z64&lt;=_NoEchMaxi,ROUND(AD64*'Données Projet 1'!A73,_NbDeci),0)</f>
        <v>330.7</v>
      </c>
      <c r="AF64" s="152">
        <f>IF(OR(Z64&lt;=_Différé,Z64&gt;_NoEchMaxi),IF(_DiffTotal,-AE64,0),IF(Z64&gt;=_NoEchRemb,AD64,IF('Données Projet 1'!B73-(AE64*_EchFIXE)&gt;AD64-2,AD64,'Données Projet 1'!B73-(AE64*_EchFIXE))))+U64</f>
        <v>438.28000000000003</v>
      </c>
      <c r="AG64" s="154">
        <f t="shared" si="7"/>
        <v>19.77</v>
      </c>
      <c r="AH64" s="157">
        <f t="shared" si="1"/>
        <v>788.75</v>
      </c>
      <c r="AI64"/>
      <c r="AJ64" s="3"/>
      <c r="AK64" s="164"/>
      <c r="AL64" s="22"/>
      <c r="AM64" s="21"/>
      <c r="AN64" s="23"/>
      <c r="AO64" s="10"/>
      <c r="AP64" s="5">
        <f t="shared" si="8"/>
        <v>58</v>
      </c>
      <c r="AQ64" s="7">
        <f t="shared" si="9"/>
        <v>123</v>
      </c>
      <c r="AR64" s="8">
        <f t="shared" si="2"/>
        <v>2013</v>
      </c>
      <c r="AS64" s="31">
        <f>IF(AT64=0,"",IF(_Ijour1=0,MIN(DATE(YEAR(_DebAmort1),MONTH(_DebAmort1)+_MoisD1+(AP64-1)*_Imois1,__Jou2),DATE(YEAR(_DebAmort1),MONTH(_DebAmort1)+_MoisD1+1+(AP64-1)*_Imois1,0)),DATE(YEAR(_DebAmort1),MONTH(_DebAmort1),__Jou1+(AP64-1)*_Ijour1)))</f>
        <v>41548</v>
      </c>
      <c r="AT64" s="156">
        <f t="shared" si="10"/>
        <v>187250</v>
      </c>
      <c r="AU64" s="153">
        <f>IF(AP64&lt;=_NoEchMaxi1,ROUND(AT64*'Données Projet 1'!H73,_NbDeci1),0)</f>
        <v>156.04</v>
      </c>
      <c r="AV64" s="152">
        <f>IF(OR(AP64&lt;=_Différé1,AP64&gt;_NoEchMaxi1),IF(_DiffTotal1,-AU64,0),IF(AP64&gt;=_NoEchRemb1,AT64,IF('Données Projet 1'!I73-(AU64*_EchFIXE1)&gt;AT64-2,AT64,'Données Projet 1'!I73-(AU64*_EchFIXE1))))+AK64</f>
        <v>0</v>
      </c>
      <c r="AW64" s="154">
        <f t="shared" si="11"/>
        <v>15.6</v>
      </c>
      <c r="AX64" s="157">
        <f t="shared" si="3"/>
        <v>171.64</v>
      </c>
    </row>
    <row r="65" spans="1:50" ht="15.75" customHeight="1" x14ac:dyDescent="0.3">
      <c r="H65" s="314" t="s">
        <v>295</v>
      </c>
      <c r="I65" s="315">
        <v>0</v>
      </c>
      <c r="J65" s="315">
        <v>9807</v>
      </c>
      <c r="K65" s="316">
        <f>+IF('TAM Projet 1'!B31&gt;J65,J65,'TAM Projet 1'!B31)</f>
        <v>9807</v>
      </c>
      <c r="L65" s="317">
        <v>0</v>
      </c>
      <c r="M65" s="316">
        <v>0</v>
      </c>
      <c r="O65" s="553" t="s">
        <v>313</v>
      </c>
      <c r="P65" s="510" t="s">
        <v>199</v>
      </c>
      <c r="Q65" s="511">
        <v>0</v>
      </c>
      <c r="R65" s="413"/>
      <c r="S65" s="413"/>
      <c r="T65" s="3"/>
      <c r="U65" s="164"/>
      <c r="V65" s="22"/>
      <c r="W65" s="21"/>
      <c r="X65" s="23"/>
      <c r="Y65" s="10"/>
      <c r="Z65" s="5">
        <f t="shared" si="4"/>
        <v>59</v>
      </c>
      <c r="AA65" s="7">
        <f t="shared" si="5"/>
        <v>362</v>
      </c>
      <c r="AB65" s="8">
        <f t="shared" si="0"/>
        <v>2013</v>
      </c>
      <c r="AC65" s="31">
        <f>IF(AD65=0,"",IF(_Ijour=0,MIN(DATE(YEAR(_DebAmort),MONTH(_DebAmort)+(Z65-1)*_Imois,_Jour1),DATE(YEAR(_DebAmort),MONTH(_DebAmort)+1+(Z65-1)*_Imois,0)),DATE(YEAR(_DebAmort),MONTH(_DebAmort),_Jour1+(Z65-1)*_Ijour)))</f>
        <v>41579</v>
      </c>
      <c r="AD65" s="156">
        <f t="shared" si="6"/>
        <v>212919.46000000002</v>
      </c>
      <c r="AE65" s="153">
        <f>IF(Z65&lt;=_NoEchMaxi,ROUND(AD65*'Données Projet 1'!A74,_NbDeci),0)</f>
        <v>330.03</v>
      </c>
      <c r="AF65" s="152">
        <f>IF(OR(Z65&lt;=_Différé,Z65&gt;_NoEchMaxi),IF(_DiffTotal,-AE65,0),IF(Z65&gt;=_NoEchRemb,AD65,IF('Données Projet 1'!B74-(AE65*_EchFIXE)&gt;AD65-2,AD65,'Données Projet 1'!B74-(AE65*_EchFIXE))))+U65</f>
        <v>438.95000000000005</v>
      </c>
      <c r="AG65" s="154">
        <f t="shared" si="7"/>
        <v>19.77</v>
      </c>
      <c r="AH65" s="157">
        <f t="shared" si="1"/>
        <v>788.75</v>
      </c>
      <c r="AI65"/>
      <c r="AJ65" s="3"/>
      <c r="AK65" s="164"/>
      <c r="AL65" s="22"/>
      <c r="AM65" s="21"/>
      <c r="AN65" s="23"/>
      <c r="AO65" s="10"/>
      <c r="AP65" s="5">
        <f t="shared" si="8"/>
        <v>59</v>
      </c>
      <c r="AQ65" s="7">
        <f t="shared" si="9"/>
        <v>122</v>
      </c>
      <c r="AR65" s="8">
        <f t="shared" si="2"/>
        <v>2013</v>
      </c>
      <c r="AS65" s="31">
        <f>IF(AT65=0,"",IF(_Ijour1=0,MIN(DATE(YEAR(_DebAmort1),MONTH(_DebAmort1)+(AP65-1)*_Imois1,__Jou1),DATE(YEAR(_DebAmort1),MONTH(_DebAmort1)+1+(AP65-1)*_Imois1,0)),DATE(YEAR(_DebAmort1),MONTH(_DebAmort1),__Jou1+(AP65-1)*_Ijour1)))</f>
        <v>41579</v>
      </c>
      <c r="AT65" s="156">
        <f t="shared" si="10"/>
        <v>187250</v>
      </c>
      <c r="AU65" s="153">
        <f>IF(AP65&lt;=_NoEchMaxi1,ROUND(AT65*'Données Projet 1'!H74,_NbDeci1),0)</f>
        <v>156.04</v>
      </c>
      <c r="AV65" s="152">
        <f>IF(OR(AP65&lt;=_Différé1,AP65&gt;_NoEchMaxi1),IF(_DiffTotal1,-AU65,0),IF(AP65&gt;=_NoEchRemb1,AT65,IF('Données Projet 1'!I74-(AU65*_EchFIXE1)&gt;AT65-2,AT65,'Données Projet 1'!I74-(AU65*_EchFIXE1))))+AK65</f>
        <v>0</v>
      </c>
      <c r="AW65" s="154">
        <f t="shared" si="11"/>
        <v>15.6</v>
      </c>
      <c r="AX65" s="157">
        <f t="shared" si="3"/>
        <v>171.64</v>
      </c>
    </row>
    <row r="66" spans="1:50" ht="15.75" customHeight="1" x14ac:dyDescent="0.3">
      <c r="H66" s="314" t="s">
        <v>297</v>
      </c>
      <c r="I66" s="315">
        <v>9808</v>
      </c>
      <c r="J66" s="315">
        <v>27086</v>
      </c>
      <c r="K66" s="316">
        <f>IF('TAM Projet 1'!$B$31&lt;I66,0,IF('TAM Projet 1'!$B$31&lt;=J66,'TAM Projet 1'!$B$31-J65,J66-J65))</f>
        <v>5351.41</v>
      </c>
      <c r="L66" s="317">
        <v>0.14000000000000001</v>
      </c>
      <c r="M66" s="316">
        <f>SUM(K66*L66)</f>
        <v>749.19740000000002</v>
      </c>
      <c r="O66" s="554"/>
      <c r="P66" s="499" t="s">
        <v>309</v>
      </c>
      <c r="Q66" s="501">
        <f>SUM('TAM Projet 1'!D11*0.15)</f>
        <v>0</v>
      </c>
      <c r="R66" s="413"/>
      <c r="S66" s="413"/>
      <c r="T66" s="3"/>
      <c r="U66" s="164"/>
      <c r="V66" s="22"/>
      <c r="W66" s="21"/>
      <c r="X66" s="23"/>
      <c r="Y66" s="10"/>
      <c r="Z66" s="5">
        <f t="shared" si="4"/>
        <v>60</v>
      </c>
      <c r="AA66" s="7">
        <f t="shared" si="5"/>
        <v>361</v>
      </c>
      <c r="AB66" s="8">
        <f t="shared" si="0"/>
        <v>2013</v>
      </c>
      <c r="AC66" s="31">
        <f>IF(AD66=0,"",IF(_Ijour=0,MIN(DATE(YEAR(_DebAmort),MONTH(_DebAmort)+_MoisD+(Z66-1)*_Imois,_Jour2),DATE(YEAR(_DebAmort),MONTH(_DebAmort)+_MoisD+1+(Z66-1)*_Imois,0)),DATE(YEAR(_DebAmort),MONTH(_DebAmort),_Jour1+(Z66-1)*_Ijour)))</f>
        <v>41609</v>
      </c>
      <c r="AD66" s="156">
        <f t="shared" si="6"/>
        <v>212480.51</v>
      </c>
      <c r="AE66" s="153">
        <f>IF(Z66&lt;=_NoEchMaxi,ROUND(AD66*'Données Projet 1'!A75,_NbDeci),0)</f>
        <v>329.34</v>
      </c>
      <c r="AF66" s="152">
        <f>IF(OR(Z66&lt;=_Différé,Z66&gt;_NoEchMaxi),IF(_DiffTotal,-AE66,0),IF(Z66&gt;=_NoEchRemb,AD66,IF('Données Projet 1'!B75-(AE66*_EchFIXE)&gt;AD66-2,AD66,'Données Projet 1'!B75-(AE66*_EchFIXE))))+U66</f>
        <v>439.64000000000004</v>
      </c>
      <c r="AG66" s="154">
        <f t="shared" si="7"/>
        <v>19.77</v>
      </c>
      <c r="AH66" s="157">
        <f t="shared" si="1"/>
        <v>788.75</v>
      </c>
      <c r="AI66"/>
      <c r="AJ66" s="3"/>
      <c r="AK66" s="164"/>
      <c r="AL66" s="22"/>
      <c r="AM66" s="21"/>
      <c r="AN66" s="23"/>
      <c r="AO66" s="10"/>
      <c r="AP66" s="5">
        <f t="shared" si="8"/>
        <v>60</v>
      </c>
      <c r="AQ66" s="7">
        <f t="shared" si="9"/>
        <v>121</v>
      </c>
      <c r="AR66" s="8">
        <f t="shared" si="2"/>
        <v>2013</v>
      </c>
      <c r="AS66" s="31">
        <f>IF(AT66=0,"",IF(_Ijour1=0,MIN(DATE(YEAR(_DebAmort1),MONTH(_DebAmort1)+_MoisD1+(AP66-1)*_Imois1,__Jou2),DATE(YEAR(_DebAmort1),MONTH(_DebAmort1)+_MoisD1+1+(AP66-1)*_Imois1,0)),DATE(YEAR(_DebAmort1),MONTH(_DebAmort1),__Jou1+(AP66-1)*_Ijour1)))</f>
        <v>41609</v>
      </c>
      <c r="AT66" s="156">
        <f t="shared" si="10"/>
        <v>187250</v>
      </c>
      <c r="AU66" s="153">
        <f>IF(AP66&lt;=_NoEchMaxi1,ROUND(AT66*'Données Projet 1'!H75,_NbDeci1),0)</f>
        <v>156.04</v>
      </c>
      <c r="AV66" s="152">
        <f>IF(OR(AP66&lt;=_Différé1,AP66&gt;_NoEchMaxi1),IF(_DiffTotal1,-AU66,0),IF(AP66&gt;=_NoEchRemb1,AT66,IF('Données Projet 1'!I75-(AU66*_EchFIXE1)&gt;AT66-2,AT66,'Données Projet 1'!I75-(AU66*_EchFIXE1))))+AK66</f>
        <v>0</v>
      </c>
      <c r="AW66" s="154">
        <f t="shared" si="11"/>
        <v>15.6</v>
      </c>
      <c r="AX66" s="157">
        <f t="shared" si="3"/>
        <v>171.64</v>
      </c>
    </row>
    <row r="67" spans="1:50" ht="15.75" customHeight="1" x14ac:dyDescent="0.3">
      <c r="H67" s="314" t="s">
        <v>299</v>
      </c>
      <c r="I67" s="315">
        <v>27087</v>
      </c>
      <c r="J67" s="315">
        <v>72617</v>
      </c>
      <c r="K67" s="316">
        <f>IF('TAM Projet 1'!$B$31&lt;I67,0,IF('TAM Projet 1'!$B$31&lt;=J67,'TAM Projet 1'!$B$31-J66,J67-J66))</f>
        <v>0</v>
      </c>
      <c r="L67" s="317">
        <v>0.3</v>
      </c>
      <c r="M67" s="316">
        <f>SUM(K67*L67)</f>
        <v>0</v>
      </c>
      <c r="O67" s="554"/>
      <c r="P67" s="499" t="s">
        <v>178</v>
      </c>
      <c r="Q67" s="501">
        <f>SUM('TAM Projet 1'!D11*0.5)</f>
        <v>0</v>
      </c>
      <c r="R67" s="413"/>
      <c r="S67" s="413"/>
      <c r="T67" s="3"/>
      <c r="U67" s="164"/>
      <c r="V67" s="22"/>
      <c r="W67" s="21"/>
      <c r="X67" s="23"/>
      <c r="Y67" s="10"/>
      <c r="Z67" s="5">
        <f t="shared" si="4"/>
        <v>61</v>
      </c>
      <c r="AA67" s="7">
        <f t="shared" si="5"/>
        <v>360</v>
      </c>
      <c r="AB67" s="8">
        <f t="shared" si="0"/>
        <v>2014</v>
      </c>
      <c r="AC67" s="31">
        <f>IF(AD67=0,"",IF(_Ijour=0,MIN(DATE(YEAR(_DebAmort),MONTH(_DebAmort)+(Z67-1)*_Imois,_Jour1),DATE(YEAR(_DebAmort),MONTH(_DebAmort)+1+(Z67-1)*_Imois,0)),DATE(YEAR(_DebAmort),MONTH(_DebAmort),_Jour1+(Z67-1)*_Ijour)))</f>
        <v>41640</v>
      </c>
      <c r="AD67" s="156">
        <f t="shared" si="6"/>
        <v>212040.87</v>
      </c>
      <c r="AE67" s="153">
        <f>IF(Z67&lt;=_NoEchMaxi,ROUND(AD67*'Données Projet 1'!A76,_NbDeci),0)</f>
        <v>328.66</v>
      </c>
      <c r="AF67" s="152">
        <f>IF(OR(Z67&lt;=_Différé,Z67&gt;_NoEchMaxi),IF(_DiffTotal,-AE67,0),IF(Z67&gt;=_NoEchRemb,AD67,IF('Données Projet 1'!B76-(AE67*_EchFIXE)&gt;AD67-2,AD67,'Données Projet 1'!B76-(AE67*_EchFIXE))))+U67</f>
        <v>440.32</v>
      </c>
      <c r="AG67" s="154">
        <f t="shared" si="7"/>
        <v>19.77</v>
      </c>
      <c r="AH67" s="157">
        <f t="shared" si="1"/>
        <v>788.75</v>
      </c>
      <c r="AI67"/>
      <c r="AJ67" s="3"/>
      <c r="AK67" s="164"/>
      <c r="AL67" s="22"/>
      <c r="AM67" s="21"/>
      <c r="AN67" s="23"/>
      <c r="AO67" s="10"/>
      <c r="AP67" s="5">
        <f t="shared" si="8"/>
        <v>61</v>
      </c>
      <c r="AQ67" s="7">
        <f t="shared" si="9"/>
        <v>120</v>
      </c>
      <c r="AR67" s="8">
        <f t="shared" si="2"/>
        <v>2014</v>
      </c>
      <c r="AS67" s="31">
        <f>IF(AT67=0,"",IF(_Ijour1=0,MIN(DATE(YEAR(_DebAmort1),MONTH(_DebAmort1)+(AP67-1)*_Imois1,__Jou1),DATE(YEAR(_DebAmort1),MONTH(_DebAmort1)+1+(AP67-1)*_Imois1,0)),DATE(YEAR(_DebAmort1),MONTH(_DebAmort1),__Jou1+(AP67-1)*_Ijour1)))</f>
        <v>41640</v>
      </c>
      <c r="AT67" s="156">
        <f t="shared" si="10"/>
        <v>187250</v>
      </c>
      <c r="AU67" s="153">
        <f>IF(AP67&lt;=_NoEchMaxi1,ROUND(AT67*'Données Projet 1'!H76,_NbDeci1),0)</f>
        <v>156.04</v>
      </c>
      <c r="AV67" s="152">
        <f>IF(OR(AP67&lt;=_Différé1,AP67&gt;_NoEchMaxi1),IF(_DiffTotal1,-AU67,0),IF(AP67&gt;=_NoEchRemb1,AT67,IF('Données Projet 1'!I76-(AU67*_EchFIXE1)&gt;AT67-2,AT67,'Données Projet 1'!I76-(AU67*_EchFIXE1))))+AK67</f>
        <v>0</v>
      </c>
      <c r="AW67" s="154">
        <f t="shared" si="11"/>
        <v>15.6</v>
      </c>
      <c r="AX67" s="157">
        <f t="shared" si="3"/>
        <v>171.64</v>
      </c>
    </row>
    <row r="68" spans="1:50" ht="15.75" customHeight="1" x14ac:dyDescent="0.3">
      <c r="A68" s="231"/>
      <c r="B68" s="231"/>
      <c r="C68" s="231"/>
      <c r="D68" s="231"/>
      <c r="E68" s="231"/>
      <c r="F68" s="231"/>
      <c r="H68" s="314" t="s">
        <v>301</v>
      </c>
      <c r="I68" s="315">
        <v>72618</v>
      </c>
      <c r="J68" s="315">
        <v>153783</v>
      </c>
      <c r="K68" s="316">
        <f>IF('TAM Projet 1'!$B$31&lt;I68,0,IF('TAM Projet 1'!$B$31&lt;=J68,'TAM Projet 1'!$B$31-J67,J68-J67))</f>
        <v>0</v>
      </c>
      <c r="L68" s="317">
        <v>0.41</v>
      </c>
      <c r="M68" s="316">
        <f>SUM(K68*L68)</f>
        <v>0</v>
      </c>
      <c r="O68" s="555"/>
      <c r="P68" s="508"/>
      <c r="Q68" s="509"/>
      <c r="R68" s="413"/>
      <c r="S68" s="413"/>
      <c r="T68" s="3"/>
      <c r="U68" s="164"/>
      <c r="V68" s="22"/>
      <c r="W68" s="21"/>
      <c r="X68" s="23"/>
      <c r="Y68" s="10"/>
      <c r="Z68" s="5">
        <f t="shared" si="4"/>
        <v>62</v>
      </c>
      <c r="AA68" s="7">
        <f t="shared" si="5"/>
        <v>359</v>
      </c>
      <c r="AB68" s="8">
        <f t="shared" si="0"/>
        <v>2014</v>
      </c>
      <c r="AC68" s="31">
        <f>IF(AD68=0,"",IF(_Ijour=0,MIN(DATE(YEAR(_DebAmort),MONTH(_DebAmort)+_MoisD+(Z68-1)*_Imois,_Jour2),DATE(YEAR(_DebAmort),MONTH(_DebAmort)+_MoisD+1+(Z68-1)*_Imois,0)),DATE(YEAR(_DebAmort),MONTH(_DebAmort),_Jour1+(Z68-1)*_Ijour)))</f>
        <v>41671</v>
      </c>
      <c r="AD68" s="156">
        <f t="shared" si="6"/>
        <v>211600.55</v>
      </c>
      <c r="AE68" s="153">
        <f>IF(Z68&lt;=_NoEchMaxi,ROUND(AD68*'Données Projet 1'!A77,_NbDeci),0)</f>
        <v>327.98</v>
      </c>
      <c r="AF68" s="152">
        <f>IF(OR(Z68&lt;=_Différé,Z68&gt;_NoEchMaxi),IF(_DiffTotal,-AE68,0),IF(Z68&gt;=_NoEchRemb,AD68,IF('Données Projet 1'!B77-(AE68*_EchFIXE)&gt;AD68-2,AD68,'Données Projet 1'!B77-(AE68*_EchFIXE))))+U68</f>
        <v>441</v>
      </c>
      <c r="AG68" s="154">
        <f t="shared" si="7"/>
        <v>19.77</v>
      </c>
      <c r="AH68" s="157">
        <f t="shared" si="1"/>
        <v>788.75</v>
      </c>
      <c r="AI68"/>
      <c r="AJ68" s="3"/>
      <c r="AK68" s="164"/>
      <c r="AL68" s="22"/>
      <c r="AM68" s="21"/>
      <c r="AN68" s="23"/>
      <c r="AO68" s="10"/>
      <c r="AP68" s="5">
        <f t="shared" si="8"/>
        <v>62</v>
      </c>
      <c r="AQ68" s="7">
        <f t="shared" si="9"/>
        <v>119</v>
      </c>
      <c r="AR68" s="8">
        <f t="shared" si="2"/>
        <v>2014</v>
      </c>
      <c r="AS68" s="31">
        <f>IF(AT68=0,"",IF(_Ijour1=0,MIN(DATE(YEAR(_DebAmort1),MONTH(_DebAmort1)+_MoisD1+(AP68-1)*_Imois1,__Jou2),DATE(YEAR(_DebAmort1),MONTH(_DebAmort1)+_MoisD1+1+(AP68-1)*_Imois1,0)),DATE(YEAR(_DebAmort1),MONTH(_DebAmort1),__Jou1+(AP68-1)*_Ijour1)))</f>
        <v>41671</v>
      </c>
      <c r="AT68" s="156">
        <f t="shared" si="10"/>
        <v>187250</v>
      </c>
      <c r="AU68" s="153">
        <f>IF(AP68&lt;=_NoEchMaxi1,ROUND(AT68*'Données Projet 1'!H77,_NbDeci1),0)</f>
        <v>156.04</v>
      </c>
      <c r="AV68" s="152">
        <f>IF(OR(AP68&lt;=_Différé1,AP68&gt;_NoEchMaxi1),IF(_DiffTotal1,-AU68,0),IF(AP68&gt;=_NoEchRemb1,AT68,IF('Données Projet 1'!I77-(AU68*_EchFIXE1)&gt;AT68-2,AT68,'Données Projet 1'!I77-(AU68*_EchFIXE1))))+AK68</f>
        <v>0</v>
      </c>
      <c r="AW68" s="154">
        <f t="shared" si="11"/>
        <v>15.6</v>
      </c>
      <c r="AX68" s="157">
        <f t="shared" si="3"/>
        <v>171.64</v>
      </c>
    </row>
    <row r="69" spans="1:50" ht="15.75" customHeight="1" x14ac:dyDescent="0.3">
      <c r="H69" s="314" t="s">
        <v>303</v>
      </c>
      <c r="I69" s="315"/>
      <c r="J69" s="315"/>
      <c r="K69" s="315"/>
      <c r="L69" s="317">
        <v>0.45</v>
      </c>
      <c r="M69" s="316"/>
      <c r="O69" s="553" t="s">
        <v>314</v>
      </c>
      <c r="P69" s="510" t="s">
        <v>199</v>
      </c>
      <c r="Q69" s="511">
        <v>0</v>
      </c>
      <c r="R69" s="413"/>
      <c r="S69" s="413"/>
      <c r="T69" s="3"/>
      <c r="U69" s="164"/>
      <c r="V69" s="22"/>
      <c r="W69" s="21"/>
      <c r="X69" s="23"/>
      <c r="Y69" s="10"/>
      <c r="Z69" s="5">
        <f t="shared" si="4"/>
        <v>63</v>
      </c>
      <c r="AA69" s="7">
        <f t="shared" si="5"/>
        <v>358</v>
      </c>
      <c r="AB69" s="8">
        <f t="shared" si="0"/>
        <v>2014</v>
      </c>
      <c r="AC69" s="31">
        <f>IF(AD69=0,"",IF(_Ijour=0,MIN(DATE(YEAR(_DebAmort),MONTH(_DebAmort)+(Z69-1)*_Imois,_Jour1),DATE(YEAR(_DebAmort),MONTH(_DebAmort)+1+(Z69-1)*_Imois,0)),DATE(YEAR(_DebAmort),MONTH(_DebAmort),_Jour1+(Z69-1)*_Ijour)))</f>
        <v>41699</v>
      </c>
      <c r="AD69" s="156">
        <f t="shared" si="6"/>
        <v>211159.55</v>
      </c>
      <c r="AE69" s="153">
        <f>IF(Z69&lt;=_NoEchMaxi,ROUND(AD69*'Données Projet 1'!A78,_NbDeci),0)</f>
        <v>327.3</v>
      </c>
      <c r="AF69" s="152">
        <f>IF(OR(Z69&lt;=_Différé,Z69&gt;_NoEchMaxi),IF(_DiffTotal,-AE69,0),IF(Z69&gt;=_NoEchRemb,AD69,IF('Données Projet 1'!B78-(AE69*_EchFIXE)&gt;AD69-2,AD69,'Données Projet 1'!B78-(AE69*_EchFIXE))))+U69</f>
        <v>441.68</v>
      </c>
      <c r="AG69" s="154">
        <f t="shared" si="7"/>
        <v>19.77</v>
      </c>
      <c r="AH69" s="157">
        <f t="shared" si="1"/>
        <v>788.75</v>
      </c>
      <c r="AI69"/>
      <c r="AJ69" s="3"/>
      <c r="AK69" s="164"/>
      <c r="AL69" s="22"/>
      <c r="AM69" s="21"/>
      <c r="AN69" s="23"/>
      <c r="AO69" s="10"/>
      <c r="AP69" s="5">
        <f t="shared" si="8"/>
        <v>63</v>
      </c>
      <c r="AQ69" s="7">
        <f t="shared" si="9"/>
        <v>118</v>
      </c>
      <c r="AR69" s="8">
        <f t="shared" si="2"/>
        <v>2014</v>
      </c>
      <c r="AS69" s="31">
        <f>IF(AT69=0,"",IF(_Ijour1=0,MIN(DATE(YEAR(_DebAmort1),MONTH(_DebAmort1)+(AP69-1)*_Imois1,__Jou1),DATE(YEAR(_DebAmort1),MONTH(_DebAmort1)+1+(AP69-1)*_Imois1,0)),DATE(YEAR(_DebAmort1),MONTH(_DebAmort1),__Jou1+(AP69-1)*_Ijour1)))</f>
        <v>41699</v>
      </c>
      <c r="AT69" s="156">
        <f t="shared" si="10"/>
        <v>187250</v>
      </c>
      <c r="AU69" s="153">
        <f>IF(AP69&lt;=_NoEchMaxi1,ROUND(AT69*'Données Projet 1'!H78,_NbDeci1),0)</f>
        <v>156.04</v>
      </c>
      <c r="AV69" s="152">
        <f>IF(OR(AP69&lt;=_Différé1,AP69&gt;_NoEchMaxi1),IF(_DiffTotal1,-AU69,0),IF(AP69&gt;=_NoEchRemb1,AT69,IF('Données Projet 1'!I78-(AU69*_EchFIXE1)&gt;AT69-2,AT69,'Données Projet 1'!I78-(AU69*_EchFIXE1))))+AK69</f>
        <v>0</v>
      </c>
      <c r="AW69" s="154">
        <f t="shared" si="11"/>
        <v>15.6</v>
      </c>
      <c r="AX69" s="157">
        <f t="shared" si="3"/>
        <v>171.64</v>
      </c>
    </row>
    <row r="70" spans="1:50" ht="15.75" customHeight="1" x14ac:dyDescent="0.3">
      <c r="H70" s="412"/>
      <c r="I70" s="413"/>
      <c r="K70" s="413"/>
      <c r="L70" s="413"/>
      <c r="M70" s="516">
        <f>SUM(M65:M69)</f>
        <v>749.19740000000002</v>
      </c>
      <c r="O70" s="554"/>
      <c r="P70" s="499" t="s">
        <v>309</v>
      </c>
      <c r="Q70" s="501">
        <f>SUM('TAM Projet 1'!D13*0.15)</f>
        <v>0</v>
      </c>
      <c r="R70" s="413"/>
      <c r="S70" s="413"/>
      <c r="T70" s="3"/>
      <c r="U70" s="164"/>
      <c r="V70" s="22"/>
      <c r="W70" s="21"/>
      <c r="X70" s="23"/>
      <c r="Y70" s="10"/>
      <c r="Z70" s="5">
        <f t="shared" si="4"/>
        <v>64</v>
      </c>
      <c r="AA70" s="7">
        <f t="shared" si="5"/>
        <v>357</v>
      </c>
      <c r="AB70" s="8">
        <f t="shared" ref="AB70:AB133" si="12">IF(ISNUMBER(AC70),YEAR(AC70),"")</f>
        <v>2014</v>
      </c>
      <c r="AC70" s="31">
        <f>IF(AD70=0,"",IF(_Ijour=0,MIN(DATE(YEAR(_DebAmort),MONTH(_DebAmort)+_MoisD+(Z70-1)*_Imois,_Jour2),DATE(YEAR(_DebAmort),MONTH(_DebAmort)+_MoisD+1+(Z70-1)*_Imois,0)),DATE(YEAR(_DebAmort),MONTH(_DebAmort),_Jour1+(Z70-1)*_Ijour)))</f>
        <v>41730</v>
      </c>
      <c r="AD70" s="156">
        <f t="shared" si="6"/>
        <v>210717.87</v>
      </c>
      <c r="AE70" s="153">
        <f>IF(Z70&lt;=_NoEchMaxi,ROUND(AD70*'Données Projet 1'!A79,_NbDeci),0)</f>
        <v>326.61</v>
      </c>
      <c r="AF70" s="152">
        <f>IF(OR(Z70&lt;=_Différé,Z70&gt;_NoEchMaxi),IF(_DiffTotal,-AE70,0),IF(Z70&gt;=_NoEchRemb,AD70,IF('Données Projet 1'!B79-(AE70*_EchFIXE)&gt;AD70-2,AD70,'Données Projet 1'!B79-(AE70*_EchFIXE))))+U70</f>
        <v>442.37</v>
      </c>
      <c r="AG70" s="154">
        <f t="shared" si="7"/>
        <v>19.77</v>
      </c>
      <c r="AH70" s="157">
        <f t="shared" ref="AH70:AH133" si="13">SUM(AE70:AG70)</f>
        <v>788.75</v>
      </c>
      <c r="AI70"/>
      <c r="AJ70" s="3"/>
      <c r="AK70" s="164"/>
      <c r="AL70" s="22"/>
      <c r="AM70" s="21"/>
      <c r="AN70" s="23"/>
      <c r="AO70" s="10"/>
      <c r="AP70" s="5">
        <f t="shared" si="8"/>
        <v>64</v>
      </c>
      <c r="AQ70" s="7">
        <f t="shared" si="9"/>
        <v>117</v>
      </c>
      <c r="AR70" s="8">
        <f t="shared" ref="AR70:AR133" si="14">IF(ISNUMBER(AS70),YEAR(AS70),"")</f>
        <v>2014</v>
      </c>
      <c r="AS70" s="31">
        <f>IF(AT70=0,"",IF(_Ijour1=0,MIN(DATE(YEAR(_DebAmort1),MONTH(_DebAmort1)+_MoisD1+(AP70-1)*_Imois1,__Jou2),DATE(YEAR(_DebAmort1),MONTH(_DebAmort1)+_MoisD1+1+(AP70-1)*_Imois1,0)),DATE(YEAR(_DebAmort1),MONTH(_DebAmort1),__Jou1+(AP70-1)*_Ijour1)))</f>
        <v>41730</v>
      </c>
      <c r="AT70" s="156">
        <f t="shared" si="10"/>
        <v>187250</v>
      </c>
      <c r="AU70" s="153">
        <f>IF(AP70&lt;=_NoEchMaxi1,ROUND(AT70*'Données Projet 1'!H79,_NbDeci1),0)</f>
        <v>156.04</v>
      </c>
      <c r="AV70" s="152">
        <f>IF(OR(AP70&lt;=_Différé1,AP70&gt;_NoEchMaxi1),IF(_DiffTotal1,-AU70,0),IF(AP70&gt;=_NoEchRemb1,AT70,IF('Données Projet 1'!I79-(AU70*_EchFIXE1)&gt;AT70-2,AT70,'Données Projet 1'!I79-(AU70*_EchFIXE1))))+AK70</f>
        <v>0</v>
      </c>
      <c r="AW70" s="154">
        <f t="shared" si="11"/>
        <v>15.6</v>
      </c>
      <c r="AX70" s="157">
        <f t="shared" ref="AX70:AX133" si="15">SUM(AU70:AW70)</f>
        <v>171.64</v>
      </c>
    </row>
    <row r="71" spans="1:50" ht="15.75" customHeight="1" x14ac:dyDescent="0.3">
      <c r="O71" s="554"/>
      <c r="P71" s="499" t="s">
        <v>178</v>
      </c>
      <c r="Q71" s="501">
        <f>SUM('TAM Projet 1'!D13*0.5)</f>
        <v>0</v>
      </c>
      <c r="R71" s="413"/>
      <c r="S71" s="413"/>
      <c r="T71" s="3"/>
      <c r="U71" s="164"/>
      <c r="V71" s="22"/>
      <c r="W71" s="21"/>
      <c r="X71" s="23"/>
      <c r="Y71" s="10"/>
      <c r="Z71" s="5">
        <f t="shared" ref="Z71:Z134" si="16">IF(AD71=0,"",Z70+1)</f>
        <v>65</v>
      </c>
      <c r="AA71" s="7">
        <f t="shared" ref="AA71:AA134" si="17">IF(AD71&gt;0,_NbEch+_Différé+1-Z71,"")</f>
        <v>356</v>
      </c>
      <c r="AB71" s="8">
        <f t="shared" si="12"/>
        <v>2014</v>
      </c>
      <c r="AC71" s="31">
        <f>IF(AD71=0,"",IF(_Ijour=0,MIN(DATE(YEAR(_DebAmort),MONTH(_DebAmort)+(Z71-1)*_Imois,_Jour1),DATE(YEAR(_DebAmort),MONTH(_DebAmort)+1+(Z71-1)*_Imois,0)),DATE(YEAR(_DebAmort),MONTH(_DebAmort),_Jour1+(Z71-1)*_Ijour)))</f>
        <v>41760</v>
      </c>
      <c r="AD71" s="156">
        <f t="shared" ref="AD71:AD134" si="18">AD70-AF70</f>
        <v>210275.5</v>
      </c>
      <c r="AE71" s="153">
        <f>IF(Z71&lt;=_NoEchMaxi,ROUND(AD71*'Données Projet 1'!A80,_NbDeci),0)</f>
        <v>325.93</v>
      </c>
      <c r="AF71" s="152">
        <f>IF(OR(Z71&lt;=_Différé,Z71&gt;_NoEchMaxi),IF(_DiffTotal,-AE71,0),IF(Z71&gt;=_NoEchRemb,AD71,IF('Données Projet 1'!B80-(AE71*_EchFIXE)&gt;AD71-2,AD71,'Données Projet 1'!B80-(AE71*_EchFIXE))))+U71</f>
        <v>443.05</v>
      </c>
      <c r="AG71" s="154">
        <f t="shared" ref="AG71:AG134" si="19">IF(OR(AD71=0,Z71&gt;_NoEchMaxi),0,ROUND(_FraisF+_FraisV*AD71,_NbDeci))+X71</f>
        <v>19.77</v>
      </c>
      <c r="AH71" s="157">
        <f t="shared" si="13"/>
        <v>788.75</v>
      </c>
      <c r="AI71"/>
      <c r="AJ71" s="3"/>
      <c r="AK71" s="164"/>
      <c r="AL71" s="22"/>
      <c r="AM71" s="21"/>
      <c r="AN71" s="23"/>
      <c r="AO71" s="10"/>
      <c r="AP71" s="5">
        <f t="shared" ref="AP71:AP134" si="20">IF(AT71=0,"",AP70+1)</f>
        <v>65</v>
      </c>
      <c r="AQ71" s="7">
        <f t="shared" ref="AQ71:AQ134" si="21">IF(AT71&gt;0,_NbEch1+_Différé1+1-AP71,"")</f>
        <v>116</v>
      </c>
      <c r="AR71" s="8">
        <f t="shared" si="14"/>
        <v>2014</v>
      </c>
      <c r="AS71" s="31">
        <f>IF(AT71=0,"",IF(_Ijour1=0,MIN(DATE(YEAR(_DebAmort1),MONTH(_DebAmort1)+(AP71-1)*_Imois1,__Jou1),DATE(YEAR(_DebAmort1),MONTH(_DebAmort1)+1+(AP71-1)*_Imois1,0)),DATE(YEAR(_DebAmort1),MONTH(_DebAmort1),__Jou1+(AP71-1)*_Ijour1)))</f>
        <v>41760</v>
      </c>
      <c r="AT71" s="156">
        <f t="shared" ref="AT71:AT134" si="22">AT70-AV70</f>
        <v>187250</v>
      </c>
      <c r="AU71" s="153">
        <f>IF(AP71&lt;=_NoEchMaxi1,ROUND(AT71*'Données Projet 1'!H80,_NbDeci1),0)</f>
        <v>156.04</v>
      </c>
      <c r="AV71" s="152">
        <f>IF(OR(AP71&lt;=_Différé1,AP71&gt;_NoEchMaxi1),IF(_DiffTotal1,-AU71,0),IF(AP71&gt;=_NoEchRemb1,AT71,IF('Données Projet 1'!I80-(AU71*_EchFIXE1)&gt;AT71-2,AT71,'Données Projet 1'!I80-(AU71*_EchFIXE1))))+AK71</f>
        <v>0</v>
      </c>
      <c r="AW71" s="154">
        <f t="shared" ref="AW71:AW134" si="23">IF(OR(AT71=0,AP71&gt;_NoEchMaxi1),0,ROUND(_FraisF1+_FraisV1*AT71,_NbDeci1))+AN71</f>
        <v>15.6</v>
      </c>
      <c r="AX71" s="157">
        <f t="shared" si="15"/>
        <v>171.64</v>
      </c>
    </row>
    <row r="72" spans="1:50" ht="15.75" customHeight="1" x14ac:dyDescent="0.3">
      <c r="H72" s="549" t="s">
        <v>346</v>
      </c>
      <c r="I72" s="549"/>
      <c r="J72" s="549"/>
      <c r="K72" s="549"/>
      <c r="L72" s="549"/>
      <c r="M72" s="549"/>
      <c r="O72" s="555"/>
      <c r="P72" s="508"/>
      <c r="Q72" s="509"/>
      <c r="R72" s="413"/>
      <c r="S72" s="413"/>
      <c r="T72" s="3"/>
      <c r="U72" s="164"/>
      <c r="V72" s="22"/>
      <c r="W72" s="21"/>
      <c r="X72" s="23"/>
      <c r="Y72" s="10"/>
      <c r="Z72" s="5">
        <f t="shared" si="16"/>
        <v>66</v>
      </c>
      <c r="AA72" s="7">
        <f t="shared" si="17"/>
        <v>355</v>
      </c>
      <c r="AB72" s="8">
        <f t="shared" si="12"/>
        <v>2014</v>
      </c>
      <c r="AC72" s="31">
        <f>IF(AD72=0,"",IF(_Ijour=0,MIN(DATE(YEAR(_DebAmort),MONTH(_DebAmort)+_MoisD+(Z72-1)*_Imois,_Jour2),DATE(YEAR(_DebAmort),MONTH(_DebAmort)+_MoisD+1+(Z72-1)*_Imois,0)),DATE(YEAR(_DebAmort),MONTH(_DebAmort),_Jour1+(Z72-1)*_Ijour)))</f>
        <v>41791</v>
      </c>
      <c r="AD72" s="156">
        <f t="shared" si="18"/>
        <v>209832.45</v>
      </c>
      <c r="AE72" s="153">
        <f>IF(Z72&lt;=_NoEchMaxi,ROUND(AD72*'Données Projet 1'!A81,_NbDeci),0)</f>
        <v>325.24</v>
      </c>
      <c r="AF72" s="152">
        <f>IF(OR(Z72&lt;=_Différé,Z72&gt;_NoEchMaxi),IF(_DiffTotal,-AE72,0),IF(Z72&gt;=_NoEchRemb,AD72,IF('Données Projet 1'!B81-(AE72*_EchFIXE)&gt;AD72-2,AD72,'Données Projet 1'!B81-(AE72*_EchFIXE))))+U72</f>
        <v>443.74</v>
      </c>
      <c r="AG72" s="154">
        <f t="shared" si="19"/>
        <v>19.77</v>
      </c>
      <c r="AH72" s="157">
        <f t="shared" si="13"/>
        <v>788.75</v>
      </c>
      <c r="AI72"/>
      <c r="AJ72" s="3"/>
      <c r="AK72" s="164"/>
      <c r="AL72" s="22"/>
      <c r="AM72" s="21"/>
      <c r="AN72" s="23"/>
      <c r="AO72" s="10"/>
      <c r="AP72" s="5">
        <f t="shared" si="20"/>
        <v>66</v>
      </c>
      <c r="AQ72" s="7">
        <f t="shared" si="21"/>
        <v>115</v>
      </c>
      <c r="AR72" s="8">
        <f t="shared" si="14"/>
        <v>2014</v>
      </c>
      <c r="AS72" s="31">
        <f>IF(AT72=0,"",IF(_Ijour1=0,MIN(DATE(YEAR(_DebAmort1),MONTH(_DebAmort1)+_MoisD1+(AP72-1)*_Imois1,__Jou2),DATE(YEAR(_DebAmort1),MONTH(_DebAmort1)+_MoisD1+1+(AP72-1)*_Imois1,0)),DATE(YEAR(_DebAmort1),MONTH(_DebAmort1),__Jou1+(AP72-1)*_Ijour1)))</f>
        <v>41791</v>
      </c>
      <c r="AT72" s="156">
        <f t="shared" si="22"/>
        <v>187250</v>
      </c>
      <c r="AU72" s="153">
        <f>IF(AP72&lt;=_NoEchMaxi1,ROUND(AT72*'Données Projet 1'!H81,_NbDeci1),0)</f>
        <v>156.04</v>
      </c>
      <c r="AV72" s="152">
        <f>IF(OR(AP72&lt;=_Différé1,AP72&gt;_NoEchMaxi1),IF(_DiffTotal1,-AU72,0),IF(AP72&gt;=_NoEchRemb1,AT72,IF('Données Projet 1'!I81-(AU72*_EchFIXE1)&gt;AT72-2,AT72,'Données Projet 1'!I81-(AU72*_EchFIXE1))))+AK72</f>
        <v>0</v>
      </c>
      <c r="AW72" s="154">
        <f t="shared" si="23"/>
        <v>15.6</v>
      </c>
      <c r="AX72" s="157">
        <f t="shared" si="15"/>
        <v>171.64</v>
      </c>
    </row>
    <row r="73" spans="1:50" ht="15.75" customHeight="1" x14ac:dyDescent="0.3">
      <c r="H73" s="512" t="s">
        <v>293</v>
      </c>
      <c r="I73" s="546" t="s">
        <v>284</v>
      </c>
      <c r="J73" s="546"/>
      <c r="K73" s="513" t="s">
        <v>285</v>
      </c>
      <c r="L73" s="513" t="s">
        <v>286</v>
      </c>
      <c r="M73" s="512" t="s">
        <v>287</v>
      </c>
      <c r="O73" s="553" t="s">
        <v>315</v>
      </c>
      <c r="P73" s="510" t="s">
        <v>199</v>
      </c>
      <c r="Q73" s="511">
        <v>0</v>
      </c>
      <c r="R73" s="413"/>
      <c r="S73" s="413"/>
      <c r="T73" s="3"/>
      <c r="U73" s="164"/>
      <c r="V73" s="22"/>
      <c r="W73" s="21"/>
      <c r="X73" s="23"/>
      <c r="Y73" s="10"/>
      <c r="Z73" s="5">
        <f t="shared" si="16"/>
        <v>67</v>
      </c>
      <c r="AA73" s="7">
        <f t="shared" si="17"/>
        <v>354</v>
      </c>
      <c r="AB73" s="8">
        <f t="shared" si="12"/>
        <v>2014</v>
      </c>
      <c r="AC73" s="31">
        <f>IF(AD73=0,"",IF(_Ijour=0,MIN(DATE(YEAR(_DebAmort),MONTH(_DebAmort)+(Z73-1)*_Imois,_Jour1),DATE(YEAR(_DebAmort),MONTH(_DebAmort)+1+(Z73-1)*_Imois,0)),DATE(YEAR(_DebAmort),MONTH(_DebAmort),_Jour1+(Z73-1)*_Ijour)))</f>
        <v>41821</v>
      </c>
      <c r="AD73" s="156">
        <f t="shared" si="18"/>
        <v>209388.71000000002</v>
      </c>
      <c r="AE73" s="153">
        <f>IF(Z73&lt;=_NoEchMaxi,ROUND(AD73*'Données Projet 1'!A82,_NbDeci),0)</f>
        <v>324.55</v>
      </c>
      <c r="AF73" s="152">
        <f>IF(OR(Z73&lt;=_Différé,Z73&gt;_NoEchMaxi),IF(_DiffTotal,-AE73,0),IF(Z73&gt;=_NoEchRemb,AD73,IF('Données Projet 1'!B82-(AE73*_EchFIXE)&gt;AD73-2,AD73,'Données Projet 1'!B82-(AE73*_EchFIXE))))+U73</f>
        <v>444.43</v>
      </c>
      <c r="AG73" s="154">
        <f t="shared" si="19"/>
        <v>19.77</v>
      </c>
      <c r="AH73" s="157">
        <f t="shared" si="13"/>
        <v>788.75</v>
      </c>
      <c r="AI73"/>
      <c r="AJ73" s="3"/>
      <c r="AK73" s="164"/>
      <c r="AL73" s="22"/>
      <c r="AM73" s="21"/>
      <c r="AN73" s="23"/>
      <c r="AO73" s="10"/>
      <c r="AP73" s="5">
        <f t="shared" si="20"/>
        <v>67</v>
      </c>
      <c r="AQ73" s="7">
        <f t="shared" si="21"/>
        <v>114</v>
      </c>
      <c r="AR73" s="8">
        <f t="shared" si="14"/>
        <v>2014</v>
      </c>
      <c r="AS73" s="31">
        <f>IF(AT73=0,"",IF(_Ijour1=0,MIN(DATE(YEAR(_DebAmort1),MONTH(_DebAmort1)+(AP73-1)*_Imois1,__Jou1),DATE(YEAR(_DebAmort1),MONTH(_DebAmort1)+1+(AP73-1)*_Imois1,0)),DATE(YEAR(_DebAmort1),MONTH(_DebAmort1),__Jou1+(AP73-1)*_Ijour1)))</f>
        <v>41821</v>
      </c>
      <c r="AT73" s="156">
        <f t="shared" si="22"/>
        <v>187250</v>
      </c>
      <c r="AU73" s="153">
        <f>IF(AP73&lt;=_NoEchMaxi1,ROUND(AT73*'Données Projet 1'!H82,_NbDeci1),0)</f>
        <v>156.04</v>
      </c>
      <c r="AV73" s="152">
        <f>IF(OR(AP73&lt;=_Différé1,AP73&gt;_NoEchMaxi1),IF(_DiffTotal1,-AU73,0),IF(AP73&gt;=_NoEchRemb1,AT73,IF('Données Projet 1'!I82-(AU73*_EchFIXE1)&gt;AT73-2,AT73,'Données Projet 1'!I82-(AU73*_EchFIXE1))))+AK73</f>
        <v>0</v>
      </c>
      <c r="AW73" s="154">
        <f t="shared" si="23"/>
        <v>15.6</v>
      </c>
      <c r="AX73" s="157">
        <f t="shared" si="15"/>
        <v>171.64</v>
      </c>
    </row>
    <row r="74" spans="1:50" ht="15.75" customHeight="1" x14ac:dyDescent="0.3">
      <c r="H74" s="314" t="s">
        <v>295</v>
      </c>
      <c r="I74" s="315">
        <v>0</v>
      </c>
      <c r="J74" s="315">
        <v>9807</v>
      </c>
      <c r="K74" s="316">
        <f>+IF('TAM Projet 1'!D33&gt;J74,J74,'TAM Projet 1'!D33)</f>
        <v>9807</v>
      </c>
      <c r="L74" s="317">
        <v>0</v>
      </c>
      <c r="M74" s="316">
        <v>0</v>
      </c>
      <c r="O74" s="554"/>
      <c r="P74" s="499" t="s">
        <v>309</v>
      </c>
      <c r="Q74" s="501">
        <f>SUM('TAM Projet 1'!F3*0.15)</f>
        <v>0</v>
      </c>
      <c r="R74" s="413"/>
      <c r="S74" s="413"/>
      <c r="T74" s="3"/>
      <c r="U74" s="164"/>
      <c r="V74" s="22"/>
      <c r="W74" s="21"/>
      <c r="X74" s="23"/>
      <c r="Y74" s="10"/>
      <c r="Z74" s="5">
        <f t="shared" si="16"/>
        <v>68</v>
      </c>
      <c r="AA74" s="7">
        <f t="shared" si="17"/>
        <v>353</v>
      </c>
      <c r="AB74" s="8">
        <f t="shared" si="12"/>
        <v>2014</v>
      </c>
      <c r="AC74" s="31">
        <f>IF(AD74=0,"",IF(_Ijour=0,MIN(DATE(YEAR(_DebAmort),MONTH(_DebAmort)+_MoisD+(Z74-1)*_Imois,_Jour2),DATE(YEAR(_DebAmort),MONTH(_DebAmort)+_MoisD+1+(Z74-1)*_Imois,0)),DATE(YEAR(_DebAmort),MONTH(_DebAmort),_Jour1+(Z74-1)*_Ijour)))</f>
        <v>41852</v>
      </c>
      <c r="AD74" s="156">
        <f t="shared" si="18"/>
        <v>208944.28000000003</v>
      </c>
      <c r="AE74" s="153">
        <f>IF(Z74&lt;=_NoEchMaxi,ROUND(AD74*'Données Projet 1'!A83,_NbDeci),0)</f>
        <v>323.86</v>
      </c>
      <c r="AF74" s="152">
        <f>IF(OR(Z74&lt;=_Différé,Z74&gt;_NoEchMaxi),IF(_DiffTotal,-AE74,0),IF(Z74&gt;=_NoEchRemb,AD74,IF('Données Projet 1'!B83-(AE74*_EchFIXE)&gt;AD74-2,AD74,'Données Projet 1'!B83-(AE74*_EchFIXE))))+U74</f>
        <v>445.12</v>
      </c>
      <c r="AG74" s="154">
        <f t="shared" si="19"/>
        <v>19.77</v>
      </c>
      <c r="AH74" s="157">
        <f t="shared" si="13"/>
        <v>788.75</v>
      </c>
      <c r="AI74"/>
      <c r="AJ74" s="3"/>
      <c r="AK74" s="164"/>
      <c r="AL74" s="22"/>
      <c r="AM74" s="21"/>
      <c r="AN74" s="23"/>
      <c r="AO74" s="10"/>
      <c r="AP74" s="5">
        <f t="shared" si="20"/>
        <v>68</v>
      </c>
      <c r="AQ74" s="7">
        <f t="shared" si="21"/>
        <v>113</v>
      </c>
      <c r="AR74" s="8">
        <f t="shared" si="14"/>
        <v>2014</v>
      </c>
      <c r="AS74" s="31">
        <f>IF(AT74=0,"",IF(_Ijour1=0,MIN(DATE(YEAR(_DebAmort1),MONTH(_DebAmort1)+_MoisD1+(AP74-1)*_Imois1,__Jou2),DATE(YEAR(_DebAmort1),MONTH(_DebAmort1)+_MoisD1+1+(AP74-1)*_Imois1,0)),DATE(YEAR(_DebAmort1),MONTH(_DebAmort1),__Jou1+(AP74-1)*_Ijour1)))</f>
        <v>41852</v>
      </c>
      <c r="AT74" s="156">
        <f t="shared" si="22"/>
        <v>187250</v>
      </c>
      <c r="AU74" s="153">
        <f>IF(AP74&lt;=_NoEchMaxi1,ROUND(AT74*'Données Projet 1'!H83,_NbDeci1),0)</f>
        <v>156.04</v>
      </c>
      <c r="AV74" s="152">
        <f>IF(OR(AP74&lt;=_Différé1,AP74&gt;_NoEchMaxi1),IF(_DiffTotal1,-AU74,0),IF(AP74&gt;=_NoEchRemb1,AT74,IF('Données Projet 1'!I83-(AU74*_EchFIXE1)&gt;AT74-2,AT74,'Données Projet 1'!I83-(AU74*_EchFIXE1))))+AK74</f>
        <v>0</v>
      </c>
      <c r="AW74" s="154">
        <f t="shared" si="23"/>
        <v>15.6</v>
      </c>
      <c r="AX74" s="157">
        <f t="shared" si="15"/>
        <v>171.64</v>
      </c>
    </row>
    <row r="75" spans="1:50" ht="15.75" customHeight="1" x14ac:dyDescent="0.3">
      <c r="H75" s="314" t="s">
        <v>297</v>
      </c>
      <c r="I75" s="315">
        <v>9808</v>
      </c>
      <c r="J75" s="315">
        <v>27086</v>
      </c>
      <c r="K75" s="316">
        <f>IF('TAM Projet 1'!$D$33&lt;I75,0,IF('TAM Projet 1'!$D$33&lt;=J75,'TAM Projet 1'!$D$33-J74,J75-J74))</f>
        <v>1964.6800000000003</v>
      </c>
      <c r="L75" s="317">
        <v>0.14000000000000001</v>
      </c>
      <c r="M75" s="316">
        <f>SUM(K75*L75)</f>
        <v>275.05520000000007</v>
      </c>
      <c r="O75" s="554"/>
      <c r="P75" s="499" t="s">
        <v>178</v>
      </c>
      <c r="Q75" s="501">
        <f>SUM('TAM Projet 1'!F3*0.5)</f>
        <v>0</v>
      </c>
      <c r="R75" s="413"/>
      <c r="S75" s="413"/>
      <c r="T75" s="3"/>
      <c r="U75" s="164"/>
      <c r="V75" s="22"/>
      <c r="W75" s="21"/>
      <c r="X75" s="23"/>
      <c r="Y75" s="10"/>
      <c r="Z75" s="5">
        <f t="shared" si="16"/>
        <v>69</v>
      </c>
      <c r="AA75" s="7">
        <f t="shared" si="17"/>
        <v>352</v>
      </c>
      <c r="AB75" s="8">
        <f t="shared" si="12"/>
        <v>2014</v>
      </c>
      <c r="AC75" s="31">
        <f>IF(AD75=0,"",IF(_Ijour=0,MIN(DATE(YEAR(_DebAmort),MONTH(_DebAmort)+(Z75-1)*_Imois,_Jour1),DATE(YEAR(_DebAmort),MONTH(_DebAmort)+1+(Z75-1)*_Imois,0)),DATE(YEAR(_DebAmort),MONTH(_DebAmort),_Jour1+(Z75-1)*_Ijour)))</f>
        <v>41883</v>
      </c>
      <c r="AD75" s="156">
        <f t="shared" si="18"/>
        <v>208499.16000000003</v>
      </c>
      <c r="AE75" s="153">
        <f>IF(Z75&lt;=_NoEchMaxi,ROUND(AD75*'Données Projet 1'!A84,_NbDeci),0)</f>
        <v>323.17</v>
      </c>
      <c r="AF75" s="152">
        <f>IF(OR(Z75&lt;=_Différé,Z75&gt;_NoEchMaxi),IF(_DiffTotal,-AE75,0),IF(Z75&gt;=_NoEchRemb,AD75,IF('Données Projet 1'!B84-(AE75*_EchFIXE)&gt;AD75-2,AD75,'Données Projet 1'!B84-(AE75*_EchFIXE))))+U75</f>
        <v>445.81</v>
      </c>
      <c r="AG75" s="154">
        <f t="shared" si="19"/>
        <v>19.77</v>
      </c>
      <c r="AH75" s="157">
        <f t="shared" si="13"/>
        <v>788.75</v>
      </c>
      <c r="AI75"/>
      <c r="AJ75" s="3"/>
      <c r="AK75" s="164"/>
      <c r="AL75" s="22"/>
      <c r="AM75" s="21"/>
      <c r="AN75" s="23"/>
      <c r="AO75" s="10"/>
      <c r="AP75" s="5">
        <f t="shared" si="20"/>
        <v>69</v>
      </c>
      <c r="AQ75" s="7">
        <f t="shared" si="21"/>
        <v>112</v>
      </c>
      <c r="AR75" s="8">
        <f t="shared" si="14"/>
        <v>2014</v>
      </c>
      <c r="AS75" s="31">
        <f>IF(AT75=0,"",IF(_Ijour1=0,MIN(DATE(YEAR(_DebAmort1),MONTH(_DebAmort1)+(AP75-1)*_Imois1,__Jou1),DATE(YEAR(_DebAmort1),MONTH(_DebAmort1)+1+(AP75-1)*_Imois1,0)),DATE(YEAR(_DebAmort1),MONTH(_DebAmort1),__Jou1+(AP75-1)*_Ijour1)))</f>
        <v>41883</v>
      </c>
      <c r="AT75" s="156">
        <f t="shared" si="22"/>
        <v>187250</v>
      </c>
      <c r="AU75" s="153">
        <f>IF(AP75&lt;=_NoEchMaxi1,ROUND(AT75*'Données Projet 1'!H84,_NbDeci1),0)</f>
        <v>156.04</v>
      </c>
      <c r="AV75" s="152">
        <f>IF(OR(AP75&lt;=_Différé1,AP75&gt;_NoEchMaxi1),IF(_DiffTotal1,-AU75,0),IF(AP75&gt;=_NoEchRemb1,AT75,IF('Données Projet 1'!I84-(AU75*_EchFIXE1)&gt;AT75-2,AT75,'Données Projet 1'!I84-(AU75*_EchFIXE1))))+AK75</f>
        <v>0</v>
      </c>
      <c r="AW75" s="154">
        <f t="shared" si="23"/>
        <v>15.6</v>
      </c>
      <c r="AX75" s="157">
        <f t="shared" si="15"/>
        <v>171.64</v>
      </c>
    </row>
    <row r="76" spans="1:50" ht="15.75" customHeight="1" x14ac:dyDescent="0.3">
      <c r="H76" s="314" t="s">
        <v>299</v>
      </c>
      <c r="I76" s="315">
        <v>27087</v>
      </c>
      <c r="J76" s="315">
        <v>72617</v>
      </c>
      <c r="K76" s="316">
        <f>IF('TAM Projet 1'!$D$33&lt;I76,0,IF('TAM Projet 1'!$D$33&lt;=J76,'TAM Projet 1'!$D$33-J75,J76-J75))</f>
        <v>0</v>
      </c>
      <c r="L76" s="317">
        <v>0.3</v>
      </c>
      <c r="M76" s="316">
        <f>SUM(K76*L76)</f>
        <v>0</v>
      </c>
      <c r="O76" s="555"/>
      <c r="P76" s="508"/>
      <c r="Q76" s="509"/>
      <c r="R76" s="413"/>
      <c r="S76" s="413"/>
      <c r="T76" s="3"/>
      <c r="U76" s="164"/>
      <c r="V76" s="22"/>
      <c r="W76" s="21"/>
      <c r="X76" s="23"/>
      <c r="Y76" s="10"/>
      <c r="Z76" s="5">
        <f t="shared" si="16"/>
        <v>70</v>
      </c>
      <c r="AA76" s="7">
        <f t="shared" si="17"/>
        <v>351</v>
      </c>
      <c r="AB76" s="8">
        <f t="shared" si="12"/>
        <v>2014</v>
      </c>
      <c r="AC76" s="31">
        <f>IF(AD76=0,"",IF(_Ijour=0,MIN(DATE(YEAR(_DebAmort),MONTH(_DebAmort)+_MoisD+(Z76-1)*_Imois,_Jour2),DATE(YEAR(_DebAmort),MONTH(_DebAmort)+_MoisD+1+(Z76-1)*_Imois,0)),DATE(YEAR(_DebAmort),MONTH(_DebAmort),_Jour1+(Z76-1)*_Ijour)))</f>
        <v>41913</v>
      </c>
      <c r="AD76" s="156">
        <f t="shared" si="18"/>
        <v>208053.35000000003</v>
      </c>
      <c r="AE76" s="153">
        <f>IF(Z76&lt;=_NoEchMaxi,ROUND(AD76*'Données Projet 1'!A85,_NbDeci),0)</f>
        <v>322.48</v>
      </c>
      <c r="AF76" s="152">
        <f>IF(OR(Z76&lt;=_Différé,Z76&gt;_NoEchMaxi),IF(_DiffTotal,-AE76,0),IF(Z76&gt;=_NoEchRemb,AD76,IF('Données Projet 1'!B85-(AE76*_EchFIXE)&gt;AD76-2,AD76,'Données Projet 1'!B85-(AE76*_EchFIXE))))+U76</f>
        <v>446.5</v>
      </c>
      <c r="AG76" s="154">
        <f t="shared" si="19"/>
        <v>19.77</v>
      </c>
      <c r="AH76" s="157">
        <f t="shared" si="13"/>
        <v>788.75</v>
      </c>
      <c r="AI76"/>
      <c r="AJ76" s="3"/>
      <c r="AK76" s="164"/>
      <c r="AL76" s="22"/>
      <c r="AM76" s="21"/>
      <c r="AN76" s="23"/>
      <c r="AO76" s="10"/>
      <c r="AP76" s="5">
        <f t="shared" si="20"/>
        <v>70</v>
      </c>
      <c r="AQ76" s="7">
        <f t="shared" si="21"/>
        <v>111</v>
      </c>
      <c r="AR76" s="8">
        <f t="shared" si="14"/>
        <v>2014</v>
      </c>
      <c r="AS76" s="31">
        <f>IF(AT76=0,"",IF(_Ijour1=0,MIN(DATE(YEAR(_DebAmort1),MONTH(_DebAmort1)+_MoisD1+(AP76-1)*_Imois1,__Jou2),DATE(YEAR(_DebAmort1),MONTH(_DebAmort1)+_MoisD1+1+(AP76-1)*_Imois1,0)),DATE(YEAR(_DebAmort1),MONTH(_DebAmort1),__Jou1+(AP76-1)*_Ijour1)))</f>
        <v>41913</v>
      </c>
      <c r="AT76" s="156">
        <f t="shared" si="22"/>
        <v>187250</v>
      </c>
      <c r="AU76" s="153">
        <f>IF(AP76&lt;=_NoEchMaxi1,ROUND(AT76*'Données Projet 1'!H85,_NbDeci1),0)</f>
        <v>156.04</v>
      </c>
      <c r="AV76" s="152">
        <f>IF(OR(AP76&lt;=_Différé1,AP76&gt;_NoEchMaxi1),IF(_DiffTotal1,-AU76,0),IF(AP76&gt;=_NoEchRemb1,AT76,IF('Données Projet 1'!I85-(AU76*_EchFIXE1)&gt;AT76-2,AT76,'Données Projet 1'!I85-(AU76*_EchFIXE1))))+AK76</f>
        <v>0</v>
      </c>
      <c r="AW76" s="154">
        <f t="shared" si="23"/>
        <v>15.6</v>
      </c>
      <c r="AX76" s="157">
        <f t="shared" si="15"/>
        <v>171.64</v>
      </c>
    </row>
    <row r="77" spans="1:50" ht="15.75" customHeight="1" x14ac:dyDescent="0.3">
      <c r="H77" s="314" t="s">
        <v>301</v>
      </c>
      <c r="I77" s="315">
        <v>72618</v>
      </c>
      <c r="J77" s="315">
        <v>153783</v>
      </c>
      <c r="K77" s="316">
        <f>IF('TAM Projet 1'!$D$33&lt;I77,0,IF('TAM Projet 1'!$D$33&lt;=J77,'TAM Projet 1'!$D$33-J76,J77-J76))</f>
        <v>0</v>
      </c>
      <c r="L77" s="317">
        <v>0.41</v>
      </c>
      <c r="M77" s="316">
        <f>SUM(K77*L77)</f>
        <v>0</v>
      </c>
      <c r="O77" s="553" t="s">
        <v>316</v>
      </c>
      <c r="P77" s="510" t="s">
        <v>199</v>
      </c>
      <c r="Q77" s="511">
        <v>0</v>
      </c>
      <c r="R77" s="413"/>
      <c r="S77" s="413"/>
      <c r="T77" s="3"/>
      <c r="U77" s="164"/>
      <c r="V77" s="22"/>
      <c r="W77" s="21"/>
      <c r="X77" s="23"/>
      <c r="Y77" s="10"/>
      <c r="Z77" s="5">
        <f t="shared" si="16"/>
        <v>71</v>
      </c>
      <c r="AA77" s="7">
        <f t="shared" si="17"/>
        <v>350</v>
      </c>
      <c r="AB77" s="8">
        <f t="shared" si="12"/>
        <v>2014</v>
      </c>
      <c r="AC77" s="31">
        <f>IF(AD77=0,"",IF(_Ijour=0,MIN(DATE(YEAR(_DebAmort),MONTH(_DebAmort)+(Z77-1)*_Imois,_Jour1),DATE(YEAR(_DebAmort),MONTH(_DebAmort)+1+(Z77-1)*_Imois,0)),DATE(YEAR(_DebAmort),MONTH(_DebAmort),_Jour1+(Z77-1)*_Ijour)))</f>
        <v>41944</v>
      </c>
      <c r="AD77" s="156">
        <f t="shared" si="18"/>
        <v>207606.85000000003</v>
      </c>
      <c r="AE77" s="153">
        <f>IF(Z77&lt;=_NoEchMaxi,ROUND(AD77*'Données Projet 1'!A86,_NbDeci),0)</f>
        <v>321.79000000000002</v>
      </c>
      <c r="AF77" s="152">
        <f>IF(OR(Z77&lt;=_Différé,Z77&gt;_NoEchMaxi),IF(_DiffTotal,-AE77,0),IF(Z77&gt;=_NoEchRemb,AD77,IF('Données Projet 1'!B86-(AE77*_EchFIXE)&gt;AD77-2,AD77,'Données Projet 1'!B86-(AE77*_EchFIXE))))+U77</f>
        <v>447.19</v>
      </c>
      <c r="AG77" s="154">
        <f t="shared" si="19"/>
        <v>19.77</v>
      </c>
      <c r="AH77" s="157">
        <f t="shared" si="13"/>
        <v>788.75</v>
      </c>
      <c r="AI77"/>
      <c r="AJ77" s="3"/>
      <c r="AK77" s="164"/>
      <c r="AL77" s="22"/>
      <c r="AM77" s="21"/>
      <c r="AN77" s="23"/>
      <c r="AO77" s="10"/>
      <c r="AP77" s="5">
        <f t="shared" si="20"/>
        <v>71</v>
      </c>
      <c r="AQ77" s="7">
        <f t="shared" si="21"/>
        <v>110</v>
      </c>
      <c r="AR77" s="8">
        <f t="shared" si="14"/>
        <v>2014</v>
      </c>
      <c r="AS77" s="31">
        <f>IF(AT77=0,"",IF(_Ijour1=0,MIN(DATE(YEAR(_DebAmort1),MONTH(_DebAmort1)+(AP77-1)*_Imois1,__Jou1),DATE(YEAR(_DebAmort1),MONTH(_DebAmort1)+1+(AP77-1)*_Imois1,0)),DATE(YEAR(_DebAmort1),MONTH(_DebAmort1),__Jou1+(AP77-1)*_Ijour1)))</f>
        <v>41944</v>
      </c>
      <c r="AT77" s="156">
        <f t="shared" si="22"/>
        <v>187250</v>
      </c>
      <c r="AU77" s="153">
        <f>IF(AP77&lt;=_NoEchMaxi1,ROUND(AT77*'Données Projet 1'!H86,_NbDeci1),0)</f>
        <v>156.04</v>
      </c>
      <c r="AV77" s="152">
        <f>IF(OR(AP77&lt;=_Différé1,AP77&gt;_NoEchMaxi1),IF(_DiffTotal1,-AU77,0),IF(AP77&gt;=_NoEchRemb1,AT77,IF('Données Projet 1'!I86-(AU77*_EchFIXE1)&gt;AT77-2,AT77,'Données Projet 1'!I86-(AU77*_EchFIXE1))))+AK77</f>
        <v>0</v>
      </c>
      <c r="AW77" s="154">
        <f t="shared" si="23"/>
        <v>15.6</v>
      </c>
      <c r="AX77" s="157">
        <f t="shared" si="15"/>
        <v>171.64</v>
      </c>
    </row>
    <row r="78" spans="1:50" ht="15.75" customHeight="1" x14ac:dyDescent="0.3">
      <c r="H78" s="314" t="s">
        <v>303</v>
      </c>
      <c r="I78" s="315"/>
      <c r="J78" s="315"/>
      <c r="K78" s="315"/>
      <c r="L78" s="317">
        <v>0.45</v>
      </c>
      <c r="M78" s="316"/>
      <c r="O78" s="554"/>
      <c r="P78" s="499" t="s">
        <v>309</v>
      </c>
      <c r="Q78" s="501">
        <f>SUM('TAM Projet 1'!F5*0.15)</f>
        <v>0</v>
      </c>
      <c r="R78" s="413"/>
      <c r="S78" s="413"/>
      <c r="T78" s="3"/>
      <c r="U78" s="164"/>
      <c r="V78" s="22"/>
      <c r="W78" s="21"/>
      <c r="X78" s="23"/>
      <c r="Y78" s="10"/>
      <c r="Z78" s="5">
        <f t="shared" si="16"/>
        <v>72</v>
      </c>
      <c r="AA78" s="7">
        <f t="shared" si="17"/>
        <v>349</v>
      </c>
      <c r="AB78" s="8">
        <f t="shared" si="12"/>
        <v>2014</v>
      </c>
      <c r="AC78" s="31">
        <f>IF(AD78=0,"",IF(_Ijour=0,MIN(DATE(YEAR(_DebAmort),MONTH(_DebAmort)+_MoisD+(Z78-1)*_Imois,_Jour2),DATE(YEAR(_DebAmort),MONTH(_DebAmort)+_MoisD+1+(Z78-1)*_Imois,0)),DATE(YEAR(_DebAmort),MONTH(_DebAmort),_Jour1+(Z78-1)*_Ijour)))</f>
        <v>41974</v>
      </c>
      <c r="AD78" s="156">
        <f t="shared" si="18"/>
        <v>207159.66000000003</v>
      </c>
      <c r="AE78" s="153">
        <f>IF(Z78&lt;=_NoEchMaxi,ROUND(AD78*'Données Projet 1'!A87,_NbDeci),0)</f>
        <v>321.10000000000002</v>
      </c>
      <c r="AF78" s="152">
        <f>IF(OR(Z78&lt;=_Différé,Z78&gt;_NoEchMaxi),IF(_DiffTotal,-AE78,0),IF(Z78&gt;=_NoEchRemb,AD78,IF('Données Projet 1'!B87-(AE78*_EchFIXE)&gt;AD78-2,AD78,'Données Projet 1'!B87-(AE78*_EchFIXE))))+U78</f>
        <v>447.88</v>
      </c>
      <c r="AG78" s="154">
        <f t="shared" si="19"/>
        <v>19.77</v>
      </c>
      <c r="AH78" s="157">
        <f t="shared" si="13"/>
        <v>788.75</v>
      </c>
      <c r="AI78"/>
      <c r="AJ78" s="3"/>
      <c r="AK78" s="164"/>
      <c r="AL78" s="22"/>
      <c r="AM78" s="21"/>
      <c r="AN78" s="23"/>
      <c r="AO78" s="10"/>
      <c r="AP78" s="5">
        <f t="shared" si="20"/>
        <v>72</v>
      </c>
      <c r="AQ78" s="7">
        <f t="shared" si="21"/>
        <v>109</v>
      </c>
      <c r="AR78" s="8">
        <f t="shared" si="14"/>
        <v>2014</v>
      </c>
      <c r="AS78" s="31">
        <f>IF(AT78=0,"",IF(_Ijour1=0,MIN(DATE(YEAR(_DebAmort1),MONTH(_DebAmort1)+_MoisD1+(AP78-1)*_Imois1,__Jou2),DATE(YEAR(_DebAmort1),MONTH(_DebAmort1)+_MoisD1+1+(AP78-1)*_Imois1,0)),DATE(YEAR(_DebAmort1),MONTH(_DebAmort1),__Jou1+(AP78-1)*_Ijour1)))</f>
        <v>41974</v>
      </c>
      <c r="AT78" s="156">
        <f t="shared" si="22"/>
        <v>187250</v>
      </c>
      <c r="AU78" s="153">
        <f>IF(AP78&lt;=_NoEchMaxi1,ROUND(AT78*'Données Projet 1'!H87,_NbDeci1),0)</f>
        <v>156.04</v>
      </c>
      <c r="AV78" s="152">
        <f>IF(OR(AP78&lt;=_Différé1,AP78&gt;_NoEchMaxi1),IF(_DiffTotal1,-AU78,0),IF(AP78&gt;=_NoEchRemb1,AT78,IF('Données Projet 1'!I87-(AU78*_EchFIXE1)&gt;AT78-2,AT78,'Données Projet 1'!I87-(AU78*_EchFIXE1))))+AK78</f>
        <v>0</v>
      </c>
      <c r="AW78" s="154">
        <f t="shared" si="23"/>
        <v>15.6</v>
      </c>
      <c r="AX78" s="157">
        <f t="shared" si="15"/>
        <v>171.64</v>
      </c>
    </row>
    <row r="79" spans="1:50" ht="15.75" customHeight="1" x14ac:dyDescent="0.3">
      <c r="H79" s="549" t="s">
        <v>366</v>
      </c>
      <c r="I79" s="549"/>
      <c r="J79" s="549"/>
      <c r="K79" s="549"/>
      <c r="L79" s="549"/>
      <c r="M79" s="549"/>
      <c r="O79" s="554"/>
      <c r="P79" s="499" t="s">
        <v>178</v>
      </c>
      <c r="Q79" s="501">
        <f>SUM('TAM Projet 1'!F5*0.5)</f>
        <v>0</v>
      </c>
      <c r="R79" s="413"/>
      <c r="S79" s="413"/>
      <c r="T79" s="3"/>
      <c r="U79" s="164"/>
      <c r="V79" s="22"/>
      <c r="W79" s="21"/>
      <c r="X79" s="23"/>
      <c r="Y79" s="10"/>
      <c r="Z79" s="5">
        <f t="shared" si="16"/>
        <v>73</v>
      </c>
      <c r="AA79" s="7">
        <f t="shared" si="17"/>
        <v>348</v>
      </c>
      <c r="AB79" s="8">
        <f t="shared" si="12"/>
        <v>2015</v>
      </c>
      <c r="AC79" s="31">
        <f>IF(AD79=0,"",IF(_Ijour=0,MIN(DATE(YEAR(_DebAmort),MONTH(_DebAmort)+(Z79-1)*_Imois,_Jour1),DATE(YEAR(_DebAmort),MONTH(_DebAmort)+1+(Z79-1)*_Imois,0)),DATE(YEAR(_DebAmort),MONTH(_DebAmort),_Jour1+(Z79-1)*_Ijour)))</f>
        <v>42005</v>
      </c>
      <c r="AD79" s="156">
        <f t="shared" si="18"/>
        <v>206711.78000000003</v>
      </c>
      <c r="AE79" s="153">
        <f>IF(Z79&lt;=_NoEchMaxi,ROUND(AD79*'Données Projet 1'!A88,_NbDeci),0)</f>
        <v>320.39999999999998</v>
      </c>
      <c r="AF79" s="152">
        <f>IF(OR(Z79&lt;=_Différé,Z79&gt;_NoEchMaxi),IF(_DiffTotal,-AE79,0),IF(Z79&gt;=_NoEchRemb,AD79,IF('Données Projet 1'!B88-(AE79*_EchFIXE)&gt;AD79-2,AD79,'Données Projet 1'!B88-(AE79*_EchFIXE))))+U79</f>
        <v>448.58000000000004</v>
      </c>
      <c r="AG79" s="154">
        <f t="shared" si="19"/>
        <v>19.77</v>
      </c>
      <c r="AH79" s="157">
        <f t="shared" si="13"/>
        <v>788.75</v>
      </c>
      <c r="AI79"/>
      <c r="AJ79" s="3"/>
      <c r="AK79" s="164"/>
      <c r="AL79" s="22"/>
      <c r="AM79" s="21"/>
      <c r="AN79" s="23"/>
      <c r="AO79" s="10"/>
      <c r="AP79" s="5">
        <f t="shared" si="20"/>
        <v>73</v>
      </c>
      <c r="AQ79" s="7">
        <f t="shared" si="21"/>
        <v>108</v>
      </c>
      <c r="AR79" s="8">
        <f t="shared" si="14"/>
        <v>2015</v>
      </c>
      <c r="AS79" s="31">
        <f>IF(AT79=0,"",IF(_Ijour1=0,MIN(DATE(YEAR(_DebAmort1),MONTH(_DebAmort1)+(AP79-1)*_Imois1,__Jou1),DATE(YEAR(_DebAmort1),MONTH(_DebAmort1)+1+(AP79-1)*_Imois1,0)),DATE(YEAR(_DebAmort1),MONTH(_DebAmort1),__Jou1+(AP79-1)*_Ijour1)))</f>
        <v>42005</v>
      </c>
      <c r="AT79" s="156">
        <f t="shared" si="22"/>
        <v>187250</v>
      </c>
      <c r="AU79" s="153">
        <f>IF(AP79&lt;=_NoEchMaxi1,ROUND(AT79*'Données Projet 1'!H88,_NbDeci1),0)</f>
        <v>156.04</v>
      </c>
      <c r="AV79" s="152">
        <f>IF(OR(AP79&lt;=_Différé1,AP79&gt;_NoEchMaxi1),IF(_DiffTotal1,-AU79,0),IF(AP79&gt;=_NoEchRemb1,AT79,IF('Données Projet 1'!I88-(AU79*_EchFIXE1)&gt;AT79-2,AT79,'Données Projet 1'!I88-(AU79*_EchFIXE1))))+AK79</f>
        <v>0</v>
      </c>
      <c r="AW79" s="154">
        <f t="shared" si="23"/>
        <v>15.6</v>
      </c>
      <c r="AX79" s="157">
        <f t="shared" si="15"/>
        <v>171.64</v>
      </c>
    </row>
    <row r="80" spans="1:50" ht="15.75" customHeight="1" x14ac:dyDescent="0.3">
      <c r="H80" s="512" t="s">
        <v>293</v>
      </c>
      <c r="I80" s="546" t="s">
        <v>284</v>
      </c>
      <c r="J80" s="546"/>
      <c r="K80" s="517" t="s">
        <v>285</v>
      </c>
      <c r="L80" s="517" t="s">
        <v>286</v>
      </c>
      <c r="M80" s="512" t="s">
        <v>287</v>
      </c>
      <c r="O80" s="555"/>
      <c r="P80" s="508"/>
      <c r="Q80" s="509"/>
      <c r="R80" s="413"/>
      <c r="S80" s="413"/>
      <c r="T80" s="3"/>
      <c r="U80" s="164"/>
      <c r="V80" s="22"/>
      <c r="W80" s="21"/>
      <c r="X80" s="23"/>
      <c r="Y80" s="10"/>
      <c r="Z80" s="5">
        <f t="shared" si="16"/>
        <v>74</v>
      </c>
      <c r="AA80" s="7">
        <f t="shared" si="17"/>
        <v>347</v>
      </c>
      <c r="AB80" s="8">
        <f t="shared" si="12"/>
        <v>2015</v>
      </c>
      <c r="AC80" s="31">
        <f>IF(AD80=0,"",IF(_Ijour=0,MIN(DATE(YEAR(_DebAmort),MONTH(_DebAmort)+_MoisD+(Z80-1)*_Imois,_Jour2),DATE(YEAR(_DebAmort),MONTH(_DebAmort)+_MoisD+1+(Z80-1)*_Imois,0)),DATE(YEAR(_DebAmort),MONTH(_DebAmort),_Jour1+(Z80-1)*_Ijour)))</f>
        <v>42036</v>
      </c>
      <c r="AD80" s="156">
        <f t="shared" si="18"/>
        <v>206263.20000000004</v>
      </c>
      <c r="AE80" s="153">
        <f>IF(Z80&lt;=_NoEchMaxi,ROUND(AD80*'Données Projet 1'!A89,_NbDeci),0)</f>
        <v>319.70999999999998</v>
      </c>
      <c r="AF80" s="152">
        <f>IF(OR(Z80&lt;=_Différé,Z80&gt;_NoEchMaxi),IF(_DiffTotal,-AE80,0),IF(Z80&gt;=_NoEchRemb,AD80,IF('Données Projet 1'!B89-(AE80*_EchFIXE)&gt;AD80-2,AD80,'Données Projet 1'!B89-(AE80*_EchFIXE))))+U80</f>
        <v>449.27000000000004</v>
      </c>
      <c r="AG80" s="154">
        <f t="shared" si="19"/>
        <v>19.77</v>
      </c>
      <c r="AH80" s="157">
        <f t="shared" si="13"/>
        <v>788.75</v>
      </c>
      <c r="AI80"/>
      <c r="AJ80" s="3"/>
      <c r="AK80" s="164"/>
      <c r="AL80" s="22"/>
      <c r="AM80" s="21"/>
      <c r="AN80" s="23"/>
      <c r="AO80" s="10"/>
      <c r="AP80" s="5">
        <f t="shared" si="20"/>
        <v>74</v>
      </c>
      <c r="AQ80" s="7">
        <f t="shared" si="21"/>
        <v>107</v>
      </c>
      <c r="AR80" s="8">
        <f t="shared" si="14"/>
        <v>2015</v>
      </c>
      <c r="AS80" s="31">
        <f>IF(AT80=0,"",IF(_Ijour1=0,MIN(DATE(YEAR(_DebAmort1),MONTH(_DebAmort1)+_MoisD1+(AP80-1)*_Imois1,__Jou2),DATE(YEAR(_DebAmort1),MONTH(_DebAmort1)+_MoisD1+1+(AP80-1)*_Imois1,0)),DATE(YEAR(_DebAmort1),MONTH(_DebAmort1),__Jou1+(AP80-1)*_Ijour1)))</f>
        <v>42036</v>
      </c>
      <c r="AT80" s="156">
        <f t="shared" si="22"/>
        <v>187250</v>
      </c>
      <c r="AU80" s="153">
        <f>IF(AP80&lt;=_NoEchMaxi1,ROUND(AT80*'Données Projet 1'!H89,_NbDeci1),0)</f>
        <v>156.04</v>
      </c>
      <c r="AV80" s="152">
        <f>IF(OR(AP80&lt;=_Différé1,AP80&gt;_NoEchMaxi1),IF(_DiffTotal1,-AU80,0),IF(AP80&gt;=_NoEchRemb1,AT80,IF('Données Projet 1'!I89-(AU80*_EchFIXE1)&gt;AT80-2,AT80,'Données Projet 1'!I89-(AU80*_EchFIXE1))))+AK80</f>
        <v>0</v>
      </c>
      <c r="AW80" s="154">
        <f t="shared" si="23"/>
        <v>15.6</v>
      </c>
      <c r="AX80" s="157">
        <f t="shared" si="15"/>
        <v>171.64</v>
      </c>
    </row>
    <row r="81" spans="8:50" ht="15.75" customHeight="1" x14ac:dyDescent="0.3">
      <c r="H81" s="314" t="s">
        <v>295</v>
      </c>
      <c r="I81" s="315">
        <v>0</v>
      </c>
      <c r="J81" s="315">
        <v>9807</v>
      </c>
      <c r="K81" s="316">
        <f>+IF('TAM Projet 1'!D31&gt;J81,J81,'TAM Projet 1'!D31)</f>
        <v>9807</v>
      </c>
      <c r="L81" s="317">
        <v>0</v>
      </c>
      <c r="M81" s="316">
        <v>0</v>
      </c>
      <c r="O81" s="553" t="s">
        <v>317</v>
      </c>
      <c r="P81" s="510" t="s">
        <v>199</v>
      </c>
      <c r="Q81" s="511">
        <v>0</v>
      </c>
      <c r="R81" s="413"/>
      <c r="S81" s="413"/>
      <c r="T81" s="3"/>
      <c r="U81" s="164"/>
      <c r="V81" s="22"/>
      <c r="W81" s="21"/>
      <c r="X81" s="23"/>
      <c r="Y81" s="10"/>
      <c r="Z81" s="5">
        <f t="shared" si="16"/>
        <v>75</v>
      </c>
      <c r="AA81" s="7">
        <f t="shared" si="17"/>
        <v>346</v>
      </c>
      <c r="AB81" s="8">
        <f t="shared" si="12"/>
        <v>2015</v>
      </c>
      <c r="AC81" s="31">
        <f>IF(AD81=0,"",IF(_Ijour=0,MIN(DATE(YEAR(_DebAmort),MONTH(_DebAmort)+(Z81-1)*_Imois,_Jour1),DATE(YEAR(_DebAmort),MONTH(_DebAmort)+1+(Z81-1)*_Imois,0)),DATE(YEAR(_DebAmort),MONTH(_DebAmort),_Jour1+(Z81-1)*_Ijour)))</f>
        <v>42064</v>
      </c>
      <c r="AD81" s="156">
        <f t="shared" si="18"/>
        <v>205813.93000000005</v>
      </c>
      <c r="AE81" s="153">
        <f>IF(Z81&lt;=_NoEchMaxi,ROUND(AD81*'Données Projet 1'!A90,_NbDeci),0)</f>
        <v>319.01</v>
      </c>
      <c r="AF81" s="152">
        <f>IF(OR(Z81&lt;=_Différé,Z81&gt;_NoEchMaxi),IF(_DiffTotal,-AE81,0),IF(Z81&gt;=_NoEchRemb,AD81,IF('Données Projet 1'!B90-(AE81*_EchFIXE)&gt;AD81-2,AD81,'Données Projet 1'!B90-(AE81*_EchFIXE))))+U81</f>
        <v>449.97</v>
      </c>
      <c r="AG81" s="154">
        <f t="shared" si="19"/>
        <v>19.77</v>
      </c>
      <c r="AH81" s="157">
        <f t="shared" si="13"/>
        <v>788.75</v>
      </c>
      <c r="AI81"/>
      <c r="AJ81" s="3"/>
      <c r="AK81" s="164"/>
      <c r="AL81" s="22"/>
      <c r="AM81" s="21"/>
      <c r="AN81" s="23"/>
      <c r="AO81" s="10"/>
      <c r="AP81" s="5">
        <f t="shared" si="20"/>
        <v>75</v>
      </c>
      <c r="AQ81" s="7">
        <f t="shared" si="21"/>
        <v>106</v>
      </c>
      <c r="AR81" s="8">
        <f t="shared" si="14"/>
        <v>2015</v>
      </c>
      <c r="AS81" s="31">
        <f>IF(AT81=0,"",IF(_Ijour1=0,MIN(DATE(YEAR(_DebAmort1),MONTH(_DebAmort1)+(AP81-1)*_Imois1,__Jou1),DATE(YEAR(_DebAmort1),MONTH(_DebAmort1)+1+(AP81-1)*_Imois1,0)),DATE(YEAR(_DebAmort1),MONTH(_DebAmort1),__Jou1+(AP81-1)*_Ijour1)))</f>
        <v>42064</v>
      </c>
      <c r="AT81" s="156">
        <f t="shared" si="22"/>
        <v>187250</v>
      </c>
      <c r="AU81" s="153">
        <f>IF(AP81&lt;=_NoEchMaxi1,ROUND(AT81*'Données Projet 1'!H90,_NbDeci1),0)</f>
        <v>156.04</v>
      </c>
      <c r="AV81" s="152">
        <f>IF(OR(AP81&lt;=_Différé1,AP81&gt;_NoEchMaxi1),IF(_DiffTotal1,-AU81,0),IF(AP81&gt;=_NoEchRemb1,AT81,IF('Données Projet 1'!I90-(AU81*_EchFIXE1)&gt;AT81-2,AT81,'Données Projet 1'!I90-(AU81*_EchFIXE1))))+AK81</f>
        <v>0</v>
      </c>
      <c r="AW81" s="154">
        <f t="shared" si="23"/>
        <v>15.6</v>
      </c>
      <c r="AX81" s="157">
        <f t="shared" si="15"/>
        <v>171.64</v>
      </c>
    </row>
    <row r="82" spans="8:50" ht="15.75" customHeight="1" x14ac:dyDescent="0.3">
      <c r="H82" s="314" t="s">
        <v>297</v>
      </c>
      <c r="I82" s="315">
        <v>9808</v>
      </c>
      <c r="J82" s="315">
        <v>27086</v>
      </c>
      <c r="K82" s="316">
        <f>IF('TAM Projet 1'!$D$31&lt;I82,0,IF('TAM Projet 1'!$D$31&lt;=J82,'TAM Projet 1'!$D$31-J81,J82-J81))</f>
        <v>7850.52</v>
      </c>
      <c r="L82" s="317">
        <v>0.14000000000000001</v>
      </c>
      <c r="M82" s="316">
        <f>SUM(K82*L82)</f>
        <v>1099.0728000000001</v>
      </c>
      <c r="O82" s="554"/>
      <c r="P82" s="499" t="s">
        <v>309</v>
      </c>
      <c r="Q82" s="501">
        <f>SUM('TAM Projet 1'!F7*0.15)</f>
        <v>0</v>
      </c>
      <c r="R82" s="413"/>
      <c r="S82" s="413"/>
      <c r="T82" s="3"/>
      <c r="U82" s="164"/>
      <c r="V82" s="22"/>
      <c r="W82" s="21"/>
      <c r="X82" s="23"/>
      <c r="Y82" s="10"/>
      <c r="Z82" s="5">
        <f t="shared" si="16"/>
        <v>76</v>
      </c>
      <c r="AA82" s="7">
        <f t="shared" si="17"/>
        <v>345</v>
      </c>
      <c r="AB82" s="8">
        <f t="shared" si="12"/>
        <v>2015</v>
      </c>
      <c r="AC82" s="31">
        <f>IF(AD82=0,"",IF(_Ijour=0,MIN(DATE(YEAR(_DebAmort),MONTH(_DebAmort)+_MoisD+(Z82-1)*_Imois,_Jour2),DATE(YEAR(_DebAmort),MONTH(_DebAmort)+_MoisD+1+(Z82-1)*_Imois,0)),DATE(YEAR(_DebAmort),MONTH(_DebAmort),_Jour1+(Z82-1)*_Ijour)))</f>
        <v>42095</v>
      </c>
      <c r="AD82" s="156">
        <f t="shared" si="18"/>
        <v>205363.96000000005</v>
      </c>
      <c r="AE82" s="153">
        <f>IF(Z82&lt;=_NoEchMaxi,ROUND(AD82*'Données Projet 1'!A91,_NbDeci),0)</f>
        <v>318.31</v>
      </c>
      <c r="AF82" s="152">
        <f>IF(OR(Z82&lt;=_Différé,Z82&gt;_NoEchMaxi),IF(_DiffTotal,-AE82,0),IF(Z82&gt;=_NoEchRemb,AD82,IF('Données Projet 1'!B91-(AE82*_EchFIXE)&gt;AD82-2,AD82,'Données Projet 1'!B91-(AE82*_EchFIXE))))+U82</f>
        <v>450.67</v>
      </c>
      <c r="AG82" s="154">
        <f t="shared" si="19"/>
        <v>19.77</v>
      </c>
      <c r="AH82" s="157">
        <f t="shared" si="13"/>
        <v>788.75</v>
      </c>
      <c r="AI82"/>
      <c r="AJ82" s="3"/>
      <c r="AK82" s="164"/>
      <c r="AL82" s="22"/>
      <c r="AM82" s="21"/>
      <c r="AN82" s="23"/>
      <c r="AO82" s="10"/>
      <c r="AP82" s="5">
        <f t="shared" si="20"/>
        <v>76</v>
      </c>
      <c r="AQ82" s="7">
        <f t="shared" si="21"/>
        <v>105</v>
      </c>
      <c r="AR82" s="8">
        <f t="shared" si="14"/>
        <v>2015</v>
      </c>
      <c r="AS82" s="31">
        <f>IF(AT82=0,"",IF(_Ijour1=0,MIN(DATE(YEAR(_DebAmort1),MONTH(_DebAmort1)+_MoisD1+(AP82-1)*_Imois1,__Jou2),DATE(YEAR(_DebAmort1),MONTH(_DebAmort1)+_MoisD1+1+(AP82-1)*_Imois1,0)),DATE(YEAR(_DebAmort1),MONTH(_DebAmort1),__Jou1+(AP82-1)*_Ijour1)))</f>
        <v>42095</v>
      </c>
      <c r="AT82" s="156">
        <f t="shared" si="22"/>
        <v>187250</v>
      </c>
      <c r="AU82" s="153">
        <f>IF(AP82&lt;=_NoEchMaxi1,ROUND(AT82*'Données Projet 1'!H91,_NbDeci1),0)</f>
        <v>156.04</v>
      </c>
      <c r="AV82" s="152">
        <f>IF(OR(AP82&lt;=_Différé1,AP82&gt;_NoEchMaxi1),IF(_DiffTotal1,-AU82,0),IF(AP82&gt;=_NoEchRemb1,AT82,IF('Données Projet 1'!I91-(AU82*_EchFIXE1)&gt;AT82-2,AT82,'Données Projet 1'!I91-(AU82*_EchFIXE1))))+AK82</f>
        <v>0</v>
      </c>
      <c r="AW82" s="154">
        <f t="shared" si="23"/>
        <v>15.6</v>
      </c>
      <c r="AX82" s="157">
        <f t="shared" si="15"/>
        <v>171.64</v>
      </c>
    </row>
    <row r="83" spans="8:50" ht="15.75" customHeight="1" x14ac:dyDescent="0.3">
      <c r="H83" s="314" t="s">
        <v>299</v>
      </c>
      <c r="I83" s="315">
        <v>27087</v>
      </c>
      <c r="J83" s="315">
        <v>72617</v>
      </c>
      <c r="K83" s="316">
        <f>IF('TAM Projet 1'!$D$31&lt;I83,0,IF('TAM Projet 1'!$D$31&lt;=J83,'TAM Projet 1'!$D$31-J82,J83-J82))</f>
        <v>0</v>
      </c>
      <c r="L83" s="317">
        <v>0.3</v>
      </c>
      <c r="M83" s="316">
        <f>SUM(K83*L83)</f>
        <v>0</v>
      </c>
      <c r="O83" s="554"/>
      <c r="P83" s="499" t="s">
        <v>178</v>
      </c>
      <c r="Q83" s="501">
        <f>SUM('TAM Projet 1'!F7*0.5)</f>
        <v>0</v>
      </c>
      <c r="R83" s="413"/>
      <c r="S83" s="413"/>
      <c r="T83" s="3"/>
      <c r="U83" s="164"/>
      <c r="V83" s="22"/>
      <c r="W83" s="21"/>
      <c r="X83" s="23"/>
      <c r="Y83" s="10"/>
      <c r="Z83" s="5">
        <f t="shared" si="16"/>
        <v>77</v>
      </c>
      <c r="AA83" s="7">
        <f t="shared" si="17"/>
        <v>344</v>
      </c>
      <c r="AB83" s="8">
        <f t="shared" si="12"/>
        <v>2015</v>
      </c>
      <c r="AC83" s="31">
        <f>IF(AD83=0,"",IF(_Ijour=0,MIN(DATE(YEAR(_DebAmort),MONTH(_DebAmort)+(Z83-1)*_Imois,_Jour1),DATE(YEAR(_DebAmort),MONTH(_DebAmort)+1+(Z83-1)*_Imois,0)),DATE(YEAR(_DebAmort),MONTH(_DebAmort),_Jour1+(Z83-1)*_Ijour)))</f>
        <v>42125</v>
      </c>
      <c r="AD83" s="156">
        <f t="shared" si="18"/>
        <v>204913.29000000004</v>
      </c>
      <c r="AE83" s="153">
        <f>IF(Z83&lt;=_NoEchMaxi,ROUND(AD83*'Données Projet 1'!A92,_NbDeci),0)</f>
        <v>317.62</v>
      </c>
      <c r="AF83" s="152">
        <f>IF(OR(Z83&lt;=_Différé,Z83&gt;_NoEchMaxi),IF(_DiffTotal,-AE83,0),IF(Z83&gt;=_NoEchRemb,AD83,IF('Données Projet 1'!B92-(AE83*_EchFIXE)&gt;AD83-2,AD83,'Données Projet 1'!B92-(AE83*_EchFIXE))))+U83</f>
        <v>451.36</v>
      </c>
      <c r="AG83" s="154">
        <f t="shared" si="19"/>
        <v>19.77</v>
      </c>
      <c r="AH83" s="157">
        <f t="shared" si="13"/>
        <v>788.75</v>
      </c>
      <c r="AI83"/>
      <c r="AJ83" s="3"/>
      <c r="AK83" s="164"/>
      <c r="AL83" s="22"/>
      <c r="AM83" s="21"/>
      <c r="AN83" s="23"/>
      <c r="AO83" s="10"/>
      <c r="AP83" s="5">
        <f t="shared" si="20"/>
        <v>77</v>
      </c>
      <c r="AQ83" s="7">
        <f t="shared" si="21"/>
        <v>104</v>
      </c>
      <c r="AR83" s="8">
        <f t="shared" si="14"/>
        <v>2015</v>
      </c>
      <c r="AS83" s="31">
        <f>IF(AT83=0,"",IF(_Ijour1=0,MIN(DATE(YEAR(_DebAmort1),MONTH(_DebAmort1)+(AP83-1)*_Imois1,__Jou1),DATE(YEAR(_DebAmort1),MONTH(_DebAmort1)+1+(AP83-1)*_Imois1,0)),DATE(YEAR(_DebAmort1),MONTH(_DebAmort1),__Jou1+(AP83-1)*_Ijour1)))</f>
        <v>42125</v>
      </c>
      <c r="AT83" s="156">
        <f t="shared" si="22"/>
        <v>187250</v>
      </c>
      <c r="AU83" s="153">
        <f>IF(AP83&lt;=_NoEchMaxi1,ROUND(AT83*'Données Projet 1'!H92,_NbDeci1),0)</f>
        <v>156.04</v>
      </c>
      <c r="AV83" s="152">
        <f>IF(OR(AP83&lt;=_Différé1,AP83&gt;_NoEchMaxi1),IF(_DiffTotal1,-AU83,0),IF(AP83&gt;=_NoEchRemb1,AT83,IF('Données Projet 1'!I92-(AU83*_EchFIXE1)&gt;AT83-2,AT83,'Données Projet 1'!I92-(AU83*_EchFIXE1))))+AK83</f>
        <v>0</v>
      </c>
      <c r="AW83" s="154">
        <f t="shared" si="23"/>
        <v>15.6</v>
      </c>
      <c r="AX83" s="157">
        <f t="shared" si="15"/>
        <v>171.64</v>
      </c>
    </row>
    <row r="84" spans="8:50" ht="15.75" customHeight="1" x14ac:dyDescent="0.3">
      <c r="H84" s="314" t="s">
        <v>301</v>
      </c>
      <c r="I84" s="315">
        <v>72618</v>
      </c>
      <c r="J84" s="315">
        <v>153783</v>
      </c>
      <c r="K84" s="316">
        <f>IF('TAM Projet 1'!$D$31&lt;I84,0,IF('TAM Projet 1'!$D$31&lt;=J84,'TAM Projet 1'!$D$31-J83,J84-J83))</f>
        <v>0</v>
      </c>
      <c r="L84" s="317">
        <v>0.41</v>
      </c>
      <c r="M84" s="316">
        <f>SUM(K84*L84)</f>
        <v>0</v>
      </c>
      <c r="O84" s="555"/>
      <c r="P84" s="508"/>
      <c r="Q84" s="509"/>
      <c r="R84" s="413"/>
      <c r="S84" s="413"/>
      <c r="T84" s="3"/>
      <c r="U84" s="164"/>
      <c r="V84" s="22"/>
      <c r="W84" s="21"/>
      <c r="X84" s="23"/>
      <c r="Y84" s="10"/>
      <c r="Z84" s="5">
        <f t="shared" si="16"/>
        <v>78</v>
      </c>
      <c r="AA84" s="7">
        <f t="shared" si="17"/>
        <v>343</v>
      </c>
      <c r="AB84" s="8">
        <f t="shared" si="12"/>
        <v>2015</v>
      </c>
      <c r="AC84" s="31">
        <f>IF(AD84=0,"",IF(_Ijour=0,MIN(DATE(YEAR(_DebAmort),MONTH(_DebAmort)+_MoisD+(Z84-1)*_Imois,_Jour2),DATE(YEAR(_DebAmort),MONTH(_DebAmort)+_MoisD+1+(Z84-1)*_Imois,0)),DATE(YEAR(_DebAmort),MONTH(_DebAmort),_Jour1+(Z84-1)*_Ijour)))</f>
        <v>42156</v>
      </c>
      <c r="AD84" s="156">
        <f t="shared" si="18"/>
        <v>204461.93000000005</v>
      </c>
      <c r="AE84" s="153">
        <f>IF(Z84&lt;=_NoEchMaxi,ROUND(AD84*'Données Projet 1'!A93,_NbDeci),0)</f>
        <v>316.92</v>
      </c>
      <c r="AF84" s="152">
        <f>IF(OR(Z84&lt;=_Différé,Z84&gt;_NoEchMaxi),IF(_DiffTotal,-AE84,0),IF(Z84&gt;=_NoEchRemb,AD84,IF('Données Projet 1'!B93-(AE84*_EchFIXE)&gt;AD84-2,AD84,'Données Projet 1'!B93-(AE84*_EchFIXE))))+U84</f>
        <v>452.06</v>
      </c>
      <c r="AG84" s="154">
        <f t="shared" si="19"/>
        <v>19.77</v>
      </c>
      <c r="AH84" s="157">
        <f t="shared" si="13"/>
        <v>788.75</v>
      </c>
      <c r="AI84"/>
      <c r="AJ84" s="3"/>
      <c r="AK84" s="164"/>
      <c r="AL84" s="22"/>
      <c r="AM84" s="21"/>
      <c r="AN84" s="23"/>
      <c r="AO84" s="10"/>
      <c r="AP84" s="5">
        <f t="shared" si="20"/>
        <v>78</v>
      </c>
      <c r="AQ84" s="7">
        <f t="shared" si="21"/>
        <v>103</v>
      </c>
      <c r="AR84" s="8">
        <f t="shared" si="14"/>
        <v>2015</v>
      </c>
      <c r="AS84" s="31">
        <f>IF(AT84=0,"",IF(_Ijour1=0,MIN(DATE(YEAR(_DebAmort1),MONTH(_DebAmort1)+_MoisD1+(AP84-1)*_Imois1,__Jou2),DATE(YEAR(_DebAmort1),MONTH(_DebAmort1)+_MoisD1+1+(AP84-1)*_Imois1,0)),DATE(YEAR(_DebAmort1),MONTH(_DebAmort1),__Jou1+(AP84-1)*_Ijour1)))</f>
        <v>42156</v>
      </c>
      <c r="AT84" s="156">
        <f t="shared" si="22"/>
        <v>187250</v>
      </c>
      <c r="AU84" s="153">
        <f>IF(AP84&lt;=_NoEchMaxi1,ROUND(AT84*'Données Projet 1'!H93,_NbDeci1),0)</f>
        <v>156.04</v>
      </c>
      <c r="AV84" s="152">
        <f>IF(OR(AP84&lt;=_Différé1,AP84&gt;_NoEchMaxi1),IF(_DiffTotal1,-AU84,0),IF(AP84&gt;=_NoEchRemb1,AT84,IF('Données Projet 1'!I93-(AU84*_EchFIXE1)&gt;AT84-2,AT84,'Données Projet 1'!I93-(AU84*_EchFIXE1))))+AK84</f>
        <v>0</v>
      </c>
      <c r="AW84" s="154">
        <f t="shared" si="23"/>
        <v>15.6</v>
      </c>
      <c r="AX84" s="157">
        <f t="shared" si="15"/>
        <v>171.64</v>
      </c>
    </row>
    <row r="85" spans="8:50" ht="15.75" customHeight="1" x14ac:dyDescent="0.3">
      <c r="H85" s="314" t="s">
        <v>303</v>
      </c>
      <c r="I85" s="315"/>
      <c r="J85" s="315"/>
      <c r="K85" s="315"/>
      <c r="L85" s="317">
        <v>0.45</v>
      </c>
      <c r="M85" s="316"/>
      <c r="O85" s="553" t="s">
        <v>318</v>
      </c>
      <c r="P85" s="510" t="s">
        <v>199</v>
      </c>
      <c r="Q85" s="511">
        <v>0</v>
      </c>
      <c r="R85" s="413"/>
      <c r="S85" s="413"/>
      <c r="T85" s="3"/>
      <c r="U85" s="164"/>
      <c r="V85" s="22"/>
      <c r="W85" s="21"/>
      <c r="X85" s="23"/>
      <c r="Y85" s="10"/>
      <c r="Z85" s="5">
        <f t="shared" si="16"/>
        <v>79</v>
      </c>
      <c r="AA85" s="7">
        <f t="shared" si="17"/>
        <v>342</v>
      </c>
      <c r="AB85" s="8">
        <f t="shared" si="12"/>
        <v>2015</v>
      </c>
      <c r="AC85" s="31">
        <f>IF(AD85=0,"",IF(_Ijour=0,MIN(DATE(YEAR(_DebAmort),MONTH(_DebAmort)+(Z85-1)*_Imois,_Jour1),DATE(YEAR(_DebAmort),MONTH(_DebAmort)+1+(Z85-1)*_Imois,0)),DATE(YEAR(_DebAmort),MONTH(_DebAmort),_Jour1+(Z85-1)*_Ijour)))</f>
        <v>42186</v>
      </c>
      <c r="AD85" s="156">
        <f t="shared" si="18"/>
        <v>204009.87000000005</v>
      </c>
      <c r="AE85" s="153">
        <f>IF(Z85&lt;=_NoEchMaxi,ROUND(AD85*'Données Projet 1'!A94,_NbDeci),0)</f>
        <v>316.22000000000003</v>
      </c>
      <c r="AF85" s="152">
        <f>IF(OR(Z85&lt;=_Différé,Z85&gt;_NoEchMaxi),IF(_DiffTotal,-AE85,0),IF(Z85&gt;=_NoEchRemb,AD85,IF('Données Projet 1'!B94-(AE85*_EchFIXE)&gt;AD85-2,AD85,'Données Projet 1'!B94-(AE85*_EchFIXE))))+U85</f>
        <v>452.76</v>
      </c>
      <c r="AG85" s="154">
        <f t="shared" si="19"/>
        <v>19.77</v>
      </c>
      <c r="AH85" s="157">
        <f t="shared" si="13"/>
        <v>788.75</v>
      </c>
      <c r="AI85"/>
      <c r="AJ85" s="3"/>
      <c r="AK85" s="164"/>
      <c r="AL85" s="22"/>
      <c r="AM85" s="21"/>
      <c r="AN85" s="23"/>
      <c r="AO85" s="10"/>
      <c r="AP85" s="5">
        <f t="shared" si="20"/>
        <v>79</v>
      </c>
      <c r="AQ85" s="7">
        <f t="shared" si="21"/>
        <v>102</v>
      </c>
      <c r="AR85" s="8">
        <f t="shared" si="14"/>
        <v>2015</v>
      </c>
      <c r="AS85" s="31">
        <f>IF(AT85=0,"",IF(_Ijour1=0,MIN(DATE(YEAR(_DebAmort1),MONTH(_DebAmort1)+(AP85-1)*_Imois1,__Jou1),DATE(YEAR(_DebAmort1),MONTH(_DebAmort1)+1+(AP85-1)*_Imois1,0)),DATE(YEAR(_DebAmort1),MONTH(_DebAmort1),__Jou1+(AP85-1)*_Ijour1)))</f>
        <v>42186</v>
      </c>
      <c r="AT85" s="156">
        <f t="shared" si="22"/>
        <v>187250</v>
      </c>
      <c r="AU85" s="153">
        <f>IF(AP85&lt;=_NoEchMaxi1,ROUND(AT85*'Données Projet 1'!H94,_NbDeci1),0)</f>
        <v>156.04</v>
      </c>
      <c r="AV85" s="152">
        <f>IF(OR(AP85&lt;=_Différé1,AP85&gt;_NoEchMaxi1),IF(_DiffTotal1,-AU85,0),IF(AP85&gt;=_NoEchRemb1,AT85,IF('Données Projet 1'!I94-(AU85*_EchFIXE1)&gt;AT85-2,AT85,'Données Projet 1'!I94-(AU85*_EchFIXE1))))+AK85</f>
        <v>0</v>
      </c>
      <c r="AW85" s="154">
        <f t="shared" si="23"/>
        <v>15.6</v>
      </c>
      <c r="AX85" s="157">
        <f t="shared" si="15"/>
        <v>171.64</v>
      </c>
    </row>
    <row r="86" spans="8:50" ht="15.75" customHeight="1" x14ac:dyDescent="0.3">
      <c r="H86" s="412"/>
      <c r="I86" s="413"/>
      <c r="K86" s="413"/>
      <c r="L86" s="413"/>
      <c r="M86" s="516">
        <f>SUM(M81:M85)</f>
        <v>1099.0728000000001</v>
      </c>
      <c r="O86" s="554"/>
      <c r="P86" s="499" t="s">
        <v>309</v>
      </c>
      <c r="Q86" s="501">
        <f>SUM('TAM Projet 1'!F9*0.15)</f>
        <v>0</v>
      </c>
      <c r="R86" s="413"/>
      <c r="S86" s="413"/>
      <c r="T86" s="3"/>
      <c r="U86" s="164"/>
      <c r="V86" s="22"/>
      <c r="W86" s="21"/>
      <c r="X86" s="23"/>
      <c r="Y86" s="10"/>
      <c r="Z86" s="5">
        <f t="shared" si="16"/>
        <v>80</v>
      </c>
      <c r="AA86" s="7">
        <f t="shared" si="17"/>
        <v>341</v>
      </c>
      <c r="AB86" s="8">
        <f t="shared" si="12"/>
        <v>2015</v>
      </c>
      <c r="AC86" s="31">
        <f>IF(AD86=0,"",IF(_Ijour=0,MIN(DATE(YEAR(_DebAmort),MONTH(_DebAmort)+_MoisD+(Z86-1)*_Imois,_Jour2),DATE(YEAR(_DebAmort),MONTH(_DebAmort)+_MoisD+1+(Z86-1)*_Imois,0)),DATE(YEAR(_DebAmort),MONTH(_DebAmort),_Jour1+(Z86-1)*_Ijour)))</f>
        <v>42217</v>
      </c>
      <c r="AD86" s="156">
        <f t="shared" si="18"/>
        <v>203557.11000000004</v>
      </c>
      <c r="AE86" s="153">
        <f>IF(Z86&lt;=_NoEchMaxi,ROUND(AD86*'Données Projet 1'!A95,_NbDeci),0)</f>
        <v>315.51</v>
      </c>
      <c r="AF86" s="152">
        <f>IF(OR(Z86&lt;=_Différé,Z86&gt;_NoEchMaxi),IF(_DiffTotal,-AE86,0),IF(Z86&gt;=_NoEchRemb,AD86,IF('Données Projet 1'!B95-(AE86*_EchFIXE)&gt;AD86-2,AD86,'Données Projet 1'!B95-(AE86*_EchFIXE))))+U86</f>
        <v>453.47</v>
      </c>
      <c r="AG86" s="154">
        <f t="shared" si="19"/>
        <v>19.77</v>
      </c>
      <c r="AH86" s="157">
        <f t="shared" si="13"/>
        <v>788.75</v>
      </c>
      <c r="AI86"/>
      <c r="AJ86" s="3"/>
      <c r="AK86" s="164"/>
      <c r="AL86" s="22"/>
      <c r="AM86" s="21"/>
      <c r="AN86" s="23"/>
      <c r="AO86" s="10"/>
      <c r="AP86" s="5">
        <f t="shared" si="20"/>
        <v>80</v>
      </c>
      <c r="AQ86" s="7">
        <f t="shared" si="21"/>
        <v>101</v>
      </c>
      <c r="AR86" s="8">
        <f t="shared" si="14"/>
        <v>2015</v>
      </c>
      <c r="AS86" s="31">
        <f>IF(AT86=0,"",IF(_Ijour1=0,MIN(DATE(YEAR(_DebAmort1),MONTH(_DebAmort1)+_MoisD1+(AP86-1)*_Imois1,__Jou2),DATE(YEAR(_DebAmort1),MONTH(_DebAmort1)+_MoisD1+1+(AP86-1)*_Imois1,0)),DATE(YEAR(_DebAmort1),MONTH(_DebAmort1),__Jou1+(AP86-1)*_Ijour1)))</f>
        <v>42217</v>
      </c>
      <c r="AT86" s="156">
        <f t="shared" si="22"/>
        <v>187250</v>
      </c>
      <c r="AU86" s="153">
        <f>IF(AP86&lt;=_NoEchMaxi1,ROUND(AT86*'Données Projet 1'!H95,_NbDeci1),0)</f>
        <v>156.04</v>
      </c>
      <c r="AV86" s="152">
        <f>IF(OR(AP86&lt;=_Différé1,AP86&gt;_NoEchMaxi1),IF(_DiffTotal1,-AU86,0),IF(AP86&gt;=_NoEchRemb1,AT86,IF('Données Projet 1'!I95-(AU86*_EchFIXE1)&gt;AT86-2,AT86,'Données Projet 1'!I95-(AU86*_EchFIXE1))))+AK86</f>
        <v>0</v>
      </c>
      <c r="AW86" s="154">
        <f t="shared" si="23"/>
        <v>15.6</v>
      </c>
      <c r="AX86" s="157">
        <f t="shared" si="15"/>
        <v>171.64</v>
      </c>
    </row>
    <row r="87" spans="8:50" ht="15.75" customHeight="1" x14ac:dyDescent="0.3">
      <c r="O87" s="554"/>
      <c r="P87" s="499" t="s">
        <v>178</v>
      </c>
      <c r="Q87" s="501">
        <f>SUM('TAM Projet 1'!F9*0.5)</f>
        <v>0</v>
      </c>
      <c r="R87" s="413"/>
      <c r="S87" s="413"/>
      <c r="T87" s="3"/>
      <c r="U87" s="164"/>
      <c r="V87" s="22"/>
      <c r="W87" s="21"/>
      <c r="X87" s="23"/>
      <c r="Y87" s="10"/>
      <c r="Z87" s="5">
        <f t="shared" si="16"/>
        <v>81</v>
      </c>
      <c r="AA87" s="7">
        <f t="shared" si="17"/>
        <v>340</v>
      </c>
      <c r="AB87" s="8">
        <f t="shared" si="12"/>
        <v>2015</v>
      </c>
      <c r="AC87" s="31">
        <f>IF(AD87=0,"",IF(_Ijour=0,MIN(DATE(YEAR(_DebAmort),MONTH(_DebAmort)+(Z87-1)*_Imois,_Jour1),DATE(YEAR(_DebAmort),MONTH(_DebAmort)+1+(Z87-1)*_Imois,0)),DATE(YEAR(_DebAmort),MONTH(_DebAmort),_Jour1+(Z87-1)*_Ijour)))</f>
        <v>42248</v>
      </c>
      <c r="AD87" s="156">
        <f t="shared" si="18"/>
        <v>203103.64000000004</v>
      </c>
      <c r="AE87" s="153">
        <f>IF(Z87&lt;=_NoEchMaxi,ROUND(AD87*'Données Projet 1'!A96,_NbDeci),0)</f>
        <v>314.81</v>
      </c>
      <c r="AF87" s="152">
        <f>IF(OR(Z87&lt;=_Différé,Z87&gt;_NoEchMaxi),IF(_DiffTotal,-AE87,0),IF(Z87&gt;=_NoEchRemb,AD87,IF('Données Projet 1'!B96-(AE87*_EchFIXE)&gt;AD87-2,AD87,'Données Projet 1'!B96-(AE87*_EchFIXE))))+U87</f>
        <v>454.17</v>
      </c>
      <c r="AG87" s="154">
        <f t="shared" si="19"/>
        <v>19.77</v>
      </c>
      <c r="AH87" s="157">
        <f t="shared" si="13"/>
        <v>788.75</v>
      </c>
      <c r="AI87"/>
      <c r="AJ87" s="3"/>
      <c r="AK87" s="164"/>
      <c r="AL87" s="22"/>
      <c r="AM87" s="21"/>
      <c r="AN87" s="23"/>
      <c r="AO87" s="10"/>
      <c r="AP87" s="5">
        <f t="shared" si="20"/>
        <v>81</v>
      </c>
      <c r="AQ87" s="7">
        <f t="shared" si="21"/>
        <v>100</v>
      </c>
      <c r="AR87" s="8">
        <f t="shared" si="14"/>
        <v>2015</v>
      </c>
      <c r="AS87" s="31">
        <f>IF(AT87=0,"",IF(_Ijour1=0,MIN(DATE(YEAR(_DebAmort1),MONTH(_DebAmort1)+(AP87-1)*_Imois1,__Jou1),DATE(YEAR(_DebAmort1),MONTH(_DebAmort1)+1+(AP87-1)*_Imois1,0)),DATE(YEAR(_DebAmort1),MONTH(_DebAmort1),__Jou1+(AP87-1)*_Ijour1)))</f>
        <v>42248</v>
      </c>
      <c r="AT87" s="156">
        <f t="shared" si="22"/>
        <v>187250</v>
      </c>
      <c r="AU87" s="153">
        <f>IF(AP87&lt;=_NoEchMaxi1,ROUND(AT87*'Données Projet 1'!H96,_NbDeci1),0)</f>
        <v>156.04</v>
      </c>
      <c r="AV87" s="152">
        <f>IF(OR(AP87&lt;=_Différé1,AP87&gt;_NoEchMaxi1),IF(_DiffTotal1,-AU87,0),IF(AP87&gt;=_NoEchRemb1,AT87,IF('Données Projet 1'!I96-(AU87*_EchFIXE1)&gt;AT87-2,AT87,'Données Projet 1'!I96-(AU87*_EchFIXE1))))+AK87</f>
        <v>0</v>
      </c>
      <c r="AW87" s="154">
        <f t="shared" si="23"/>
        <v>15.6</v>
      </c>
      <c r="AX87" s="157">
        <f t="shared" si="15"/>
        <v>171.64</v>
      </c>
    </row>
    <row r="88" spans="8:50" ht="15.75" customHeight="1" x14ac:dyDescent="0.3">
      <c r="O88" s="555"/>
      <c r="P88" s="508"/>
      <c r="Q88" s="509"/>
      <c r="R88" s="413"/>
      <c r="S88" s="413"/>
      <c r="T88" s="3"/>
      <c r="U88" s="164"/>
      <c r="V88" s="22"/>
      <c r="W88" s="21"/>
      <c r="X88" s="23"/>
      <c r="Y88" s="10"/>
      <c r="Z88" s="5">
        <f t="shared" si="16"/>
        <v>82</v>
      </c>
      <c r="AA88" s="7">
        <f t="shared" si="17"/>
        <v>339</v>
      </c>
      <c r="AB88" s="8">
        <f t="shared" si="12"/>
        <v>2015</v>
      </c>
      <c r="AC88" s="31">
        <f>IF(AD88=0,"",IF(_Ijour=0,MIN(DATE(YEAR(_DebAmort),MONTH(_DebAmort)+_MoisD+(Z88-1)*_Imois,_Jour2),DATE(YEAR(_DebAmort),MONTH(_DebAmort)+_MoisD+1+(Z88-1)*_Imois,0)),DATE(YEAR(_DebAmort),MONTH(_DebAmort),_Jour1+(Z88-1)*_Ijour)))</f>
        <v>42278</v>
      </c>
      <c r="AD88" s="156">
        <f t="shared" si="18"/>
        <v>202649.47000000003</v>
      </c>
      <c r="AE88" s="153">
        <f>IF(Z88&lt;=_NoEchMaxi,ROUND(AD88*'Données Projet 1'!A97,_NbDeci),0)</f>
        <v>314.11</v>
      </c>
      <c r="AF88" s="152">
        <f>IF(OR(Z88&lt;=_Différé,Z88&gt;_NoEchMaxi),IF(_DiffTotal,-AE88,0),IF(Z88&gt;=_NoEchRemb,AD88,IF('Données Projet 1'!B97-(AE88*_EchFIXE)&gt;AD88-2,AD88,'Données Projet 1'!B97-(AE88*_EchFIXE))))+U88</f>
        <v>454.87</v>
      </c>
      <c r="AG88" s="154">
        <f t="shared" si="19"/>
        <v>19.77</v>
      </c>
      <c r="AH88" s="157">
        <f t="shared" si="13"/>
        <v>788.75</v>
      </c>
      <c r="AI88"/>
      <c r="AJ88" s="3"/>
      <c r="AK88" s="164"/>
      <c r="AL88" s="22"/>
      <c r="AM88" s="21"/>
      <c r="AN88" s="23"/>
      <c r="AO88" s="10"/>
      <c r="AP88" s="5">
        <f t="shared" si="20"/>
        <v>82</v>
      </c>
      <c r="AQ88" s="7">
        <f t="shared" si="21"/>
        <v>99</v>
      </c>
      <c r="AR88" s="8">
        <f t="shared" si="14"/>
        <v>2015</v>
      </c>
      <c r="AS88" s="31">
        <f>IF(AT88=0,"",IF(_Ijour1=0,MIN(DATE(YEAR(_DebAmort1),MONTH(_DebAmort1)+_MoisD1+(AP88-1)*_Imois1,__Jou2),DATE(YEAR(_DebAmort1),MONTH(_DebAmort1)+_MoisD1+1+(AP88-1)*_Imois1,0)),DATE(YEAR(_DebAmort1),MONTH(_DebAmort1),__Jou1+(AP88-1)*_Ijour1)))</f>
        <v>42278</v>
      </c>
      <c r="AT88" s="156">
        <f t="shared" si="22"/>
        <v>187250</v>
      </c>
      <c r="AU88" s="153">
        <f>IF(AP88&lt;=_NoEchMaxi1,ROUND(AT88*'Données Projet 1'!H97,_NbDeci1),0)</f>
        <v>156.04</v>
      </c>
      <c r="AV88" s="152">
        <f>IF(OR(AP88&lt;=_Différé1,AP88&gt;_NoEchMaxi1),IF(_DiffTotal1,-AU88,0),IF(AP88&gt;=_NoEchRemb1,AT88,IF('Données Projet 1'!I97-(AU88*_EchFIXE1)&gt;AT88-2,AT88,'Données Projet 1'!I97-(AU88*_EchFIXE1))))+AK88</f>
        <v>0</v>
      </c>
      <c r="AW88" s="154">
        <f t="shared" si="23"/>
        <v>15.6</v>
      </c>
      <c r="AX88" s="157">
        <f t="shared" si="15"/>
        <v>171.64</v>
      </c>
    </row>
    <row r="89" spans="8:50" ht="15.75" customHeight="1" x14ac:dyDescent="0.3">
      <c r="H89" s="549" t="s">
        <v>344</v>
      </c>
      <c r="I89" s="549"/>
      <c r="J89" s="549"/>
      <c r="K89" s="549"/>
      <c r="L89" s="549"/>
      <c r="M89" s="549"/>
      <c r="O89" s="553" t="s">
        <v>349</v>
      </c>
      <c r="P89" s="510" t="s">
        <v>199</v>
      </c>
      <c r="Q89" s="511">
        <v>0</v>
      </c>
      <c r="R89" s="413"/>
      <c r="S89" s="413"/>
      <c r="T89" s="3"/>
      <c r="U89" s="164"/>
      <c r="V89" s="22"/>
      <c r="W89" s="21"/>
      <c r="X89" s="23"/>
      <c r="Y89" s="10"/>
      <c r="Z89" s="5">
        <f t="shared" si="16"/>
        <v>83</v>
      </c>
      <c r="AA89" s="7">
        <f t="shared" si="17"/>
        <v>338</v>
      </c>
      <c r="AB89" s="8">
        <f t="shared" si="12"/>
        <v>2015</v>
      </c>
      <c r="AC89" s="31">
        <f>IF(AD89=0,"",IF(_Ijour=0,MIN(DATE(YEAR(_DebAmort),MONTH(_DebAmort)+(Z89-1)*_Imois,_Jour1),DATE(YEAR(_DebAmort),MONTH(_DebAmort)+1+(Z89-1)*_Imois,0)),DATE(YEAR(_DebAmort),MONTH(_DebAmort),_Jour1+(Z89-1)*_Ijour)))</f>
        <v>42309</v>
      </c>
      <c r="AD89" s="156">
        <f t="shared" si="18"/>
        <v>202194.60000000003</v>
      </c>
      <c r="AE89" s="153">
        <f>IF(Z89&lt;=_NoEchMaxi,ROUND(AD89*'Données Projet 1'!A98,_NbDeci),0)</f>
        <v>313.39999999999998</v>
      </c>
      <c r="AF89" s="152">
        <f>IF(OR(Z89&lt;=_Différé,Z89&gt;_NoEchMaxi),IF(_DiffTotal,-AE89,0),IF(Z89&gt;=_NoEchRemb,AD89,IF('Données Projet 1'!B98-(AE89*_EchFIXE)&gt;AD89-2,AD89,'Données Projet 1'!B98-(AE89*_EchFIXE))))+U89</f>
        <v>455.58000000000004</v>
      </c>
      <c r="AG89" s="154">
        <f t="shared" si="19"/>
        <v>19.77</v>
      </c>
      <c r="AH89" s="157">
        <f t="shared" si="13"/>
        <v>788.75</v>
      </c>
      <c r="AI89"/>
      <c r="AJ89" s="3"/>
      <c r="AK89" s="164"/>
      <c r="AL89" s="22"/>
      <c r="AM89" s="21"/>
      <c r="AN89" s="23"/>
      <c r="AO89" s="10"/>
      <c r="AP89" s="5">
        <f t="shared" si="20"/>
        <v>83</v>
      </c>
      <c r="AQ89" s="7">
        <f t="shared" si="21"/>
        <v>98</v>
      </c>
      <c r="AR89" s="8">
        <f t="shared" si="14"/>
        <v>2015</v>
      </c>
      <c r="AS89" s="31">
        <f>IF(AT89=0,"",IF(_Ijour1=0,MIN(DATE(YEAR(_DebAmort1),MONTH(_DebAmort1)+(AP89-1)*_Imois1,__Jou1),DATE(YEAR(_DebAmort1),MONTH(_DebAmort1)+1+(AP89-1)*_Imois1,0)),DATE(YEAR(_DebAmort1),MONTH(_DebAmort1),__Jou1+(AP89-1)*_Ijour1)))</f>
        <v>42309</v>
      </c>
      <c r="AT89" s="156">
        <f t="shared" si="22"/>
        <v>187250</v>
      </c>
      <c r="AU89" s="153">
        <f>IF(AP89&lt;=_NoEchMaxi1,ROUND(AT89*'Données Projet 1'!H98,_NbDeci1),0)</f>
        <v>156.04</v>
      </c>
      <c r="AV89" s="152">
        <f>IF(OR(AP89&lt;=_Différé1,AP89&gt;_NoEchMaxi1),IF(_DiffTotal1,-AU89,0),IF(AP89&gt;=_NoEchRemb1,AT89,IF('Données Projet 1'!I98-(AU89*_EchFIXE1)&gt;AT89-2,AT89,'Données Projet 1'!I98-(AU89*_EchFIXE1))))+AK89</f>
        <v>0</v>
      </c>
      <c r="AW89" s="154">
        <f t="shared" si="23"/>
        <v>15.6</v>
      </c>
      <c r="AX89" s="157">
        <f t="shared" si="15"/>
        <v>171.64</v>
      </c>
    </row>
    <row r="90" spans="8:50" ht="15.75" customHeight="1" x14ac:dyDescent="0.3">
      <c r="H90" s="514" t="s">
        <v>283</v>
      </c>
      <c r="I90" s="563" t="s">
        <v>284</v>
      </c>
      <c r="J90" s="563"/>
      <c r="K90" s="515" t="s">
        <v>285</v>
      </c>
      <c r="L90" s="515" t="s">
        <v>286</v>
      </c>
      <c r="M90" s="514" t="s">
        <v>287</v>
      </c>
      <c r="O90" s="554"/>
      <c r="P90" s="499" t="s">
        <v>309</v>
      </c>
      <c r="Q90" s="501">
        <f>SUM('TAM Projet 1'!F11*0.15)</f>
        <v>0</v>
      </c>
      <c r="R90" s="413"/>
      <c r="S90" s="413"/>
      <c r="T90" s="3"/>
      <c r="U90" s="164"/>
      <c r="V90" s="22"/>
      <c r="W90" s="21"/>
      <c r="X90" s="23"/>
      <c r="Y90" s="10"/>
      <c r="Z90" s="5">
        <f t="shared" si="16"/>
        <v>84</v>
      </c>
      <c r="AA90" s="7">
        <f t="shared" si="17"/>
        <v>337</v>
      </c>
      <c r="AB90" s="8">
        <f t="shared" si="12"/>
        <v>2015</v>
      </c>
      <c r="AC90" s="31">
        <f>IF(AD90=0,"",IF(_Ijour=0,MIN(DATE(YEAR(_DebAmort),MONTH(_DebAmort)+_MoisD+(Z90-1)*_Imois,_Jour2),DATE(YEAR(_DebAmort),MONTH(_DebAmort)+_MoisD+1+(Z90-1)*_Imois,0)),DATE(YEAR(_DebAmort),MONTH(_DebAmort),_Jour1+(Z90-1)*_Ijour)))</f>
        <v>42339</v>
      </c>
      <c r="AD90" s="156">
        <f t="shared" si="18"/>
        <v>201739.02000000005</v>
      </c>
      <c r="AE90" s="153">
        <f>IF(Z90&lt;=_NoEchMaxi,ROUND(AD90*'Données Projet 1'!A99,_NbDeci),0)</f>
        <v>312.7</v>
      </c>
      <c r="AF90" s="152">
        <f>IF(OR(Z90&lt;=_Différé,Z90&gt;_NoEchMaxi),IF(_DiffTotal,-AE90,0),IF(Z90&gt;=_NoEchRemb,AD90,IF('Données Projet 1'!B99-(AE90*_EchFIXE)&gt;AD90-2,AD90,'Données Projet 1'!B99-(AE90*_EchFIXE))))+U90</f>
        <v>456.28000000000003</v>
      </c>
      <c r="AG90" s="154">
        <f t="shared" si="19"/>
        <v>19.77</v>
      </c>
      <c r="AH90" s="157">
        <f t="shared" si="13"/>
        <v>788.75</v>
      </c>
      <c r="AI90"/>
      <c r="AJ90" s="3"/>
      <c r="AK90" s="164"/>
      <c r="AL90" s="22"/>
      <c r="AM90" s="21"/>
      <c r="AN90" s="23"/>
      <c r="AO90" s="10"/>
      <c r="AP90" s="5">
        <f t="shared" si="20"/>
        <v>84</v>
      </c>
      <c r="AQ90" s="7">
        <f t="shared" si="21"/>
        <v>97</v>
      </c>
      <c r="AR90" s="8">
        <f t="shared" si="14"/>
        <v>2015</v>
      </c>
      <c r="AS90" s="31">
        <f>IF(AT90=0,"",IF(_Ijour1=0,MIN(DATE(YEAR(_DebAmort1),MONTH(_DebAmort1)+_MoisD1+(AP90-1)*_Imois1,__Jou2),DATE(YEAR(_DebAmort1),MONTH(_DebAmort1)+_MoisD1+1+(AP90-1)*_Imois1,0)),DATE(YEAR(_DebAmort1),MONTH(_DebAmort1),__Jou1+(AP90-1)*_Ijour1)))</f>
        <v>42339</v>
      </c>
      <c r="AT90" s="156">
        <f t="shared" si="22"/>
        <v>187250</v>
      </c>
      <c r="AU90" s="153">
        <f>IF(AP90&lt;=_NoEchMaxi1,ROUND(AT90*'Données Projet 1'!H99,_NbDeci1),0)</f>
        <v>156.04</v>
      </c>
      <c r="AV90" s="152">
        <f>IF(OR(AP90&lt;=_Différé1,AP90&gt;_NoEchMaxi1),IF(_DiffTotal1,-AU90,0),IF(AP90&gt;=_NoEchRemb1,AT90,IF('Données Projet 1'!I99-(AU90*_EchFIXE1)&gt;AT90-2,AT90,'Données Projet 1'!I99-(AU90*_EchFIXE1))))+AK90</f>
        <v>0</v>
      </c>
      <c r="AW90" s="154">
        <f t="shared" si="23"/>
        <v>15.6</v>
      </c>
      <c r="AX90" s="157">
        <f t="shared" si="15"/>
        <v>171.64</v>
      </c>
    </row>
    <row r="91" spans="8:50" ht="15.75" customHeight="1" x14ac:dyDescent="0.3">
      <c r="H91" s="304" t="s">
        <v>288</v>
      </c>
      <c r="I91" s="305">
        <v>0</v>
      </c>
      <c r="J91" s="305">
        <v>38120</v>
      </c>
      <c r="K91" s="306" t="e">
        <f>+IF('TAM Projet 1'!F27&gt;J91,J91,'TAM Projet 1'!F27)</f>
        <v>#REF!</v>
      </c>
      <c r="L91" s="307">
        <v>0.15</v>
      </c>
      <c r="M91" s="308" t="e">
        <f>SUM(K91*L91)</f>
        <v>#REF!</v>
      </c>
      <c r="O91" s="554"/>
      <c r="P91" s="499" t="s">
        <v>178</v>
      </c>
      <c r="Q91" s="501">
        <f>SUM('TAM Projet 1'!F11*0.5)</f>
        <v>0</v>
      </c>
      <c r="R91" s="413"/>
      <c r="S91" s="413"/>
      <c r="T91" s="3"/>
      <c r="U91" s="164"/>
      <c r="V91" s="22"/>
      <c r="W91" s="21"/>
      <c r="X91" s="23"/>
      <c r="Y91" s="10"/>
      <c r="Z91" s="5">
        <f t="shared" si="16"/>
        <v>85</v>
      </c>
      <c r="AA91" s="7">
        <f t="shared" si="17"/>
        <v>336</v>
      </c>
      <c r="AB91" s="8">
        <f t="shared" si="12"/>
        <v>2016</v>
      </c>
      <c r="AC91" s="31">
        <f>IF(AD91=0,"",IF(_Ijour=0,MIN(DATE(YEAR(_DebAmort),MONTH(_DebAmort)+(Z91-1)*_Imois,_Jour1),DATE(YEAR(_DebAmort),MONTH(_DebAmort)+1+(Z91-1)*_Imois,0)),DATE(YEAR(_DebAmort),MONTH(_DebAmort),_Jour1+(Z91-1)*_Ijour)))</f>
        <v>42370</v>
      </c>
      <c r="AD91" s="156">
        <f t="shared" si="18"/>
        <v>201282.74000000005</v>
      </c>
      <c r="AE91" s="153">
        <f>IF(Z91&lt;=_NoEchMaxi,ROUND(AD91*'Données Projet 1'!A100,_NbDeci),0)</f>
        <v>311.99</v>
      </c>
      <c r="AF91" s="152">
        <f>IF(OR(Z91&lt;=_Différé,Z91&gt;_NoEchMaxi),IF(_DiffTotal,-AE91,0),IF(Z91&gt;=_NoEchRemb,AD91,IF('Données Projet 1'!B100-(AE91*_EchFIXE)&gt;AD91-2,AD91,'Données Projet 1'!B100-(AE91*_EchFIXE))))+U91</f>
        <v>456.99</v>
      </c>
      <c r="AG91" s="154">
        <f t="shared" si="19"/>
        <v>19.77</v>
      </c>
      <c r="AH91" s="157">
        <f t="shared" si="13"/>
        <v>788.75</v>
      </c>
      <c r="AI91"/>
      <c r="AJ91" s="3"/>
      <c r="AK91" s="164"/>
      <c r="AL91" s="22"/>
      <c r="AM91" s="21"/>
      <c r="AN91" s="23"/>
      <c r="AO91" s="10"/>
      <c r="AP91" s="5">
        <f t="shared" si="20"/>
        <v>85</v>
      </c>
      <c r="AQ91" s="7">
        <f t="shared" si="21"/>
        <v>96</v>
      </c>
      <c r="AR91" s="8">
        <f t="shared" si="14"/>
        <v>2016</v>
      </c>
      <c r="AS91" s="31">
        <f>IF(AT91=0,"",IF(_Ijour1=0,MIN(DATE(YEAR(_DebAmort1),MONTH(_DebAmort1)+(AP91-1)*_Imois1,__Jou1),DATE(YEAR(_DebAmort1),MONTH(_DebAmort1)+1+(AP91-1)*_Imois1,0)),DATE(YEAR(_DebAmort1),MONTH(_DebAmort1),__Jou1+(AP91-1)*_Ijour1)))</f>
        <v>42370</v>
      </c>
      <c r="AT91" s="156">
        <f t="shared" si="22"/>
        <v>187250</v>
      </c>
      <c r="AU91" s="153">
        <f>IF(AP91&lt;=_NoEchMaxi1,ROUND(AT91*'Données Projet 1'!H100,_NbDeci1),0)</f>
        <v>156.04</v>
      </c>
      <c r="AV91" s="152">
        <f>IF(OR(AP91&lt;=_Différé1,AP91&gt;_NoEchMaxi1),IF(_DiffTotal1,-AU91,0),IF(AP91&gt;=_NoEchRemb1,AT91,IF('Données Projet 1'!I100-(AU91*_EchFIXE1)&gt;AT91-2,AT91,'Données Projet 1'!I100-(AU91*_EchFIXE1))))+AK91</f>
        <v>0</v>
      </c>
      <c r="AW91" s="154">
        <f t="shared" si="23"/>
        <v>15.6</v>
      </c>
      <c r="AX91" s="157">
        <f t="shared" si="15"/>
        <v>171.64</v>
      </c>
    </row>
    <row r="92" spans="8:50" ht="15.75" customHeight="1" x14ac:dyDescent="0.3">
      <c r="H92" s="304" t="s">
        <v>289</v>
      </c>
      <c r="I92" s="305">
        <v>38120</v>
      </c>
      <c r="J92" s="305">
        <v>999999</v>
      </c>
      <c r="K92" s="306" t="e">
        <f>IF('TAM Projet 1'!F27&lt;I92,0,IF('TAM Projet 1'!F27&lt;=J92,'TAM Projet 1'!F27-J91,J92-3))</f>
        <v>#REF!</v>
      </c>
      <c r="L92" s="307">
        <v>0.33300000000000002</v>
      </c>
      <c r="M92" s="308" t="e">
        <f>SUM(K92*L92)</f>
        <v>#REF!</v>
      </c>
      <c r="O92" s="555"/>
      <c r="P92" s="508"/>
      <c r="Q92" s="509"/>
      <c r="R92" s="413"/>
      <c r="S92" s="413"/>
      <c r="T92" s="3"/>
      <c r="U92" s="164"/>
      <c r="V92" s="22"/>
      <c r="W92" s="21"/>
      <c r="X92" s="23"/>
      <c r="Y92" s="10"/>
      <c r="Z92" s="5">
        <f t="shared" si="16"/>
        <v>86</v>
      </c>
      <c r="AA92" s="7">
        <f t="shared" si="17"/>
        <v>335</v>
      </c>
      <c r="AB92" s="8">
        <f t="shared" si="12"/>
        <v>2016</v>
      </c>
      <c r="AC92" s="31">
        <f>IF(AD92=0,"",IF(_Ijour=0,MIN(DATE(YEAR(_DebAmort),MONTH(_DebAmort)+_MoisD+(Z92-1)*_Imois,_Jour2),DATE(YEAR(_DebAmort),MONTH(_DebAmort)+_MoisD+1+(Z92-1)*_Imois,0)),DATE(YEAR(_DebAmort),MONTH(_DebAmort),_Jour1+(Z92-1)*_Ijour)))</f>
        <v>42401</v>
      </c>
      <c r="AD92" s="156">
        <f t="shared" si="18"/>
        <v>200825.75000000006</v>
      </c>
      <c r="AE92" s="153">
        <f>IF(Z92&lt;=_NoEchMaxi,ROUND(AD92*'Données Projet 1'!A101,_NbDeci),0)</f>
        <v>311.27999999999997</v>
      </c>
      <c r="AF92" s="152">
        <f>IF(OR(Z92&lt;=_Différé,Z92&gt;_NoEchMaxi),IF(_DiffTotal,-AE92,0),IF(Z92&gt;=_NoEchRemb,AD92,IF('Données Projet 1'!B101-(AE92*_EchFIXE)&gt;AD92-2,AD92,'Données Projet 1'!B101-(AE92*_EchFIXE))))+U92</f>
        <v>457.70000000000005</v>
      </c>
      <c r="AG92" s="154">
        <f t="shared" si="19"/>
        <v>19.77</v>
      </c>
      <c r="AH92" s="157">
        <f t="shared" si="13"/>
        <v>788.75</v>
      </c>
      <c r="AI92"/>
      <c r="AJ92" s="3"/>
      <c r="AK92" s="164"/>
      <c r="AL92" s="22"/>
      <c r="AM92" s="21"/>
      <c r="AN92" s="23"/>
      <c r="AO92" s="10"/>
      <c r="AP92" s="5">
        <f t="shared" si="20"/>
        <v>86</v>
      </c>
      <c r="AQ92" s="7">
        <f t="shared" si="21"/>
        <v>95</v>
      </c>
      <c r="AR92" s="8">
        <f t="shared" si="14"/>
        <v>2016</v>
      </c>
      <c r="AS92" s="31">
        <f>IF(AT92=0,"",IF(_Ijour1=0,MIN(DATE(YEAR(_DebAmort1),MONTH(_DebAmort1)+_MoisD1+(AP92-1)*_Imois1,__Jou2),DATE(YEAR(_DebAmort1),MONTH(_DebAmort1)+_MoisD1+1+(AP92-1)*_Imois1,0)),DATE(YEAR(_DebAmort1),MONTH(_DebAmort1),__Jou1+(AP92-1)*_Ijour1)))</f>
        <v>42401</v>
      </c>
      <c r="AT92" s="156">
        <f t="shared" si="22"/>
        <v>187250</v>
      </c>
      <c r="AU92" s="153">
        <f>IF(AP92&lt;=_NoEchMaxi1,ROUND(AT92*'Données Projet 1'!H101,_NbDeci1),0)</f>
        <v>156.04</v>
      </c>
      <c r="AV92" s="152">
        <f>IF(OR(AP92&lt;=_Différé1,AP92&gt;_NoEchMaxi1),IF(_DiffTotal1,-AU92,0),IF(AP92&gt;=_NoEchRemb1,AT92,IF('Données Projet 1'!I101-(AU92*_EchFIXE1)&gt;AT92-2,AT92,'Données Projet 1'!I101-(AU92*_EchFIXE1))))+AK92</f>
        <v>0</v>
      </c>
      <c r="AW92" s="154">
        <f t="shared" si="23"/>
        <v>15.6</v>
      </c>
      <c r="AX92" s="157">
        <f t="shared" si="15"/>
        <v>171.64</v>
      </c>
    </row>
    <row r="93" spans="8:50" ht="15.75" customHeight="1" x14ac:dyDescent="0.3">
      <c r="H93" s="311"/>
      <c r="I93" s="311"/>
      <c r="J93" s="311"/>
      <c r="K93" s="311"/>
      <c r="L93" s="306" t="s">
        <v>184</v>
      </c>
      <c r="M93" s="312" t="e">
        <f>SUM(M91+M92)</f>
        <v>#REF!</v>
      </c>
      <c r="O93" s="553" t="s">
        <v>320</v>
      </c>
      <c r="P93" s="420" t="s">
        <v>199</v>
      </c>
      <c r="Q93" s="501">
        <v>0</v>
      </c>
      <c r="R93" s="413"/>
      <c r="S93" s="413"/>
      <c r="T93" s="3"/>
      <c r="U93" s="164"/>
      <c r="V93" s="22"/>
      <c r="W93" s="21"/>
      <c r="X93" s="23"/>
      <c r="Y93" s="10"/>
      <c r="Z93" s="5">
        <f t="shared" si="16"/>
        <v>87</v>
      </c>
      <c r="AA93" s="7">
        <f t="shared" si="17"/>
        <v>334</v>
      </c>
      <c r="AB93" s="8">
        <f t="shared" si="12"/>
        <v>2016</v>
      </c>
      <c r="AC93" s="31">
        <f>IF(AD93=0,"",IF(_Ijour=0,MIN(DATE(YEAR(_DebAmort),MONTH(_DebAmort)+(Z93-1)*_Imois,_Jour1),DATE(YEAR(_DebAmort),MONTH(_DebAmort)+1+(Z93-1)*_Imois,0)),DATE(YEAR(_DebAmort),MONTH(_DebAmort),_Jour1+(Z93-1)*_Ijour)))</f>
        <v>42430</v>
      </c>
      <c r="AD93" s="156">
        <f t="shared" si="18"/>
        <v>200368.05000000005</v>
      </c>
      <c r="AE93" s="153">
        <f>IF(Z93&lt;=_NoEchMaxi,ROUND(AD93*'Données Projet 1'!A102,_NbDeci),0)</f>
        <v>310.57</v>
      </c>
      <c r="AF93" s="152">
        <f>IF(OR(Z93&lt;=_Différé,Z93&gt;_NoEchMaxi),IF(_DiffTotal,-AE93,0),IF(Z93&gt;=_NoEchRemb,AD93,IF('Données Projet 1'!B102-(AE93*_EchFIXE)&gt;AD93-2,AD93,'Données Projet 1'!B102-(AE93*_EchFIXE))))+U93</f>
        <v>458.41</v>
      </c>
      <c r="AG93" s="154">
        <f t="shared" si="19"/>
        <v>19.77</v>
      </c>
      <c r="AH93" s="157">
        <f t="shared" si="13"/>
        <v>788.75</v>
      </c>
      <c r="AI93"/>
      <c r="AJ93" s="3"/>
      <c r="AK93" s="164"/>
      <c r="AL93" s="22"/>
      <c r="AM93" s="21"/>
      <c r="AN93" s="23"/>
      <c r="AO93" s="10"/>
      <c r="AP93" s="5">
        <f t="shared" si="20"/>
        <v>87</v>
      </c>
      <c r="AQ93" s="7">
        <f t="shared" si="21"/>
        <v>94</v>
      </c>
      <c r="AR93" s="8">
        <f t="shared" si="14"/>
        <v>2016</v>
      </c>
      <c r="AS93" s="31">
        <f>IF(AT93=0,"",IF(_Ijour1=0,MIN(DATE(YEAR(_DebAmort1),MONTH(_DebAmort1)+(AP93-1)*_Imois1,__Jou1),DATE(YEAR(_DebAmort1),MONTH(_DebAmort1)+1+(AP93-1)*_Imois1,0)),DATE(YEAR(_DebAmort1),MONTH(_DebAmort1),__Jou1+(AP93-1)*_Ijour1)))</f>
        <v>42430</v>
      </c>
      <c r="AT93" s="156">
        <f t="shared" si="22"/>
        <v>187250</v>
      </c>
      <c r="AU93" s="153">
        <f>IF(AP93&lt;=_NoEchMaxi1,ROUND(AT93*'Données Projet 1'!H102,_NbDeci1),0)</f>
        <v>156.04</v>
      </c>
      <c r="AV93" s="152">
        <f>IF(OR(AP93&lt;=_Différé1,AP93&gt;_NoEchMaxi1),IF(_DiffTotal1,-AU93,0),IF(AP93&gt;=_NoEchRemb1,AT93,IF('Données Projet 1'!I102-(AU93*_EchFIXE1)&gt;AT93-2,AT93,'Données Projet 1'!I102-(AU93*_EchFIXE1))))+AK93</f>
        <v>0</v>
      </c>
      <c r="AW93" s="154">
        <f t="shared" si="23"/>
        <v>15.6</v>
      </c>
      <c r="AX93" s="157">
        <f t="shared" si="15"/>
        <v>171.64</v>
      </c>
    </row>
    <row r="94" spans="8:50" ht="15.75" customHeight="1" x14ac:dyDescent="0.3">
      <c r="H94" s="549" t="s">
        <v>345</v>
      </c>
      <c r="I94" s="549"/>
      <c r="J94" s="549"/>
      <c r="K94" s="549"/>
      <c r="L94" s="549"/>
      <c r="M94" s="549"/>
      <c r="O94" s="554"/>
      <c r="P94" s="499" t="s">
        <v>309</v>
      </c>
      <c r="Q94" s="501">
        <f>SUM('TAM Projet 1'!F13*0.15)</f>
        <v>0</v>
      </c>
      <c r="R94" s="413"/>
      <c r="S94" s="413"/>
      <c r="T94" s="3"/>
      <c r="U94" s="164"/>
      <c r="V94" s="22"/>
      <c r="W94" s="21"/>
      <c r="X94" s="23"/>
      <c r="Y94" s="10"/>
      <c r="Z94" s="5">
        <f t="shared" si="16"/>
        <v>88</v>
      </c>
      <c r="AA94" s="7">
        <f t="shared" si="17"/>
        <v>333</v>
      </c>
      <c r="AB94" s="8">
        <f t="shared" si="12"/>
        <v>2016</v>
      </c>
      <c r="AC94" s="31">
        <f>IF(AD94=0,"",IF(_Ijour=0,MIN(DATE(YEAR(_DebAmort),MONTH(_DebAmort)+_MoisD+(Z94-1)*_Imois,_Jour2),DATE(YEAR(_DebAmort),MONTH(_DebAmort)+_MoisD+1+(Z94-1)*_Imois,0)),DATE(YEAR(_DebAmort),MONTH(_DebAmort),_Jour1+(Z94-1)*_Ijour)))</f>
        <v>42461</v>
      </c>
      <c r="AD94" s="156">
        <f t="shared" si="18"/>
        <v>199909.64000000004</v>
      </c>
      <c r="AE94" s="153">
        <f>IF(Z94&lt;=_NoEchMaxi,ROUND(AD94*'Données Projet 1'!A103,_NbDeci),0)</f>
        <v>309.86</v>
      </c>
      <c r="AF94" s="152">
        <f>IF(OR(Z94&lt;=_Différé,Z94&gt;_NoEchMaxi),IF(_DiffTotal,-AE94,0),IF(Z94&gt;=_NoEchRemb,AD94,IF('Données Projet 1'!B103-(AE94*_EchFIXE)&gt;AD94-2,AD94,'Données Projet 1'!B103-(AE94*_EchFIXE))))+U94</f>
        <v>459.12</v>
      </c>
      <c r="AG94" s="154">
        <f t="shared" si="19"/>
        <v>19.77</v>
      </c>
      <c r="AH94" s="157">
        <f t="shared" si="13"/>
        <v>788.75</v>
      </c>
      <c r="AI94"/>
      <c r="AJ94" s="3"/>
      <c r="AK94" s="164"/>
      <c r="AL94" s="22"/>
      <c r="AM94" s="21"/>
      <c r="AN94" s="23"/>
      <c r="AO94" s="10"/>
      <c r="AP94" s="5">
        <f t="shared" si="20"/>
        <v>88</v>
      </c>
      <c r="AQ94" s="7">
        <f t="shared" si="21"/>
        <v>93</v>
      </c>
      <c r="AR94" s="8">
        <f t="shared" si="14"/>
        <v>2016</v>
      </c>
      <c r="AS94" s="31">
        <f>IF(AT94=0,"",IF(_Ijour1=0,MIN(DATE(YEAR(_DebAmort1),MONTH(_DebAmort1)+_MoisD1+(AP94-1)*_Imois1,__Jou2),DATE(YEAR(_DebAmort1),MONTH(_DebAmort1)+_MoisD1+1+(AP94-1)*_Imois1,0)),DATE(YEAR(_DebAmort1),MONTH(_DebAmort1),__Jou1+(AP94-1)*_Ijour1)))</f>
        <v>42461</v>
      </c>
      <c r="AT94" s="156">
        <f t="shared" si="22"/>
        <v>187250</v>
      </c>
      <c r="AU94" s="153">
        <f>IF(AP94&lt;=_NoEchMaxi1,ROUND(AT94*'Données Projet 1'!H103,_NbDeci1),0)</f>
        <v>156.04</v>
      </c>
      <c r="AV94" s="152">
        <f>IF(OR(AP94&lt;=_Différé1,AP94&gt;_NoEchMaxi1),IF(_DiffTotal1,-AU94,0),IF(AP94&gt;=_NoEchRemb1,AT94,IF('Données Projet 1'!I103-(AU94*_EchFIXE1)&gt;AT94-2,AT94,'Données Projet 1'!I103-(AU94*_EchFIXE1))))+AK94</f>
        <v>0</v>
      </c>
      <c r="AW94" s="154">
        <f t="shared" si="23"/>
        <v>15.6</v>
      </c>
      <c r="AX94" s="157">
        <f t="shared" si="15"/>
        <v>171.64</v>
      </c>
    </row>
    <row r="95" spans="8:50" ht="15.75" customHeight="1" thickBot="1" x14ac:dyDescent="0.35">
      <c r="H95" s="564" t="s">
        <v>308</v>
      </c>
      <c r="I95" s="565"/>
      <c r="J95" s="565"/>
      <c r="K95" s="565"/>
      <c r="L95" s="565"/>
      <c r="M95" s="565"/>
      <c r="O95" s="556"/>
      <c r="P95" s="502" t="s">
        <v>178</v>
      </c>
      <c r="Q95" s="503">
        <f>SUM('TAM Projet 1'!F13*0.5)</f>
        <v>0</v>
      </c>
      <c r="R95" s="413"/>
      <c r="S95" s="413"/>
      <c r="T95" s="3"/>
      <c r="U95" s="164"/>
      <c r="V95" s="22"/>
      <c r="W95" s="21"/>
      <c r="X95" s="23"/>
      <c r="Y95" s="10"/>
      <c r="Z95" s="5">
        <f t="shared" si="16"/>
        <v>89</v>
      </c>
      <c r="AA95" s="7">
        <f t="shared" si="17"/>
        <v>332</v>
      </c>
      <c r="AB95" s="8">
        <f t="shared" si="12"/>
        <v>2016</v>
      </c>
      <c r="AC95" s="31">
        <f>IF(AD95=0,"",IF(_Ijour=0,MIN(DATE(YEAR(_DebAmort),MONTH(_DebAmort)+(Z95-1)*_Imois,_Jour1),DATE(YEAR(_DebAmort),MONTH(_DebAmort)+1+(Z95-1)*_Imois,0)),DATE(YEAR(_DebAmort),MONTH(_DebAmort),_Jour1+(Z95-1)*_Ijour)))</f>
        <v>42491</v>
      </c>
      <c r="AD95" s="156">
        <f t="shared" si="18"/>
        <v>199450.52000000005</v>
      </c>
      <c r="AE95" s="153">
        <f>IF(Z95&lt;=_NoEchMaxi,ROUND(AD95*'Données Projet 1'!A104,_NbDeci),0)</f>
        <v>309.14999999999998</v>
      </c>
      <c r="AF95" s="152">
        <f>IF(OR(Z95&lt;=_Différé,Z95&gt;_NoEchMaxi),IF(_DiffTotal,-AE95,0),IF(Z95&gt;=_NoEchRemb,AD95,IF('Données Projet 1'!B104-(AE95*_EchFIXE)&gt;AD95-2,AD95,'Données Projet 1'!B104-(AE95*_EchFIXE))))+U95</f>
        <v>459.83000000000004</v>
      </c>
      <c r="AG95" s="154">
        <f t="shared" si="19"/>
        <v>19.77</v>
      </c>
      <c r="AH95" s="157">
        <f t="shared" si="13"/>
        <v>788.75</v>
      </c>
      <c r="AI95"/>
      <c r="AJ95" s="3"/>
      <c r="AK95" s="164"/>
      <c r="AL95" s="22"/>
      <c r="AM95" s="21"/>
      <c r="AN95" s="23"/>
      <c r="AO95" s="10"/>
      <c r="AP95" s="5">
        <f t="shared" si="20"/>
        <v>89</v>
      </c>
      <c r="AQ95" s="7">
        <f t="shared" si="21"/>
        <v>92</v>
      </c>
      <c r="AR95" s="8">
        <f t="shared" si="14"/>
        <v>2016</v>
      </c>
      <c r="AS95" s="31">
        <f>IF(AT95=0,"",IF(_Ijour1=0,MIN(DATE(YEAR(_DebAmort1),MONTH(_DebAmort1)+(AP95-1)*_Imois1,__Jou1),DATE(YEAR(_DebAmort1),MONTH(_DebAmort1)+1+(AP95-1)*_Imois1,0)),DATE(YEAR(_DebAmort1),MONTH(_DebAmort1),__Jou1+(AP95-1)*_Ijour1)))</f>
        <v>42491</v>
      </c>
      <c r="AT95" s="156">
        <f t="shared" si="22"/>
        <v>187250</v>
      </c>
      <c r="AU95" s="153">
        <f>IF(AP95&lt;=_NoEchMaxi1,ROUND(AT95*'Données Projet 1'!H104,_NbDeci1),0)</f>
        <v>156.04</v>
      </c>
      <c r="AV95" s="152">
        <f>IF(OR(AP95&lt;=_Différé1,AP95&gt;_NoEchMaxi1),IF(_DiffTotal1,-AU95,0),IF(AP95&gt;=_NoEchRemb1,AT95,IF('Données Projet 1'!I104-(AU95*_EchFIXE1)&gt;AT95-2,AT95,'Données Projet 1'!I104-(AU95*_EchFIXE1))))+AK95</f>
        <v>0</v>
      </c>
      <c r="AW95" s="154">
        <f t="shared" si="23"/>
        <v>15.6</v>
      </c>
      <c r="AX95" s="157">
        <f t="shared" si="15"/>
        <v>171.64</v>
      </c>
    </row>
    <row r="96" spans="8:50" ht="15.75" customHeight="1" thickTop="1" x14ac:dyDescent="0.3">
      <c r="H96" s="512" t="s">
        <v>293</v>
      </c>
      <c r="I96" s="546" t="s">
        <v>284</v>
      </c>
      <c r="J96" s="546"/>
      <c r="K96" s="513" t="s">
        <v>285</v>
      </c>
      <c r="L96" s="513" t="s">
        <v>286</v>
      </c>
      <c r="M96" s="512" t="s">
        <v>287</v>
      </c>
      <c r="R96" s="413"/>
      <c r="S96" s="413"/>
      <c r="T96" s="3"/>
      <c r="U96" s="164"/>
      <c r="V96" s="22"/>
      <c r="W96" s="21"/>
      <c r="X96" s="23"/>
      <c r="Y96" s="10"/>
      <c r="Z96" s="5">
        <f t="shared" si="16"/>
        <v>90</v>
      </c>
      <c r="AA96" s="7">
        <f t="shared" si="17"/>
        <v>331</v>
      </c>
      <c r="AB96" s="8">
        <f t="shared" si="12"/>
        <v>2016</v>
      </c>
      <c r="AC96" s="31">
        <f>IF(AD96=0,"",IF(_Ijour=0,MIN(DATE(YEAR(_DebAmort),MONTH(_DebAmort)+_MoisD+(Z96-1)*_Imois,_Jour2),DATE(YEAR(_DebAmort),MONTH(_DebAmort)+_MoisD+1+(Z96-1)*_Imois,0)),DATE(YEAR(_DebAmort),MONTH(_DebAmort),_Jour1+(Z96-1)*_Ijour)))</f>
        <v>42522</v>
      </c>
      <c r="AD96" s="156">
        <f t="shared" si="18"/>
        <v>198990.69000000006</v>
      </c>
      <c r="AE96" s="153">
        <f>IF(Z96&lt;=_NoEchMaxi,ROUND(AD96*'Données Projet 1'!A105,_NbDeci),0)</f>
        <v>308.44</v>
      </c>
      <c r="AF96" s="152">
        <f>IF(OR(Z96&lt;=_Différé,Z96&gt;_NoEchMaxi),IF(_DiffTotal,-AE96,0),IF(Z96&gt;=_NoEchRemb,AD96,IF('Données Projet 1'!B105-(AE96*_EchFIXE)&gt;AD96-2,AD96,'Données Projet 1'!B105-(AE96*_EchFIXE))))+U96</f>
        <v>460.54</v>
      </c>
      <c r="AG96" s="154">
        <f t="shared" si="19"/>
        <v>19.77</v>
      </c>
      <c r="AH96" s="157">
        <f t="shared" si="13"/>
        <v>788.75</v>
      </c>
      <c r="AI96"/>
      <c r="AJ96" s="3"/>
      <c r="AK96" s="164"/>
      <c r="AL96" s="22"/>
      <c r="AM96" s="21"/>
      <c r="AN96" s="23"/>
      <c r="AO96" s="10"/>
      <c r="AP96" s="5">
        <f t="shared" si="20"/>
        <v>90</v>
      </c>
      <c r="AQ96" s="7">
        <f t="shared" si="21"/>
        <v>91</v>
      </c>
      <c r="AR96" s="8">
        <f t="shared" si="14"/>
        <v>2016</v>
      </c>
      <c r="AS96" s="31">
        <f>IF(AT96=0,"",IF(_Ijour1=0,MIN(DATE(YEAR(_DebAmort1),MONTH(_DebAmort1)+_MoisD1+(AP96-1)*_Imois1,__Jou2),DATE(YEAR(_DebAmort1),MONTH(_DebAmort1)+_MoisD1+1+(AP96-1)*_Imois1,0)),DATE(YEAR(_DebAmort1),MONTH(_DebAmort1),__Jou1+(AP96-1)*_Ijour1)))</f>
        <v>42522</v>
      </c>
      <c r="AT96" s="156">
        <f t="shared" si="22"/>
        <v>187250</v>
      </c>
      <c r="AU96" s="153">
        <f>IF(AP96&lt;=_NoEchMaxi1,ROUND(AT96*'Données Projet 1'!H105,_NbDeci1),0)</f>
        <v>156.04</v>
      </c>
      <c r="AV96" s="152">
        <f>IF(OR(AP96&lt;=_Différé1,AP96&gt;_NoEchMaxi1),IF(_DiffTotal1,-AU96,0),IF(AP96&gt;=_NoEchRemb1,AT96,IF('Données Projet 1'!I105-(AU96*_EchFIXE1)&gt;AT96-2,AT96,'Données Projet 1'!I105-(AU96*_EchFIXE1))))+AK96</f>
        <v>0</v>
      </c>
      <c r="AW96" s="154">
        <f t="shared" si="23"/>
        <v>15.6</v>
      </c>
      <c r="AX96" s="157">
        <f t="shared" si="15"/>
        <v>171.64</v>
      </c>
    </row>
    <row r="97" spans="8:50" ht="15.75" customHeight="1" x14ac:dyDescent="0.3">
      <c r="H97" s="314" t="s">
        <v>295</v>
      </c>
      <c r="I97" s="315">
        <v>0</v>
      </c>
      <c r="J97" s="315">
        <v>9807</v>
      </c>
      <c r="K97" s="316" t="e">
        <f>+IF('TAM Projet 1'!F34&gt;J97,J97,'TAM Projet 1'!F34)</f>
        <v>#REF!</v>
      </c>
      <c r="L97" s="317">
        <v>0</v>
      </c>
      <c r="M97" s="316">
        <v>0</v>
      </c>
      <c r="T97" s="3"/>
      <c r="U97" s="164"/>
      <c r="V97" s="22"/>
      <c r="W97" s="21"/>
      <c r="X97" s="23"/>
      <c r="Y97" s="10"/>
      <c r="Z97" s="5">
        <f t="shared" si="16"/>
        <v>91</v>
      </c>
      <c r="AA97" s="7">
        <f t="shared" si="17"/>
        <v>330</v>
      </c>
      <c r="AB97" s="8">
        <f t="shared" si="12"/>
        <v>2016</v>
      </c>
      <c r="AC97" s="31">
        <f>IF(AD97=0,"",IF(_Ijour=0,MIN(DATE(YEAR(_DebAmort),MONTH(_DebAmort)+(Z97-1)*_Imois,_Jour1),DATE(YEAR(_DebAmort),MONTH(_DebAmort)+1+(Z97-1)*_Imois,0)),DATE(YEAR(_DebAmort),MONTH(_DebAmort),_Jour1+(Z97-1)*_Ijour)))</f>
        <v>42552</v>
      </c>
      <c r="AD97" s="156">
        <f t="shared" si="18"/>
        <v>198530.15000000005</v>
      </c>
      <c r="AE97" s="153">
        <f>IF(Z97&lt;=_NoEchMaxi,ROUND(AD97*'Données Projet 1'!A106,_NbDeci),0)</f>
        <v>307.72000000000003</v>
      </c>
      <c r="AF97" s="152">
        <f>IF(OR(Z97&lt;=_Différé,Z97&gt;_NoEchMaxi),IF(_DiffTotal,-AE97,0),IF(Z97&gt;=_NoEchRemb,AD97,IF('Données Projet 1'!B106-(AE97*_EchFIXE)&gt;AD97-2,AD97,'Données Projet 1'!B106-(AE97*_EchFIXE))))+U97</f>
        <v>461.26</v>
      </c>
      <c r="AG97" s="154">
        <f t="shared" si="19"/>
        <v>19.77</v>
      </c>
      <c r="AH97" s="157">
        <f t="shared" si="13"/>
        <v>788.75</v>
      </c>
      <c r="AI97"/>
      <c r="AJ97" s="3"/>
      <c r="AK97" s="164"/>
      <c r="AL97" s="22"/>
      <c r="AM97" s="21"/>
      <c r="AN97" s="23"/>
      <c r="AO97" s="10"/>
      <c r="AP97" s="5">
        <f t="shared" si="20"/>
        <v>91</v>
      </c>
      <c r="AQ97" s="7">
        <f t="shared" si="21"/>
        <v>90</v>
      </c>
      <c r="AR97" s="8">
        <f t="shared" si="14"/>
        <v>2016</v>
      </c>
      <c r="AS97" s="31">
        <f>IF(AT97=0,"",IF(_Ijour1=0,MIN(DATE(YEAR(_DebAmort1),MONTH(_DebAmort1)+(AP97-1)*_Imois1,__Jou1),DATE(YEAR(_DebAmort1),MONTH(_DebAmort1)+1+(AP97-1)*_Imois1,0)),DATE(YEAR(_DebAmort1),MONTH(_DebAmort1),__Jou1+(AP97-1)*_Ijour1)))</f>
        <v>42552</v>
      </c>
      <c r="AT97" s="156">
        <f t="shared" si="22"/>
        <v>187250</v>
      </c>
      <c r="AU97" s="153">
        <f>IF(AP97&lt;=_NoEchMaxi1,ROUND(AT97*'Données Projet 1'!H106,_NbDeci1),0)</f>
        <v>156.04</v>
      </c>
      <c r="AV97" s="152">
        <f>IF(OR(AP97&lt;=_Différé1,AP97&gt;_NoEchMaxi1),IF(_DiffTotal1,-AU97,0),IF(AP97&gt;=_NoEchRemb1,AT97,IF('Données Projet 1'!I106-(AU97*_EchFIXE1)&gt;AT97-2,AT97,'Données Projet 1'!I106-(AU97*_EchFIXE1))))+AK97</f>
        <v>0</v>
      </c>
      <c r="AW97" s="154">
        <f t="shared" si="23"/>
        <v>15.6</v>
      </c>
      <c r="AX97" s="157">
        <f t="shared" si="15"/>
        <v>171.64</v>
      </c>
    </row>
    <row r="98" spans="8:50" ht="15.75" customHeight="1" x14ac:dyDescent="0.3">
      <c r="H98" s="314" t="s">
        <v>297</v>
      </c>
      <c r="I98" s="315">
        <v>9808</v>
      </c>
      <c r="J98" s="315">
        <v>27086</v>
      </c>
      <c r="K98" s="316" t="e">
        <f>IF('TAM Projet 1'!$F$34&lt;I98,0,IF('TAM Projet 1'!$F$34&lt;=J98,'TAM Projet 1'!$F$34-J97,J98-J97))</f>
        <v>#REF!</v>
      </c>
      <c r="L98" s="317">
        <v>0.14000000000000001</v>
      </c>
      <c r="M98" s="316" t="e">
        <f>SUM(K98*L98)</f>
        <v>#REF!</v>
      </c>
      <c r="T98" s="3"/>
      <c r="U98" s="164"/>
      <c r="V98" s="22"/>
      <c r="W98" s="21"/>
      <c r="X98" s="23"/>
      <c r="Y98" s="10"/>
      <c r="Z98" s="5">
        <f t="shared" si="16"/>
        <v>92</v>
      </c>
      <c r="AA98" s="7">
        <f t="shared" si="17"/>
        <v>329</v>
      </c>
      <c r="AB98" s="8">
        <f t="shared" si="12"/>
        <v>2016</v>
      </c>
      <c r="AC98" s="31">
        <f>IF(AD98=0,"",IF(_Ijour=0,MIN(DATE(YEAR(_DebAmort),MONTH(_DebAmort)+_MoisD+(Z98-1)*_Imois,_Jour2),DATE(YEAR(_DebAmort),MONTH(_DebAmort)+_MoisD+1+(Z98-1)*_Imois,0)),DATE(YEAR(_DebAmort),MONTH(_DebAmort),_Jour1+(Z98-1)*_Ijour)))</f>
        <v>42583</v>
      </c>
      <c r="AD98" s="156">
        <f t="shared" si="18"/>
        <v>198068.89000000004</v>
      </c>
      <c r="AE98" s="153">
        <f>IF(Z98&lt;=_NoEchMaxi,ROUND(AD98*'Données Projet 1'!A107,_NbDeci),0)</f>
        <v>307.01</v>
      </c>
      <c r="AF98" s="152">
        <f>IF(OR(Z98&lt;=_Différé,Z98&gt;_NoEchMaxi),IF(_DiffTotal,-AE98,0),IF(Z98&gt;=_NoEchRemb,AD98,IF('Données Projet 1'!B107-(AE98*_EchFIXE)&gt;AD98-2,AD98,'Données Projet 1'!B107-(AE98*_EchFIXE))))+U98</f>
        <v>461.97</v>
      </c>
      <c r="AG98" s="154">
        <f t="shared" si="19"/>
        <v>19.77</v>
      </c>
      <c r="AH98" s="157">
        <f t="shared" si="13"/>
        <v>788.75</v>
      </c>
      <c r="AI98"/>
      <c r="AJ98" s="3"/>
      <c r="AK98" s="164"/>
      <c r="AL98" s="22"/>
      <c r="AM98" s="21"/>
      <c r="AN98" s="23"/>
      <c r="AO98" s="10"/>
      <c r="AP98" s="5">
        <f t="shared" si="20"/>
        <v>92</v>
      </c>
      <c r="AQ98" s="7">
        <f t="shared" si="21"/>
        <v>89</v>
      </c>
      <c r="AR98" s="8">
        <f t="shared" si="14"/>
        <v>2016</v>
      </c>
      <c r="AS98" s="31">
        <f>IF(AT98=0,"",IF(_Ijour1=0,MIN(DATE(YEAR(_DebAmort1),MONTH(_DebAmort1)+_MoisD1+(AP98-1)*_Imois1,__Jou2),DATE(YEAR(_DebAmort1),MONTH(_DebAmort1)+_MoisD1+1+(AP98-1)*_Imois1,0)),DATE(YEAR(_DebAmort1),MONTH(_DebAmort1),__Jou1+(AP98-1)*_Ijour1)))</f>
        <v>42583</v>
      </c>
      <c r="AT98" s="156">
        <f t="shared" si="22"/>
        <v>187250</v>
      </c>
      <c r="AU98" s="153">
        <f>IF(AP98&lt;=_NoEchMaxi1,ROUND(AT98*'Données Projet 1'!H107,_NbDeci1),0)</f>
        <v>156.04</v>
      </c>
      <c r="AV98" s="152">
        <f>IF(OR(AP98&lt;=_Différé1,AP98&gt;_NoEchMaxi1),IF(_DiffTotal1,-AU98,0),IF(AP98&gt;=_NoEchRemb1,AT98,IF('Données Projet 1'!I107-(AU98*_EchFIXE1)&gt;AT98-2,AT98,'Données Projet 1'!I107-(AU98*_EchFIXE1))))+AK98</f>
        <v>0</v>
      </c>
      <c r="AW98" s="154">
        <f t="shared" si="23"/>
        <v>15.6</v>
      </c>
      <c r="AX98" s="157">
        <f t="shared" si="15"/>
        <v>171.64</v>
      </c>
    </row>
    <row r="99" spans="8:50" ht="15.75" customHeight="1" x14ac:dyDescent="0.3">
      <c r="H99" s="314" t="s">
        <v>299</v>
      </c>
      <c r="I99" s="315">
        <v>27087</v>
      </c>
      <c r="J99" s="315">
        <v>72617</v>
      </c>
      <c r="K99" s="316" t="e">
        <f>IF('TAM Projet 1'!$F$34&lt;I99,0,IF('TAM Projet 1'!$F$34&lt;=J99,'TAM Projet 1'!$F$34-J98,J99-J98))</f>
        <v>#REF!</v>
      </c>
      <c r="L99" s="317">
        <v>0.3</v>
      </c>
      <c r="M99" s="316" t="e">
        <f>SUM(K99*L99)</f>
        <v>#REF!</v>
      </c>
      <c r="T99" s="3"/>
      <c r="U99" s="164"/>
      <c r="V99" s="22"/>
      <c r="W99" s="21"/>
      <c r="X99" s="23"/>
      <c r="Y99" s="10"/>
      <c r="Z99" s="5">
        <f t="shared" si="16"/>
        <v>93</v>
      </c>
      <c r="AA99" s="7">
        <f t="shared" si="17"/>
        <v>328</v>
      </c>
      <c r="AB99" s="8">
        <f t="shared" si="12"/>
        <v>2016</v>
      </c>
      <c r="AC99" s="31">
        <f>IF(AD99=0,"",IF(_Ijour=0,MIN(DATE(YEAR(_DebAmort),MONTH(_DebAmort)+(Z99-1)*_Imois,_Jour1),DATE(YEAR(_DebAmort),MONTH(_DebAmort)+1+(Z99-1)*_Imois,0)),DATE(YEAR(_DebAmort),MONTH(_DebAmort),_Jour1+(Z99-1)*_Ijour)))</f>
        <v>42614</v>
      </c>
      <c r="AD99" s="156">
        <f t="shared" si="18"/>
        <v>197606.92000000004</v>
      </c>
      <c r="AE99" s="153">
        <f>IF(Z99&lt;=_NoEchMaxi,ROUND(AD99*'Données Projet 1'!A108,_NbDeci),0)</f>
        <v>306.29000000000002</v>
      </c>
      <c r="AF99" s="152">
        <f>IF(OR(Z99&lt;=_Différé,Z99&gt;_NoEchMaxi),IF(_DiffTotal,-AE99,0),IF(Z99&gt;=_NoEchRemb,AD99,IF('Données Projet 1'!B108-(AE99*_EchFIXE)&gt;AD99-2,AD99,'Données Projet 1'!B108-(AE99*_EchFIXE))))+U99</f>
        <v>462.69</v>
      </c>
      <c r="AG99" s="154">
        <f t="shared" si="19"/>
        <v>19.77</v>
      </c>
      <c r="AH99" s="157">
        <f t="shared" si="13"/>
        <v>788.75</v>
      </c>
      <c r="AI99"/>
      <c r="AJ99" s="3"/>
      <c r="AK99" s="164"/>
      <c r="AL99" s="22"/>
      <c r="AM99" s="21"/>
      <c r="AN99" s="23"/>
      <c r="AO99" s="10"/>
      <c r="AP99" s="5">
        <f t="shared" si="20"/>
        <v>93</v>
      </c>
      <c r="AQ99" s="7">
        <f t="shared" si="21"/>
        <v>88</v>
      </c>
      <c r="AR99" s="8">
        <f t="shared" si="14"/>
        <v>2016</v>
      </c>
      <c r="AS99" s="31">
        <f>IF(AT99=0,"",IF(_Ijour1=0,MIN(DATE(YEAR(_DebAmort1),MONTH(_DebAmort1)+(AP99-1)*_Imois1,__Jou1),DATE(YEAR(_DebAmort1),MONTH(_DebAmort1)+1+(AP99-1)*_Imois1,0)),DATE(YEAR(_DebAmort1),MONTH(_DebAmort1),__Jou1+(AP99-1)*_Ijour1)))</f>
        <v>42614</v>
      </c>
      <c r="AT99" s="156">
        <f t="shared" si="22"/>
        <v>187250</v>
      </c>
      <c r="AU99" s="153">
        <f>IF(AP99&lt;=_NoEchMaxi1,ROUND(AT99*'Données Projet 1'!H108,_NbDeci1),0)</f>
        <v>156.04</v>
      </c>
      <c r="AV99" s="152">
        <f>IF(OR(AP99&lt;=_Différé1,AP99&gt;_NoEchMaxi1),IF(_DiffTotal1,-AU99,0),IF(AP99&gt;=_NoEchRemb1,AT99,IF('Données Projet 1'!I108-(AU99*_EchFIXE1)&gt;AT99-2,AT99,'Données Projet 1'!I108-(AU99*_EchFIXE1))))+AK99</f>
        <v>0</v>
      </c>
      <c r="AW99" s="154">
        <f t="shared" si="23"/>
        <v>15.6</v>
      </c>
      <c r="AX99" s="157">
        <f t="shared" si="15"/>
        <v>171.64</v>
      </c>
    </row>
    <row r="100" spans="8:50" ht="15.75" customHeight="1" x14ac:dyDescent="0.3">
      <c r="H100" s="314" t="s">
        <v>301</v>
      </c>
      <c r="I100" s="315">
        <v>72618</v>
      </c>
      <c r="J100" s="315">
        <v>153783</v>
      </c>
      <c r="K100" s="316" t="e">
        <f>IF('TAM Projet 1'!$F$34&lt;I100,0,IF('TAM Projet 1'!$F$34&lt;=J100,'TAM Projet 1'!$F$34-J99,J100-J99))</f>
        <v>#REF!</v>
      </c>
      <c r="L100" s="317">
        <v>0.41</v>
      </c>
      <c r="M100" s="316" t="e">
        <f>SUM(K100*L100)</f>
        <v>#REF!</v>
      </c>
      <c r="T100" s="3"/>
      <c r="U100" s="164"/>
      <c r="V100" s="22"/>
      <c r="W100" s="21"/>
      <c r="X100" s="23"/>
      <c r="Y100" s="10"/>
      <c r="Z100" s="5">
        <f t="shared" si="16"/>
        <v>94</v>
      </c>
      <c r="AA100" s="7">
        <f t="shared" si="17"/>
        <v>327</v>
      </c>
      <c r="AB100" s="8">
        <f t="shared" si="12"/>
        <v>2016</v>
      </c>
      <c r="AC100" s="31">
        <f>IF(AD100=0,"",IF(_Ijour=0,MIN(DATE(YEAR(_DebAmort),MONTH(_DebAmort)+_MoisD+(Z100-1)*_Imois,_Jour2),DATE(YEAR(_DebAmort),MONTH(_DebAmort)+_MoisD+1+(Z100-1)*_Imois,0)),DATE(YEAR(_DebAmort),MONTH(_DebAmort),_Jour1+(Z100-1)*_Ijour)))</f>
        <v>42644</v>
      </c>
      <c r="AD100" s="156">
        <f t="shared" si="18"/>
        <v>197144.23000000004</v>
      </c>
      <c r="AE100" s="153">
        <f>IF(Z100&lt;=_NoEchMaxi,ROUND(AD100*'Données Projet 1'!A109,_NbDeci),0)</f>
        <v>305.57</v>
      </c>
      <c r="AF100" s="152">
        <f>IF(OR(Z100&lt;=_Différé,Z100&gt;_NoEchMaxi),IF(_DiffTotal,-AE100,0),IF(Z100&gt;=_NoEchRemb,AD100,IF('Données Projet 1'!B109-(AE100*_EchFIXE)&gt;AD100-2,AD100,'Données Projet 1'!B109-(AE100*_EchFIXE))))+U100</f>
        <v>463.41</v>
      </c>
      <c r="AG100" s="154">
        <f t="shared" si="19"/>
        <v>19.77</v>
      </c>
      <c r="AH100" s="157">
        <f t="shared" si="13"/>
        <v>788.75</v>
      </c>
      <c r="AI100"/>
      <c r="AJ100" s="3"/>
      <c r="AK100" s="164"/>
      <c r="AL100" s="22"/>
      <c r="AM100" s="21"/>
      <c r="AN100" s="23"/>
      <c r="AO100" s="10"/>
      <c r="AP100" s="5">
        <f t="shared" si="20"/>
        <v>94</v>
      </c>
      <c r="AQ100" s="7">
        <f t="shared" si="21"/>
        <v>87</v>
      </c>
      <c r="AR100" s="8">
        <f t="shared" si="14"/>
        <v>2016</v>
      </c>
      <c r="AS100" s="31">
        <f>IF(AT100=0,"",IF(_Ijour1=0,MIN(DATE(YEAR(_DebAmort1),MONTH(_DebAmort1)+_MoisD1+(AP100-1)*_Imois1,__Jou2),DATE(YEAR(_DebAmort1),MONTH(_DebAmort1)+_MoisD1+1+(AP100-1)*_Imois1,0)),DATE(YEAR(_DebAmort1),MONTH(_DebAmort1),__Jou1+(AP100-1)*_Ijour1)))</f>
        <v>42644</v>
      </c>
      <c r="AT100" s="156">
        <f t="shared" si="22"/>
        <v>187250</v>
      </c>
      <c r="AU100" s="153">
        <f>IF(AP100&lt;=_NoEchMaxi1,ROUND(AT100*'Données Projet 1'!H109,_NbDeci1),0)</f>
        <v>156.04</v>
      </c>
      <c r="AV100" s="152">
        <f>IF(OR(AP100&lt;=_Différé1,AP100&gt;_NoEchMaxi1),IF(_DiffTotal1,-AU100,0),IF(AP100&gt;=_NoEchRemb1,AT100,IF('Données Projet 1'!I109-(AU100*_EchFIXE1)&gt;AT100-2,AT100,'Données Projet 1'!I109-(AU100*_EchFIXE1))))+AK100</f>
        <v>0</v>
      </c>
      <c r="AW100" s="154">
        <f t="shared" si="23"/>
        <v>15.6</v>
      </c>
      <c r="AX100" s="157">
        <f t="shared" si="15"/>
        <v>171.64</v>
      </c>
    </row>
    <row r="101" spans="8:50" ht="15.75" customHeight="1" x14ac:dyDescent="0.3">
      <c r="H101" s="314" t="s">
        <v>303</v>
      </c>
      <c r="I101" s="315"/>
      <c r="J101" s="315"/>
      <c r="K101" s="315"/>
      <c r="L101" s="317">
        <v>0.45</v>
      </c>
      <c r="M101" s="316"/>
      <c r="T101" s="3"/>
      <c r="U101" s="164"/>
      <c r="V101" s="22"/>
      <c r="W101" s="21"/>
      <c r="X101" s="23"/>
      <c r="Y101" s="10"/>
      <c r="Z101" s="5">
        <f t="shared" si="16"/>
        <v>95</v>
      </c>
      <c r="AA101" s="7">
        <f t="shared" si="17"/>
        <v>326</v>
      </c>
      <c r="AB101" s="8">
        <f t="shared" si="12"/>
        <v>2016</v>
      </c>
      <c r="AC101" s="31">
        <f>IF(AD101=0,"",IF(_Ijour=0,MIN(DATE(YEAR(_DebAmort),MONTH(_DebAmort)+(Z101-1)*_Imois,_Jour1),DATE(YEAR(_DebAmort),MONTH(_DebAmort)+1+(Z101-1)*_Imois,0)),DATE(YEAR(_DebAmort),MONTH(_DebAmort),_Jour1+(Z101-1)*_Ijour)))</f>
        <v>42675</v>
      </c>
      <c r="AD101" s="156">
        <f t="shared" si="18"/>
        <v>196680.82000000004</v>
      </c>
      <c r="AE101" s="153">
        <f>IF(Z101&lt;=_NoEchMaxi,ROUND(AD101*'Données Projet 1'!A110,_NbDeci),0)</f>
        <v>304.86</v>
      </c>
      <c r="AF101" s="152">
        <f>IF(OR(Z101&lt;=_Différé,Z101&gt;_NoEchMaxi),IF(_DiffTotal,-AE101,0),IF(Z101&gt;=_NoEchRemb,AD101,IF('Données Projet 1'!B110-(AE101*_EchFIXE)&gt;AD101-2,AD101,'Données Projet 1'!B110-(AE101*_EchFIXE))))+U101</f>
        <v>464.12</v>
      </c>
      <c r="AG101" s="154">
        <f t="shared" si="19"/>
        <v>19.77</v>
      </c>
      <c r="AH101" s="157">
        <f t="shared" si="13"/>
        <v>788.75</v>
      </c>
      <c r="AI101"/>
      <c r="AJ101" s="3"/>
      <c r="AK101" s="164"/>
      <c r="AL101" s="22"/>
      <c r="AM101" s="21"/>
      <c r="AN101" s="23"/>
      <c r="AO101" s="10"/>
      <c r="AP101" s="5">
        <f t="shared" si="20"/>
        <v>95</v>
      </c>
      <c r="AQ101" s="7">
        <f t="shared" si="21"/>
        <v>86</v>
      </c>
      <c r="AR101" s="8">
        <f t="shared" si="14"/>
        <v>2016</v>
      </c>
      <c r="AS101" s="31">
        <f>IF(AT101=0,"",IF(_Ijour1=0,MIN(DATE(YEAR(_DebAmort1),MONTH(_DebAmort1)+(AP101-1)*_Imois1,__Jou1),DATE(YEAR(_DebAmort1),MONTH(_DebAmort1)+1+(AP101-1)*_Imois1,0)),DATE(YEAR(_DebAmort1),MONTH(_DebAmort1),__Jou1+(AP101-1)*_Ijour1)))</f>
        <v>42675</v>
      </c>
      <c r="AT101" s="156">
        <f t="shared" si="22"/>
        <v>187250</v>
      </c>
      <c r="AU101" s="153">
        <f>IF(AP101&lt;=_NoEchMaxi1,ROUND(AT101*'Données Projet 1'!H110,_NbDeci1),0)</f>
        <v>156.04</v>
      </c>
      <c r="AV101" s="152">
        <f>IF(OR(AP101&lt;=_Différé1,AP101&gt;_NoEchMaxi1),IF(_DiffTotal1,-AU101,0),IF(AP101&gt;=_NoEchRemb1,AT101,IF('Données Projet 1'!I110-(AU101*_EchFIXE1)&gt;AT101-2,AT101,'Données Projet 1'!I110-(AU101*_EchFIXE1))))+AK101</f>
        <v>0</v>
      </c>
      <c r="AW101" s="154">
        <f t="shared" si="23"/>
        <v>15.6</v>
      </c>
      <c r="AX101" s="157">
        <f t="shared" si="15"/>
        <v>171.64</v>
      </c>
    </row>
    <row r="102" spans="8:50" ht="15.75" customHeight="1" x14ac:dyDescent="0.3">
      <c r="T102" s="3"/>
      <c r="U102" s="164"/>
      <c r="V102" s="22"/>
      <c r="W102" s="21"/>
      <c r="X102" s="23"/>
      <c r="Y102" s="10"/>
      <c r="Z102" s="5">
        <f t="shared" si="16"/>
        <v>96</v>
      </c>
      <c r="AA102" s="7">
        <f t="shared" si="17"/>
        <v>325</v>
      </c>
      <c r="AB102" s="8">
        <f t="shared" si="12"/>
        <v>2016</v>
      </c>
      <c r="AC102" s="31">
        <f>IF(AD102=0,"",IF(_Ijour=0,MIN(DATE(YEAR(_DebAmort),MONTH(_DebAmort)+_MoisD+(Z102-1)*_Imois,_Jour2),DATE(YEAR(_DebAmort),MONTH(_DebAmort)+_MoisD+1+(Z102-1)*_Imois,0)),DATE(YEAR(_DebAmort),MONTH(_DebAmort),_Jour1+(Z102-1)*_Ijour)))</f>
        <v>42705</v>
      </c>
      <c r="AD102" s="156">
        <f t="shared" si="18"/>
        <v>196216.70000000004</v>
      </c>
      <c r="AE102" s="153">
        <f>IF(Z102&lt;=_NoEchMaxi,ROUND(AD102*'Données Projet 1'!A111,_NbDeci),0)</f>
        <v>304.14</v>
      </c>
      <c r="AF102" s="152">
        <f>IF(OR(Z102&lt;=_Différé,Z102&gt;_NoEchMaxi),IF(_DiffTotal,-AE102,0),IF(Z102&gt;=_NoEchRemb,AD102,IF('Données Projet 1'!B111-(AE102*_EchFIXE)&gt;AD102-2,AD102,'Données Projet 1'!B111-(AE102*_EchFIXE))))+U102</f>
        <v>464.84000000000003</v>
      </c>
      <c r="AG102" s="154">
        <f t="shared" si="19"/>
        <v>19.77</v>
      </c>
      <c r="AH102" s="157">
        <f t="shared" si="13"/>
        <v>788.75</v>
      </c>
      <c r="AI102"/>
      <c r="AJ102" s="3"/>
      <c r="AK102" s="164"/>
      <c r="AL102" s="22"/>
      <c r="AM102" s="21"/>
      <c r="AN102" s="23"/>
      <c r="AO102" s="10"/>
      <c r="AP102" s="5">
        <f t="shared" si="20"/>
        <v>96</v>
      </c>
      <c r="AQ102" s="7">
        <f t="shared" si="21"/>
        <v>85</v>
      </c>
      <c r="AR102" s="8">
        <f t="shared" si="14"/>
        <v>2016</v>
      </c>
      <c r="AS102" s="31">
        <f>IF(AT102=0,"",IF(_Ijour1=0,MIN(DATE(YEAR(_DebAmort1),MONTH(_DebAmort1)+_MoisD1+(AP102-1)*_Imois1,__Jou2),DATE(YEAR(_DebAmort1),MONTH(_DebAmort1)+_MoisD1+1+(AP102-1)*_Imois1,0)),DATE(YEAR(_DebAmort1),MONTH(_DebAmort1),__Jou1+(AP102-1)*_Ijour1)))</f>
        <v>42705</v>
      </c>
      <c r="AT102" s="156">
        <f t="shared" si="22"/>
        <v>187250</v>
      </c>
      <c r="AU102" s="153">
        <f>IF(AP102&lt;=_NoEchMaxi1,ROUND(AT102*'Données Projet 1'!H111,_NbDeci1),0)</f>
        <v>156.04</v>
      </c>
      <c r="AV102" s="152">
        <f>IF(OR(AP102&lt;=_Différé1,AP102&gt;_NoEchMaxi1),IF(_DiffTotal1,-AU102,0),IF(AP102&gt;=_NoEchRemb1,AT102,IF('Données Projet 1'!I111-(AU102*_EchFIXE1)&gt;AT102-2,AT102,'Données Projet 1'!I111-(AU102*_EchFIXE1))))+AK102</f>
        <v>0</v>
      </c>
      <c r="AW102" s="154">
        <f t="shared" si="23"/>
        <v>15.6</v>
      </c>
      <c r="AX102" s="157">
        <f t="shared" si="15"/>
        <v>171.64</v>
      </c>
    </row>
    <row r="103" spans="8:50" ht="15.75" customHeight="1" x14ac:dyDescent="0.3">
      <c r="T103" s="3"/>
      <c r="U103" s="164"/>
      <c r="V103" s="22"/>
      <c r="W103" s="21"/>
      <c r="X103" s="23"/>
      <c r="Y103" s="10"/>
      <c r="Z103" s="5">
        <f t="shared" si="16"/>
        <v>97</v>
      </c>
      <c r="AA103" s="7">
        <f t="shared" si="17"/>
        <v>324</v>
      </c>
      <c r="AB103" s="8">
        <f t="shared" si="12"/>
        <v>2017</v>
      </c>
      <c r="AC103" s="31">
        <f>IF(AD103=0,"",IF(_Ijour=0,MIN(DATE(YEAR(_DebAmort),MONTH(_DebAmort)+(Z103-1)*_Imois,_Jour1),DATE(YEAR(_DebAmort),MONTH(_DebAmort)+1+(Z103-1)*_Imois,0)),DATE(YEAR(_DebAmort),MONTH(_DebAmort),_Jour1+(Z103-1)*_Ijour)))</f>
        <v>42736</v>
      </c>
      <c r="AD103" s="156">
        <f t="shared" si="18"/>
        <v>195751.86000000004</v>
      </c>
      <c r="AE103" s="153">
        <f>IF(Z103&lt;=_NoEchMaxi,ROUND(AD103*'Données Projet 1'!A112,_NbDeci),0)</f>
        <v>303.42</v>
      </c>
      <c r="AF103" s="152">
        <f>IF(OR(Z103&lt;=_Différé,Z103&gt;_NoEchMaxi),IF(_DiffTotal,-AE103,0),IF(Z103&gt;=_NoEchRemb,AD103,IF('Données Projet 1'!B112-(AE103*_EchFIXE)&gt;AD103-2,AD103,'Données Projet 1'!B112-(AE103*_EchFIXE))))+U103</f>
        <v>465.56</v>
      </c>
      <c r="AG103" s="154">
        <f t="shared" si="19"/>
        <v>19.77</v>
      </c>
      <c r="AH103" s="157">
        <f t="shared" si="13"/>
        <v>788.75</v>
      </c>
      <c r="AI103"/>
      <c r="AJ103" s="3"/>
      <c r="AK103" s="164"/>
      <c r="AL103" s="22"/>
      <c r="AM103" s="21"/>
      <c r="AN103" s="23"/>
      <c r="AO103" s="10"/>
      <c r="AP103" s="5">
        <f t="shared" si="20"/>
        <v>97</v>
      </c>
      <c r="AQ103" s="7">
        <f t="shared" si="21"/>
        <v>84</v>
      </c>
      <c r="AR103" s="8">
        <f t="shared" si="14"/>
        <v>2017</v>
      </c>
      <c r="AS103" s="31">
        <f>IF(AT103=0,"",IF(_Ijour1=0,MIN(DATE(YEAR(_DebAmort1),MONTH(_DebAmort1)+(AP103-1)*_Imois1,__Jou1),DATE(YEAR(_DebAmort1),MONTH(_DebAmort1)+1+(AP103-1)*_Imois1,0)),DATE(YEAR(_DebAmort1),MONTH(_DebAmort1),__Jou1+(AP103-1)*_Ijour1)))</f>
        <v>42736</v>
      </c>
      <c r="AT103" s="156">
        <f t="shared" si="22"/>
        <v>187250</v>
      </c>
      <c r="AU103" s="153">
        <f>IF(AP103&lt;=_NoEchMaxi1,ROUND(AT103*'Données Projet 1'!H112,_NbDeci1),0)</f>
        <v>156.04</v>
      </c>
      <c r="AV103" s="152">
        <f>IF(OR(AP103&lt;=_Différé1,AP103&gt;_NoEchMaxi1),IF(_DiffTotal1,-AU103,0),IF(AP103&gt;=_NoEchRemb1,AT103,IF('Données Projet 1'!I112-(AU103*_EchFIXE1)&gt;AT103-2,AT103,'Données Projet 1'!I112-(AU103*_EchFIXE1))))+AK103</f>
        <v>0</v>
      </c>
      <c r="AW103" s="154">
        <f t="shared" si="23"/>
        <v>15.6</v>
      </c>
      <c r="AX103" s="157">
        <f t="shared" si="15"/>
        <v>171.64</v>
      </c>
    </row>
    <row r="104" spans="8:50" ht="15.75" customHeight="1" x14ac:dyDescent="0.3">
      <c r="H104" s="549" t="s">
        <v>363</v>
      </c>
      <c r="I104" s="549"/>
      <c r="J104" s="549"/>
      <c r="K104" s="549"/>
      <c r="L104" s="549"/>
      <c r="M104" s="549"/>
      <c r="T104" s="3"/>
      <c r="U104" s="164"/>
      <c r="V104" s="22"/>
      <c r="W104" s="21"/>
      <c r="X104" s="23"/>
      <c r="Y104" s="10"/>
      <c r="Z104" s="5">
        <f t="shared" si="16"/>
        <v>98</v>
      </c>
      <c r="AA104" s="7">
        <f t="shared" si="17"/>
        <v>323</v>
      </c>
      <c r="AB104" s="8">
        <f t="shared" si="12"/>
        <v>2017</v>
      </c>
      <c r="AC104" s="31">
        <f>IF(AD104=0,"",IF(_Ijour=0,MIN(DATE(YEAR(_DebAmort),MONTH(_DebAmort)+_MoisD+(Z104-1)*_Imois,_Jour2),DATE(YEAR(_DebAmort),MONTH(_DebAmort)+_MoisD+1+(Z104-1)*_Imois,0)),DATE(YEAR(_DebAmort),MONTH(_DebAmort),_Jour1+(Z104-1)*_Ijour)))</f>
        <v>42767</v>
      </c>
      <c r="AD104" s="156">
        <f t="shared" si="18"/>
        <v>195286.30000000005</v>
      </c>
      <c r="AE104" s="153">
        <f>IF(Z104&lt;=_NoEchMaxi,ROUND(AD104*'Données Projet 1'!A113,_NbDeci),0)</f>
        <v>302.69</v>
      </c>
      <c r="AF104" s="152">
        <f>IF(OR(Z104&lt;=_Différé,Z104&gt;_NoEchMaxi),IF(_DiffTotal,-AE104,0),IF(Z104&gt;=_NoEchRemb,AD104,IF('Données Projet 1'!B113-(AE104*_EchFIXE)&gt;AD104-2,AD104,'Données Projet 1'!B113-(AE104*_EchFIXE))))+U104</f>
        <v>466.29</v>
      </c>
      <c r="AG104" s="154">
        <f t="shared" si="19"/>
        <v>19.77</v>
      </c>
      <c r="AH104" s="157">
        <f t="shared" si="13"/>
        <v>788.75</v>
      </c>
      <c r="AI104"/>
      <c r="AJ104" s="3"/>
      <c r="AK104" s="164"/>
      <c r="AL104" s="22"/>
      <c r="AM104" s="21"/>
      <c r="AN104" s="23"/>
      <c r="AO104" s="10"/>
      <c r="AP104" s="5">
        <f t="shared" si="20"/>
        <v>98</v>
      </c>
      <c r="AQ104" s="7">
        <f t="shared" si="21"/>
        <v>83</v>
      </c>
      <c r="AR104" s="8">
        <f t="shared" si="14"/>
        <v>2017</v>
      </c>
      <c r="AS104" s="31">
        <f>IF(AT104=0,"",IF(_Ijour1=0,MIN(DATE(YEAR(_DebAmort1),MONTH(_DebAmort1)+_MoisD1+(AP104-1)*_Imois1,__Jou2),DATE(YEAR(_DebAmort1),MONTH(_DebAmort1)+_MoisD1+1+(AP104-1)*_Imois1,0)),DATE(YEAR(_DebAmort1),MONTH(_DebAmort1),__Jou1+(AP104-1)*_Ijour1)))</f>
        <v>42767</v>
      </c>
      <c r="AT104" s="156">
        <f t="shared" si="22"/>
        <v>187250</v>
      </c>
      <c r="AU104" s="153">
        <f>IF(AP104&lt;=_NoEchMaxi1,ROUND(AT104*'Données Projet 1'!H113,_NbDeci1),0)</f>
        <v>156.04</v>
      </c>
      <c r="AV104" s="152">
        <f>IF(OR(AP104&lt;=_Différé1,AP104&gt;_NoEchMaxi1),IF(_DiffTotal1,-AU104,0),IF(AP104&gt;=_NoEchRemb1,AT104,IF('Données Projet 1'!I113-(AU104*_EchFIXE1)&gt;AT104-2,AT104,'Données Projet 1'!I113-(AU104*_EchFIXE1))))+AK104</f>
        <v>0</v>
      </c>
      <c r="AW104" s="154">
        <f t="shared" si="23"/>
        <v>15.6</v>
      </c>
      <c r="AX104" s="157">
        <f t="shared" si="15"/>
        <v>171.64</v>
      </c>
    </row>
    <row r="105" spans="8:50" ht="15.75" customHeight="1" x14ac:dyDescent="0.3">
      <c r="H105" s="512" t="s">
        <v>293</v>
      </c>
      <c r="I105" s="546" t="s">
        <v>284</v>
      </c>
      <c r="J105" s="546"/>
      <c r="K105" s="517" t="s">
        <v>285</v>
      </c>
      <c r="L105" s="517" t="s">
        <v>286</v>
      </c>
      <c r="M105" s="512" t="s">
        <v>287</v>
      </c>
      <c r="T105" s="3"/>
      <c r="U105" s="164"/>
      <c r="V105" s="22"/>
      <c r="W105" s="21"/>
      <c r="X105" s="23"/>
      <c r="Y105" s="10"/>
      <c r="Z105" s="5">
        <f t="shared" si="16"/>
        <v>99</v>
      </c>
      <c r="AA105" s="7">
        <f t="shared" si="17"/>
        <v>322</v>
      </c>
      <c r="AB105" s="8">
        <f t="shared" si="12"/>
        <v>2017</v>
      </c>
      <c r="AC105" s="31">
        <f>IF(AD105=0,"",IF(_Ijour=0,MIN(DATE(YEAR(_DebAmort),MONTH(_DebAmort)+(Z105-1)*_Imois,_Jour1),DATE(YEAR(_DebAmort),MONTH(_DebAmort)+1+(Z105-1)*_Imois,0)),DATE(YEAR(_DebAmort),MONTH(_DebAmort),_Jour1+(Z105-1)*_Ijour)))</f>
        <v>42795</v>
      </c>
      <c r="AD105" s="156">
        <f t="shared" si="18"/>
        <v>194820.01000000004</v>
      </c>
      <c r="AE105" s="153">
        <f>IF(Z105&lt;=_NoEchMaxi,ROUND(AD105*'Données Projet 1'!A114,_NbDeci),0)</f>
        <v>301.97000000000003</v>
      </c>
      <c r="AF105" s="152">
        <f>IF(OR(Z105&lt;=_Différé,Z105&gt;_NoEchMaxi),IF(_DiffTotal,-AE105,0),IF(Z105&gt;=_NoEchRemb,AD105,IF('Données Projet 1'!B114-(AE105*_EchFIXE)&gt;AD105-2,AD105,'Données Projet 1'!B114-(AE105*_EchFIXE))))+U105</f>
        <v>467.01</v>
      </c>
      <c r="AG105" s="154">
        <f t="shared" si="19"/>
        <v>19.77</v>
      </c>
      <c r="AH105" s="157">
        <f t="shared" si="13"/>
        <v>788.75</v>
      </c>
      <c r="AI105"/>
      <c r="AJ105" s="3"/>
      <c r="AK105" s="164"/>
      <c r="AL105" s="22"/>
      <c r="AM105" s="21"/>
      <c r="AN105" s="23"/>
      <c r="AO105" s="10"/>
      <c r="AP105" s="5">
        <f t="shared" si="20"/>
        <v>99</v>
      </c>
      <c r="AQ105" s="7">
        <f t="shared" si="21"/>
        <v>82</v>
      </c>
      <c r="AR105" s="8">
        <f t="shared" si="14"/>
        <v>2017</v>
      </c>
      <c r="AS105" s="31">
        <f>IF(AT105=0,"",IF(_Ijour1=0,MIN(DATE(YEAR(_DebAmort1),MONTH(_DebAmort1)+(AP105-1)*_Imois1,__Jou1),DATE(YEAR(_DebAmort1),MONTH(_DebAmort1)+1+(AP105-1)*_Imois1,0)),DATE(YEAR(_DebAmort1),MONTH(_DebAmort1),__Jou1+(AP105-1)*_Ijour1)))</f>
        <v>42795</v>
      </c>
      <c r="AT105" s="156">
        <f t="shared" si="22"/>
        <v>187250</v>
      </c>
      <c r="AU105" s="153">
        <f>IF(AP105&lt;=_NoEchMaxi1,ROUND(AT105*'Données Projet 1'!H114,_NbDeci1),0)</f>
        <v>156.04</v>
      </c>
      <c r="AV105" s="152">
        <f>IF(OR(AP105&lt;=_Différé1,AP105&gt;_NoEchMaxi1),IF(_DiffTotal1,-AU105,0),IF(AP105&gt;=_NoEchRemb1,AT105,IF('Données Projet 1'!I114-(AU105*_EchFIXE1)&gt;AT105-2,AT105,'Données Projet 1'!I114-(AU105*_EchFIXE1))))+AK105</f>
        <v>0</v>
      </c>
      <c r="AW105" s="154">
        <f t="shared" si="23"/>
        <v>15.6</v>
      </c>
      <c r="AX105" s="157">
        <f t="shared" si="15"/>
        <v>171.64</v>
      </c>
    </row>
    <row r="106" spans="8:50" ht="15.75" customHeight="1" x14ac:dyDescent="0.3">
      <c r="H106" s="314" t="s">
        <v>295</v>
      </c>
      <c r="I106" s="315">
        <v>0</v>
      </c>
      <c r="J106" s="315">
        <v>9807</v>
      </c>
      <c r="K106" s="316">
        <f>+IF('TAM Projet 1'!J32&gt;J106,J106,'TAM Projet 1'!J32)</f>
        <v>9807</v>
      </c>
      <c r="L106" s="317">
        <v>0</v>
      </c>
      <c r="M106" s="316">
        <v>0</v>
      </c>
      <c r="T106" s="3"/>
      <c r="U106" s="164"/>
      <c r="V106" s="22"/>
      <c r="W106" s="21"/>
      <c r="X106" s="23"/>
      <c r="Y106" s="10"/>
      <c r="Z106" s="5">
        <f t="shared" si="16"/>
        <v>100</v>
      </c>
      <c r="AA106" s="7">
        <f t="shared" si="17"/>
        <v>321</v>
      </c>
      <c r="AB106" s="8">
        <f t="shared" si="12"/>
        <v>2017</v>
      </c>
      <c r="AC106" s="31">
        <f>IF(AD106=0,"",IF(_Ijour=0,MIN(DATE(YEAR(_DebAmort),MONTH(_DebAmort)+_MoisD+(Z106-1)*_Imois,_Jour2),DATE(YEAR(_DebAmort),MONTH(_DebAmort)+_MoisD+1+(Z106-1)*_Imois,0)),DATE(YEAR(_DebAmort),MONTH(_DebAmort),_Jour1+(Z106-1)*_Ijour)))</f>
        <v>42826</v>
      </c>
      <c r="AD106" s="156">
        <f t="shared" si="18"/>
        <v>194353.00000000003</v>
      </c>
      <c r="AE106" s="153">
        <f>IF(Z106&lt;=_NoEchMaxi,ROUND(AD106*'Données Projet 1'!A115,_NbDeci),0)</f>
        <v>301.25</v>
      </c>
      <c r="AF106" s="152">
        <f>IF(OR(Z106&lt;=_Différé,Z106&gt;_NoEchMaxi),IF(_DiffTotal,-AE106,0),IF(Z106&gt;=_NoEchRemb,AD106,IF('Données Projet 1'!B115-(AE106*_EchFIXE)&gt;AD106-2,AD106,'Données Projet 1'!B115-(AE106*_EchFIXE))))+U106</f>
        <v>467.73</v>
      </c>
      <c r="AG106" s="154">
        <f t="shared" si="19"/>
        <v>19.77</v>
      </c>
      <c r="AH106" s="157">
        <f t="shared" si="13"/>
        <v>788.75</v>
      </c>
      <c r="AI106"/>
      <c r="AJ106" s="3"/>
      <c r="AK106" s="164"/>
      <c r="AL106" s="22"/>
      <c r="AM106" s="21"/>
      <c r="AN106" s="23"/>
      <c r="AO106" s="10"/>
      <c r="AP106" s="5">
        <f t="shared" si="20"/>
        <v>100</v>
      </c>
      <c r="AQ106" s="7">
        <f t="shared" si="21"/>
        <v>81</v>
      </c>
      <c r="AR106" s="8">
        <f t="shared" si="14"/>
        <v>2017</v>
      </c>
      <c r="AS106" s="31">
        <f>IF(AT106=0,"",IF(_Ijour1=0,MIN(DATE(YEAR(_DebAmort1),MONTH(_DebAmort1)+_MoisD1+(AP106-1)*_Imois1,__Jou2),DATE(YEAR(_DebAmort1),MONTH(_DebAmort1)+_MoisD1+1+(AP106-1)*_Imois1,0)),DATE(YEAR(_DebAmort1),MONTH(_DebAmort1),__Jou1+(AP106-1)*_Ijour1)))</f>
        <v>42826</v>
      </c>
      <c r="AT106" s="156">
        <f t="shared" si="22"/>
        <v>187250</v>
      </c>
      <c r="AU106" s="153">
        <f>IF(AP106&lt;=_NoEchMaxi1,ROUND(AT106*'Données Projet 1'!H115,_NbDeci1),0)</f>
        <v>156.04</v>
      </c>
      <c r="AV106" s="152">
        <f>IF(OR(AP106&lt;=_Différé1,AP106&gt;_NoEchMaxi1),IF(_DiffTotal1,-AU106,0),IF(AP106&gt;=_NoEchRemb1,AT106,IF('Données Projet 1'!I115-(AU106*_EchFIXE1)&gt;AT106-2,AT106,'Données Projet 1'!I115-(AU106*_EchFIXE1))))+AK106</f>
        <v>0</v>
      </c>
      <c r="AW106" s="154">
        <f t="shared" si="23"/>
        <v>15.6</v>
      </c>
      <c r="AX106" s="157">
        <f t="shared" si="15"/>
        <v>171.64</v>
      </c>
    </row>
    <row r="107" spans="8:50" ht="15.75" customHeight="1" x14ac:dyDescent="0.3">
      <c r="H107" s="314" t="s">
        <v>297</v>
      </c>
      <c r="I107" s="315">
        <v>9808</v>
      </c>
      <c r="J107" s="315">
        <v>27086</v>
      </c>
      <c r="K107" s="316">
        <f>IF('TAM Projet 1'!$J$32&lt;I107,0,IF('TAM Projet 1'!$J$32&lt;=J107,'TAM Projet 1'!$J$32-J106,J107-J106))</f>
        <v>1656.3639999999996</v>
      </c>
      <c r="L107" s="317">
        <v>0.14000000000000001</v>
      </c>
      <c r="M107" s="316">
        <f>SUM(K107*L107)</f>
        <v>231.89095999999995</v>
      </c>
      <c r="T107" s="3"/>
      <c r="U107" s="164"/>
      <c r="V107" s="22"/>
      <c r="W107" s="21"/>
      <c r="X107" s="23"/>
      <c r="Y107" s="10"/>
      <c r="Z107" s="5">
        <f t="shared" si="16"/>
        <v>101</v>
      </c>
      <c r="AA107" s="7">
        <f t="shared" si="17"/>
        <v>320</v>
      </c>
      <c r="AB107" s="8">
        <f t="shared" si="12"/>
        <v>2017</v>
      </c>
      <c r="AC107" s="31">
        <f>IF(AD107=0,"",IF(_Ijour=0,MIN(DATE(YEAR(_DebAmort),MONTH(_DebAmort)+(Z107-1)*_Imois,_Jour1),DATE(YEAR(_DebAmort),MONTH(_DebAmort)+1+(Z107-1)*_Imois,0)),DATE(YEAR(_DebAmort),MONTH(_DebAmort),_Jour1+(Z107-1)*_Ijour)))</f>
        <v>42856</v>
      </c>
      <c r="AD107" s="156">
        <f t="shared" si="18"/>
        <v>193885.27000000002</v>
      </c>
      <c r="AE107" s="153">
        <f>IF(Z107&lt;=_NoEchMaxi,ROUND(AD107*'Données Projet 1'!A116,_NbDeci),0)</f>
        <v>300.52</v>
      </c>
      <c r="AF107" s="152">
        <f>IF(OR(Z107&lt;=_Différé,Z107&gt;_NoEchMaxi),IF(_DiffTotal,-AE107,0),IF(Z107&gt;=_NoEchRemb,AD107,IF('Données Projet 1'!B116-(AE107*_EchFIXE)&gt;AD107-2,AD107,'Données Projet 1'!B116-(AE107*_EchFIXE))))+U107</f>
        <v>468.46000000000004</v>
      </c>
      <c r="AG107" s="154">
        <f t="shared" si="19"/>
        <v>19.77</v>
      </c>
      <c r="AH107" s="157">
        <f t="shared" si="13"/>
        <v>788.75</v>
      </c>
      <c r="AI107"/>
      <c r="AJ107" s="3"/>
      <c r="AK107" s="164"/>
      <c r="AL107" s="22"/>
      <c r="AM107" s="21"/>
      <c r="AN107" s="23"/>
      <c r="AO107" s="10"/>
      <c r="AP107" s="5">
        <f t="shared" si="20"/>
        <v>101</v>
      </c>
      <c r="AQ107" s="7">
        <f t="shared" si="21"/>
        <v>80</v>
      </c>
      <c r="AR107" s="8">
        <f t="shared" si="14"/>
        <v>2017</v>
      </c>
      <c r="AS107" s="31">
        <f>IF(AT107=0,"",IF(_Ijour1=0,MIN(DATE(YEAR(_DebAmort1),MONTH(_DebAmort1)+(AP107-1)*_Imois1,__Jou1),DATE(YEAR(_DebAmort1),MONTH(_DebAmort1)+1+(AP107-1)*_Imois1,0)),DATE(YEAR(_DebAmort1),MONTH(_DebAmort1),__Jou1+(AP107-1)*_Ijour1)))</f>
        <v>42856</v>
      </c>
      <c r="AT107" s="156">
        <f t="shared" si="22"/>
        <v>187250</v>
      </c>
      <c r="AU107" s="153">
        <f>IF(AP107&lt;=_NoEchMaxi1,ROUND(AT107*'Données Projet 1'!H116,_NbDeci1),0)</f>
        <v>156.04</v>
      </c>
      <c r="AV107" s="152">
        <f>IF(OR(AP107&lt;=_Différé1,AP107&gt;_NoEchMaxi1),IF(_DiffTotal1,-AU107,0),IF(AP107&gt;=_NoEchRemb1,AT107,IF('Données Projet 1'!I116-(AU107*_EchFIXE1)&gt;AT107-2,AT107,'Données Projet 1'!I116-(AU107*_EchFIXE1))))+AK107</f>
        <v>0</v>
      </c>
      <c r="AW107" s="154">
        <f t="shared" si="23"/>
        <v>15.6</v>
      </c>
      <c r="AX107" s="157">
        <f t="shared" si="15"/>
        <v>171.64</v>
      </c>
    </row>
    <row r="108" spans="8:50" ht="15.75" customHeight="1" x14ac:dyDescent="0.3">
      <c r="H108" s="314" t="s">
        <v>299</v>
      </c>
      <c r="I108" s="315">
        <v>27087</v>
      </c>
      <c r="J108" s="315">
        <v>72617</v>
      </c>
      <c r="K108" s="316">
        <f>IF('TAM Projet 1'!$J$32&lt;I108,0,IF('TAM Projet 1'!$J$32&lt;=J108,'TAM Projet 1'!$J$32-J107,J108-J107))</f>
        <v>0</v>
      </c>
      <c r="L108" s="317">
        <v>0.3</v>
      </c>
      <c r="M108" s="316">
        <f>SUM(K108*L108)</f>
        <v>0</v>
      </c>
      <c r="T108" s="3"/>
      <c r="U108" s="164"/>
      <c r="V108" s="22"/>
      <c r="W108" s="21"/>
      <c r="X108" s="23"/>
      <c r="Y108" s="10"/>
      <c r="Z108" s="5">
        <f t="shared" si="16"/>
        <v>102</v>
      </c>
      <c r="AA108" s="7">
        <f t="shared" si="17"/>
        <v>319</v>
      </c>
      <c r="AB108" s="8">
        <f t="shared" si="12"/>
        <v>2017</v>
      </c>
      <c r="AC108" s="31">
        <f>IF(AD108=0,"",IF(_Ijour=0,MIN(DATE(YEAR(_DebAmort),MONTH(_DebAmort)+_MoisD+(Z108-1)*_Imois,_Jour2),DATE(YEAR(_DebAmort),MONTH(_DebAmort)+_MoisD+1+(Z108-1)*_Imois,0)),DATE(YEAR(_DebAmort),MONTH(_DebAmort),_Jour1+(Z108-1)*_Ijour)))</f>
        <v>42887</v>
      </c>
      <c r="AD108" s="156">
        <f t="shared" si="18"/>
        <v>193416.81000000003</v>
      </c>
      <c r="AE108" s="153">
        <f>IF(Z108&lt;=_NoEchMaxi,ROUND(AD108*'Données Projet 1'!A117,_NbDeci),0)</f>
        <v>299.8</v>
      </c>
      <c r="AF108" s="152">
        <f>IF(OR(Z108&lt;=_Différé,Z108&gt;_NoEchMaxi),IF(_DiffTotal,-AE108,0),IF(Z108&gt;=_NoEchRemb,AD108,IF('Données Projet 1'!B117-(AE108*_EchFIXE)&gt;AD108-2,AD108,'Données Projet 1'!B117-(AE108*_EchFIXE))))+U108</f>
        <v>469.18</v>
      </c>
      <c r="AG108" s="154">
        <f t="shared" si="19"/>
        <v>19.77</v>
      </c>
      <c r="AH108" s="157">
        <f t="shared" si="13"/>
        <v>788.75</v>
      </c>
      <c r="AI108"/>
      <c r="AJ108" s="3"/>
      <c r="AK108" s="164"/>
      <c r="AL108" s="22"/>
      <c r="AM108" s="21"/>
      <c r="AN108" s="23"/>
      <c r="AO108" s="10"/>
      <c r="AP108" s="5">
        <f t="shared" si="20"/>
        <v>102</v>
      </c>
      <c r="AQ108" s="7">
        <f t="shared" si="21"/>
        <v>79</v>
      </c>
      <c r="AR108" s="8">
        <f t="shared" si="14"/>
        <v>2017</v>
      </c>
      <c r="AS108" s="31">
        <f>IF(AT108=0,"",IF(_Ijour1=0,MIN(DATE(YEAR(_DebAmort1),MONTH(_DebAmort1)+_MoisD1+(AP108-1)*_Imois1,__Jou2),DATE(YEAR(_DebAmort1),MONTH(_DebAmort1)+_MoisD1+1+(AP108-1)*_Imois1,0)),DATE(YEAR(_DebAmort1),MONTH(_DebAmort1),__Jou1+(AP108-1)*_Ijour1)))</f>
        <v>42887</v>
      </c>
      <c r="AT108" s="156">
        <f t="shared" si="22"/>
        <v>187250</v>
      </c>
      <c r="AU108" s="153">
        <f>IF(AP108&lt;=_NoEchMaxi1,ROUND(AT108*'Données Projet 1'!H117,_NbDeci1),0)</f>
        <v>156.04</v>
      </c>
      <c r="AV108" s="152">
        <f>IF(OR(AP108&lt;=_Différé1,AP108&gt;_NoEchMaxi1),IF(_DiffTotal1,-AU108,0),IF(AP108&gt;=_NoEchRemb1,AT108,IF('Données Projet 1'!I117-(AU108*_EchFIXE1)&gt;AT108-2,AT108,'Données Projet 1'!I117-(AU108*_EchFIXE1))))+AK108</f>
        <v>0</v>
      </c>
      <c r="AW108" s="154">
        <f t="shared" si="23"/>
        <v>15.6</v>
      </c>
      <c r="AX108" s="157">
        <f t="shared" si="15"/>
        <v>171.64</v>
      </c>
    </row>
    <row r="109" spans="8:50" ht="15.75" customHeight="1" x14ac:dyDescent="0.3">
      <c r="H109" s="314" t="s">
        <v>301</v>
      </c>
      <c r="I109" s="315">
        <v>72618</v>
      </c>
      <c r="J109" s="315">
        <v>153783</v>
      </c>
      <c r="K109" s="316">
        <f>IF('TAM Projet 1'!$J$32&lt;I109,0,IF('TAM Projet 1'!$J$32&lt;=J109,'TAM Projet 1'!$J$32-J108,J109-J108))</f>
        <v>0</v>
      </c>
      <c r="L109" s="317">
        <v>0.41</v>
      </c>
      <c r="M109" s="316">
        <f>SUM(K109*L109)</f>
        <v>0</v>
      </c>
      <c r="T109" s="3"/>
      <c r="U109" s="164"/>
      <c r="V109" s="22"/>
      <c r="W109" s="21"/>
      <c r="X109" s="23"/>
      <c r="Y109" s="10"/>
      <c r="Z109" s="5">
        <f t="shared" si="16"/>
        <v>103</v>
      </c>
      <c r="AA109" s="7">
        <f t="shared" si="17"/>
        <v>318</v>
      </c>
      <c r="AB109" s="8">
        <f t="shared" si="12"/>
        <v>2017</v>
      </c>
      <c r="AC109" s="31">
        <f>IF(AD109=0,"",IF(_Ijour=0,MIN(DATE(YEAR(_DebAmort),MONTH(_DebAmort)+(Z109-1)*_Imois,_Jour1),DATE(YEAR(_DebAmort),MONTH(_DebAmort)+1+(Z109-1)*_Imois,0)),DATE(YEAR(_DebAmort),MONTH(_DebAmort),_Jour1+(Z109-1)*_Ijour)))</f>
        <v>42917</v>
      </c>
      <c r="AD109" s="156">
        <f t="shared" si="18"/>
        <v>192947.63000000003</v>
      </c>
      <c r="AE109" s="153">
        <f>IF(Z109&lt;=_NoEchMaxi,ROUND(AD109*'Données Projet 1'!A118,_NbDeci),0)</f>
        <v>299.07</v>
      </c>
      <c r="AF109" s="152">
        <f>IF(OR(Z109&lt;=_Différé,Z109&gt;_NoEchMaxi),IF(_DiffTotal,-AE109,0),IF(Z109&gt;=_NoEchRemb,AD109,IF('Données Projet 1'!B118-(AE109*_EchFIXE)&gt;AD109-2,AD109,'Données Projet 1'!B118-(AE109*_EchFIXE))))+U109</f>
        <v>469.91</v>
      </c>
      <c r="AG109" s="154">
        <f t="shared" si="19"/>
        <v>19.77</v>
      </c>
      <c r="AH109" s="157">
        <f t="shared" si="13"/>
        <v>788.75</v>
      </c>
      <c r="AI109"/>
      <c r="AJ109" s="3"/>
      <c r="AK109" s="164"/>
      <c r="AL109" s="22"/>
      <c r="AM109" s="21"/>
      <c r="AN109" s="23"/>
      <c r="AO109" s="10"/>
      <c r="AP109" s="5">
        <f t="shared" si="20"/>
        <v>103</v>
      </c>
      <c r="AQ109" s="7">
        <f t="shared" si="21"/>
        <v>78</v>
      </c>
      <c r="AR109" s="8">
        <f t="shared" si="14"/>
        <v>2017</v>
      </c>
      <c r="AS109" s="31">
        <f>IF(AT109=0,"",IF(_Ijour1=0,MIN(DATE(YEAR(_DebAmort1),MONTH(_DebAmort1)+(AP109-1)*_Imois1,__Jou1),DATE(YEAR(_DebAmort1),MONTH(_DebAmort1)+1+(AP109-1)*_Imois1,0)),DATE(YEAR(_DebAmort1),MONTH(_DebAmort1),__Jou1+(AP109-1)*_Ijour1)))</f>
        <v>42917</v>
      </c>
      <c r="AT109" s="156">
        <f t="shared" si="22"/>
        <v>187250</v>
      </c>
      <c r="AU109" s="153">
        <f>IF(AP109&lt;=_NoEchMaxi1,ROUND(AT109*'Données Projet 1'!H118,_NbDeci1),0)</f>
        <v>156.04</v>
      </c>
      <c r="AV109" s="152">
        <f>IF(OR(AP109&lt;=_Différé1,AP109&gt;_NoEchMaxi1),IF(_DiffTotal1,-AU109,0),IF(AP109&gt;=_NoEchRemb1,AT109,IF('Données Projet 1'!I118-(AU109*_EchFIXE1)&gt;AT109-2,AT109,'Données Projet 1'!I118-(AU109*_EchFIXE1))))+AK109</f>
        <v>0</v>
      </c>
      <c r="AW109" s="154">
        <f t="shared" si="23"/>
        <v>15.6</v>
      </c>
      <c r="AX109" s="157">
        <f t="shared" si="15"/>
        <v>171.64</v>
      </c>
    </row>
    <row r="110" spans="8:50" ht="15.75" customHeight="1" x14ac:dyDescent="0.3">
      <c r="H110" s="314" t="s">
        <v>303</v>
      </c>
      <c r="I110" s="315"/>
      <c r="J110" s="315"/>
      <c r="K110" s="315"/>
      <c r="L110" s="317">
        <v>0.45</v>
      </c>
      <c r="M110" s="316"/>
      <c r="T110" s="3"/>
      <c r="U110" s="164"/>
      <c r="V110" s="22"/>
      <c r="W110" s="21"/>
      <c r="X110" s="23"/>
      <c r="Y110" s="10"/>
      <c r="Z110" s="5">
        <f t="shared" si="16"/>
        <v>104</v>
      </c>
      <c r="AA110" s="7">
        <f t="shared" si="17"/>
        <v>317</v>
      </c>
      <c r="AB110" s="8">
        <f t="shared" si="12"/>
        <v>2017</v>
      </c>
      <c r="AC110" s="31">
        <f>IF(AD110=0,"",IF(_Ijour=0,MIN(DATE(YEAR(_DebAmort),MONTH(_DebAmort)+_MoisD+(Z110-1)*_Imois,_Jour2),DATE(YEAR(_DebAmort),MONTH(_DebAmort)+_MoisD+1+(Z110-1)*_Imois,0)),DATE(YEAR(_DebAmort),MONTH(_DebAmort),_Jour1+(Z110-1)*_Ijour)))</f>
        <v>42948</v>
      </c>
      <c r="AD110" s="156">
        <f t="shared" si="18"/>
        <v>192477.72000000003</v>
      </c>
      <c r="AE110" s="153">
        <f>IF(Z110&lt;=_NoEchMaxi,ROUND(AD110*'Données Projet 1'!A119,_NbDeci),0)</f>
        <v>298.33999999999997</v>
      </c>
      <c r="AF110" s="152">
        <f>IF(OR(Z110&lt;=_Différé,Z110&gt;_NoEchMaxi),IF(_DiffTotal,-AE110,0),IF(Z110&gt;=_NoEchRemb,AD110,IF('Données Projet 1'!B119-(AE110*_EchFIXE)&gt;AD110-2,AD110,'Données Projet 1'!B119-(AE110*_EchFIXE))))+U110</f>
        <v>470.64000000000004</v>
      </c>
      <c r="AG110" s="154">
        <f t="shared" si="19"/>
        <v>19.77</v>
      </c>
      <c r="AH110" s="157">
        <f t="shared" si="13"/>
        <v>788.75</v>
      </c>
      <c r="AI110"/>
      <c r="AJ110" s="3"/>
      <c r="AK110" s="164"/>
      <c r="AL110" s="22"/>
      <c r="AM110" s="21"/>
      <c r="AN110" s="23"/>
      <c r="AO110" s="10"/>
      <c r="AP110" s="5">
        <f t="shared" si="20"/>
        <v>104</v>
      </c>
      <c r="AQ110" s="7">
        <f t="shared" si="21"/>
        <v>77</v>
      </c>
      <c r="AR110" s="8">
        <f t="shared" si="14"/>
        <v>2017</v>
      </c>
      <c r="AS110" s="31">
        <f>IF(AT110=0,"",IF(_Ijour1=0,MIN(DATE(YEAR(_DebAmort1),MONTH(_DebAmort1)+_MoisD1+(AP110-1)*_Imois1,__Jou2),DATE(YEAR(_DebAmort1),MONTH(_DebAmort1)+_MoisD1+1+(AP110-1)*_Imois1,0)),DATE(YEAR(_DebAmort1),MONTH(_DebAmort1),__Jou1+(AP110-1)*_Ijour1)))</f>
        <v>42948</v>
      </c>
      <c r="AT110" s="156">
        <f t="shared" si="22"/>
        <v>187250</v>
      </c>
      <c r="AU110" s="153">
        <f>IF(AP110&lt;=_NoEchMaxi1,ROUND(AT110*'Données Projet 1'!H119,_NbDeci1),0)</f>
        <v>156.04</v>
      </c>
      <c r="AV110" s="152">
        <f>IF(OR(AP110&lt;=_Différé1,AP110&gt;_NoEchMaxi1),IF(_DiffTotal1,-AU110,0),IF(AP110&gt;=_NoEchRemb1,AT110,IF('Données Projet 1'!I119-(AU110*_EchFIXE1)&gt;AT110-2,AT110,'Données Projet 1'!I119-(AU110*_EchFIXE1))))+AK110</f>
        <v>0</v>
      </c>
      <c r="AW110" s="154">
        <f t="shared" si="23"/>
        <v>15.6</v>
      </c>
      <c r="AX110" s="157">
        <f t="shared" si="15"/>
        <v>171.64</v>
      </c>
    </row>
    <row r="111" spans="8:50" ht="15.75" customHeight="1" x14ac:dyDescent="0.3">
      <c r="H111" s="412"/>
      <c r="I111" s="413"/>
      <c r="K111" s="413"/>
      <c r="L111" s="413"/>
      <c r="M111" s="516">
        <f>SUM(M106:M110)</f>
        <v>231.89095999999995</v>
      </c>
      <c r="T111" s="3"/>
      <c r="U111" s="164"/>
      <c r="V111" s="22"/>
      <c r="W111" s="21"/>
      <c r="X111" s="23"/>
      <c r="Y111" s="10"/>
      <c r="Z111" s="5">
        <f t="shared" si="16"/>
        <v>105</v>
      </c>
      <c r="AA111" s="7">
        <f t="shared" si="17"/>
        <v>316</v>
      </c>
      <c r="AB111" s="8">
        <f t="shared" si="12"/>
        <v>2017</v>
      </c>
      <c r="AC111" s="31">
        <f>IF(AD111=0,"",IF(_Ijour=0,MIN(DATE(YEAR(_DebAmort),MONTH(_DebAmort)+(Z111-1)*_Imois,_Jour1),DATE(YEAR(_DebAmort),MONTH(_DebAmort)+1+(Z111-1)*_Imois,0)),DATE(YEAR(_DebAmort),MONTH(_DebAmort),_Jour1+(Z111-1)*_Ijour)))</f>
        <v>42979</v>
      </c>
      <c r="AD111" s="156">
        <f t="shared" si="18"/>
        <v>192007.08000000002</v>
      </c>
      <c r="AE111" s="153">
        <f>IF(Z111&lt;=_NoEchMaxi,ROUND(AD111*'Données Projet 1'!A120,_NbDeci),0)</f>
        <v>297.61</v>
      </c>
      <c r="AF111" s="152">
        <f>IF(OR(Z111&lt;=_Différé,Z111&gt;_NoEchMaxi),IF(_DiffTotal,-AE111,0),IF(Z111&gt;=_NoEchRemb,AD111,IF('Données Projet 1'!B120-(AE111*_EchFIXE)&gt;AD111-2,AD111,'Données Projet 1'!B120-(AE111*_EchFIXE))))+U111</f>
        <v>471.37</v>
      </c>
      <c r="AG111" s="154">
        <f t="shared" si="19"/>
        <v>19.77</v>
      </c>
      <c r="AH111" s="157">
        <f t="shared" si="13"/>
        <v>788.75</v>
      </c>
      <c r="AI111"/>
      <c r="AJ111" s="3"/>
      <c r="AK111" s="164"/>
      <c r="AL111" s="22"/>
      <c r="AM111" s="21"/>
      <c r="AN111" s="23"/>
      <c r="AO111" s="10"/>
      <c r="AP111" s="5">
        <f t="shared" si="20"/>
        <v>105</v>
      </c>
      <c r="AQ111" s="7">
        <f t="shared" si="21"/>
        <v>76</v>
      </c>
      <c r="AR111" s="8">
        <f t="shared" si="14"/>
        <v>2017</v>
      </c>
      <c r="AS111" s="31">
        <f>IF(AT111=0,"",IF(_Ijour1=0,MIN(DATE(YEAR(_DebAmort1),MONTH(_DebAmort1)+(AP111-1)*_Imois1,__Jou1),DATE(YEAR(_DebAmort1),MONTH(_DebAmort1)+1+(AP111-1)*_Imois1,0)),DATE(YEAR(_DebAmort1),MONTH(_DebAmort1),__Jou1+(AP111-1)*_Ijour1)))</f>
        <v>42979</v>
      </c>
      <c r="AT111" s="156">
        <f t="shared" si="22"/>
        <v>187250</v>
      </c>
      <c r="AU111" s="153">
        <f>IF(AP111&lt;=_NoEchMaxi1,ROUND(AT111*'Données Projet 1'!H120,_NbDeci1),0)</f>
        <v>156.04</v>
      </c>
      <c r="AV111" s="152">
        <f>IF(OR(AP111&lt;=_Différé1,AP111&gt;_NoEchMaxi1),IF(_DiffTotal1,-AU111,0),IF(AP111&gt;=_NoEchRemb1,AT111,IF('Données Projet 1'!I120-(AU111*_EchFIXE1)&gt;AT111-2,AT111,'Données Projet 1'!I120-(AU111*_EchFIXE1))))+AK111</f>
        <v>0</v>
      </c>
      <c r="AW111" s="154">
        <f t="shared" si="23"/>
        <v>15.6</v>
      </c>
      <c r="AX111" s="157">
        <f t="shared" si="15"/>
        <v>171.64</v>
      </c>
    </row>
    <row r="112" spans="8:50" ht="15.75" customHeight="1" x14ac:dyDescent="0.3">
      <c r="H112" s="549" t="s">
        <v>365</v>
      </c>
      <c r="I112" s="549"/>
      <c r="J112" s="549"/>
      <c r="K112" s="549"/>
      <c r="L112" s="549"/>
      <c r="M112" s="549"/>
      <c r="T112" s="3"/>
      <c r="U112" s="164"/>
      <c r="V112" s="22"/>
      <c r="W112" s="21"/>
      <c r="X112" s="23"/>
      <c r="Y112" s="10"/>
      <c r="Z112" s="5">
        <f t="shared" si="16"/>
        <v>106</v>
      </c>
      <c r="AA112" s="7">
        <f t="shared" si="17"/>
        <v>315</v>
      </c>
      <c r="AB112" s="8">
        <f t="shared" si="12"/>
        <v>2017</v>
      </c>
      <c r="AC112" s="31">
        <f>IF(AD112=0,"",IF(_Ijour=0,MIN(DATE(YEAR(_DebAmort),MONTH(_DebAmort)+_MoisD+(Z112-1)*_Imois,_Jour2),DATE(YEAR(_DebAmort),MONTH(_DebAmort)+_MoisD+1+(Z112-1)*_Imois,0)),DATE(YEAR(_DebAmort),MONTH(_DebAmort),_Jour1+(Z112-1)*_Ijour)))</f>
        <v>43009</v>
      </c>
      <c r="AD112" s="156">
        <f t="shared" si="18"/>
        <v>191535.71000000002</v>
      </c>
      <c r="AE112" s="153">
        <f>IF(Z112&lt;=_NoEchMaxi,ROUND(AD112*'Données Projet 1'!A121,_NbDeci),0)</f>
        <v>296.88</v>
      </c>
      <c r="AF112" s="152">
        <f>IF(OR(Z112&lt;=_Différé,Z112&gt;_NoEchMaxi),IF(_DiffTotal,-AE112,0),IF(Z112&gt;=_NoEchRemb,AD112,IF('Données Projet 1'!B121-(AE112*_EchFIXE)&gt;AD112-2,AD112,'Données Projet 1'!B121-(AE112*_EchFIXE))))+U112</f>
        <v>472.1</v>
      </c>
      <c r="AG112" s="154">
        <f t="shared" si="19"/>
        <v>19.77</v>
      </c>
      <c r="AH112" s="157">
        <f t="shared" si="13"/>
        <v>788.75</v>
      </c>
      <c r="AI112"/>
      <c r="AJ112" s="3"/>
      <c r="AK112" s="164"/>
      <c r="AL112" s="22"/>
      <c r="AM112" s="21"/>
      <c r="AN112" s="23"/>
      <c r="AO112" s="10"/>
      <c r="AP112" s="5">
        <f t="shared" si="20"/>
        <v>106</v>
      </c>
      <c r="AQ112" s="7">
        <f t="shared" si="21"/>
        <v>75</v>
      </c>
      <c r="AR112" s="8">
        <f t="shared" si="14"/>
        <v>2017</v>
      </c>
      <c r="AS112" s="31">
        <f>IF(AT112=0,"",IF(_Ijour1=0,MIN(DATE(YEAR(_DebAmort1),MONTH(_DebAmort1)+_MoisD1+(AP112-1)*_Imois1,__Jou2),DATE(YEAR(_DebAmort1),MONTH(_DebAmort1)+_MoisD1+1+(AP112-1)*_Imois1,0)),DATE(YEAR(_DebAmort1),MONTH(_DebAmort1),__Jou1+(AP112-1)*_Ijour1)))</f>
        <v>43009</v>
      </c>
      <c r="AT112" s="156">
        <f t="shared" si="22"/>
        <v>187250</v>
      </c>
      <c r="AU112" s="153">
        <f>IF(AP112&lt;=_NoEchMaxi1,ROUND(AT112*'Données Projet 1'!H121,_NbDeci1),0)</f>
        <v>156.04</v>
      </c>
      <c r="AV112" s="152">
        <f>IF(OR(AP112&lt;=_Différé1,AP112&gt;_NoEchMaxi1),IF(_DiffTotal1,-AU112,0),IF(AP112&gt;=_NoEchRemb1,AT112,IF('Données Projet 1'!I121-(AU112*_EchFIXE1)&gt;AT112-2,AT112,'Données Projet 1'!I121-(AU112*_EchFIXE1))))+AK112</f>
        <v>0</v>
      </c>
      <c r="AW112" s="154">
        <f t="shared" si="23"/>
        <v>15.6</v>
      </c>
      <c r="AX112" s="157">
        <f t="shared" si="15"/>
        <v>171.64</v>
      </c>
    </row>
    <row r="113" spans="8:50" ht="15.75" customHeight="1" x14ac:dyDescent="0.3">
      <c r="H113" s="512" t="s">
        <v>293</v>
      </c>
      <c r="I113" s="546" t="s">
        <v>284</v>
      </c>
      <c r="J113" s="546"/>
      <c r="K113" s="517" t="s">
        <v>285</v>
      </c>
      <c r="L113" s="517" t="s">
        <v>286</v>
      </c>
      <c r="M113" s="512" t="s">
        <v>287</v>
      </c>
      <c r="T113" s="3"/>
      <c r="U113" s="164"/>
      <c r="V113" s="22"/>
      <c r="W113" s="21"/>
      <c r="X113" s="23"/>
      <c r="Y113" s="10"/>
      <c r="Z113" s="5">
        <f t="shared" si="16"/>
        <v>107</v>
      </c>
      <c r="AA113" s="7">
        <f t="shared" si="17"/>
        <v>314</v>
      </c>
      <c r="AB113" s="8">
        <f t="shared" si="12"/>
        <v>2017</v>
      </c>
      <c r="AC113" s="31">
        <f>IF(AD113=0,"",IF(_Ijour=0,MIN(DATE(YEAR(_DebAmort),MONTH(_DebAmort)+(Z113-1)*_Imois,_Jour1),DATE(YEAR(_DebAmort),MONTH(_DebAmort)+1+(Z113-1)*_Imois,0)),DATE(YEAR(_DebAmort),MONTH(_DebAmort),_Jour1+(Z113-1)*_Ijour)))</f>
        <v>43040</v>
      </c>
      <c r="AD113" s="156">
        <f t="shared" si="18"/>
        <v>191063.61000000002</v>
      </c>
      <c r="AE113" s="153">
        <f>IF(Z113&lt;=_NoEchMaxi,ROUND(AD113*'Données Projet 1'!A122,_NbDeci),0)</f>
        <v>296.14999999999998</v>
      </c>
      <c r="AF113" s="152">
        <f>IF(OR(Z113&lt;=_Différé,Z113&gt;_NoEchMaxi),IF(_DiffTotal,-AE113,0),IF(Z113&gt;=_NoEchRemb,AD113,IF('Données Projet 1'!B122-(AE113*_EchFIXE)&gt;AD113-2,AD113,'Données Projet 1'!B122-(AE113*_EchFIXE))))+U113</f>
        <v>472.83000000000004</v>
      </c>
      <c r="AG113" s="154">
        <f t="shared" si="19"/>
        <v>19.77</v>
      </c>
      <c r="AH113" s="157">
        <f t="shared" si="13"/>
        <v>788.75</v>
      </c>
      <c r="AI113"/>
      <c r="AJ113" s="3"/>
      <c r="AK113" s="164"/>
      <c r="AL113" s="22"/>
      <c r="AM113" s="21"/>
      <c r="AN113" s="23"/>
      <c r="AO113" s="10"/>
      <c r="AP113" s="5">
        <f t="shared" si="20"/>
        <v>107</v>
      </c>
      <c r="AQ113" s="7">
        <f t="shared" si="21"/>
        <v>74</v>
      </c>
      <c r="AR113" s="8">
        <f t="shared" si="14"/>
        <v>2017</v>
      </c>
      <c r="AS113" s="31">
        <f>IF(AT113=0,"",IF(_Ijour1=0,MIN(DATE(YEAR(_DebAmort1),MONTH(_DebAmort1)+(AP113-1)*_Imois1,__Jou1),DATE(YEAR(_DebAmort1),MONTH(_DebAmort1)+1+(AP113-1)*_Imois1,0)),DATE(YEAR(_DebAmort1),MONTH(_DebAmort1),__Jou1+(AP113-1)*_Ijour1)))</f>
        <v>43040</v>
      </c>
      <c r="AT113" s="156">
        <f t="shared" si="22"/>
        <v>187250</v>
      </c>
      <c r="AU113" s="153">
        <f>IF(AP113&lt;=_NoEchMaxi1,ROUND(AT113*'Données Projet 1'!H122,_NbDeci1),0)</f>
        <v>156.04</v>
      </c>
      <c r="AV113" s="152">
        <f>IF(OR(AP113&lt;=_Différé1,AP113&gt;_NoEchMaxi1),IF(_DiffTotal1,-AU113,0),IF(AP113&gt;=_NoEchRemb1,AT113,IF('Données Projet 1'!I122-(AU113*_EchFIXE1)&gt;AT113-2,AT113,'Données Projet 1'!I122-(AU113*_EchFIXE1))))+AK113</f>
        <v>0</v>
      </c>
      <c r="AW113" s="154">
        <f t="shared" si="23"/>
        <v>15.6</v>
      </c>
      <c r="AX113" s="157">
        <f t="shared" si="15"/>
        <v>171.64</v>
      </c>
    </row>
    <row r="114" spans="8:50" ht="15.75" customHeight="1" x14ac:dyDescent="0.3">
      <c r="H114" s="314" t="s">
        <v>295</v>
      </c>
      <c r="I114" s="315">
        <v>0</v>
      </c>
      <c r="J114" s="315">
        <v>9807</v>
      </c>
      <c r="K114" s="316">
        <f>+IF('TAM Projet 1'!J119&gt;J114,J114,'TAM Projet 1'!J119)</f>
        <v>9807</v>
      </c>
      <c r="L114" s="317">
        <v>0</v>
      </c>
      <c r="M114" s="316">
        <v>0</v>
      </c>
      <c r="T114" s="3"/>
      <c r="U114" s="164"/>
      <c r="V114" s="22"/>
      <c r="W114" s="21"/>
      <c r="X114" s="23"/>
      <c r="Y114" s="10"/>
      <c r="Z114" s="5">
        <f t="shared" si="16"/>
        <v>108</v>
      </c>
      <c r="AA114" s="7">
        <f t="shared" si="17"/>
        <v>313</v>
      </c>
      <c r="AB114" s="8">
        <f t="shared" si="12"/>
        <v>2017</v>
      </c>
      <c r="AC114" s="31">
        <f>IF(AD114=0,"",IF(_Ijour=0,MIN(DATE(YEAR(_DebAmort),MONTH(_DebAmort)+_MoisD+(Z114-1)*_Imois,_Jour2),DATE(YEAR(_DebAmort),MONTH(_DebAmort)+_MoisD+1+(Z114-1)*_Imois,0)),DATE(YEAR(_DebAmort),MONTH(_DebAmort),_Jour1+(Z114-1)*_Ijour)))</f>
        <v>43070</v>
      </c>
      <c r="AD114" s="156">
        <f t="shared" si="18"/>
        <v>190590.78000000003</v>
      </c>
      <c r="AE114" s="153">
        <f>IF(Z114&lt;=_NoEchMaxi,ROUND(AD114*'Données Projet 1'!A123,_NbDeci),0)</f>
        <v>295.42</v>
      </c>
      <c r="AF114" s="152">
        <f>IF(OR(Z114&lt;=_Différé,Z114&gt;_NoEchMaxi),IF(_DiffTotal,-AE114,0),IF(Z114&gt;=_NoEchRemb,AD114,IF('Données Projet 1'!B123-(AE114*_EchFIXE)&gt;AD114-2,AD114,'Données Projet 1'!B123-(AE114*_EchFIXE))))+U114</f>
        <v>473.56</v>
      </c>
      <c r="AG114" s="154">
        <f t="shared" si="19"/>
        <v>19.77</v>
      </c>
      <c r="AH114" s="157">
        <f t="shared" si="13"/>
        <v>788.75</v>
      </c>
      <c r="AI114"/>
      <c r="AJ114" s="3"/>
      <c r="AK114" s="164"/>
      <c r="AL114" s="22"/>
      <c r="AM114" s="21"/>
      <c r="AN114" s="23"/>
      <c r="AO114" s="10"/>
      <c r="AP114" s="5">
        <f t="shared" si="20"/>
        <v>108</v>
      </c>
      <c r="AQ114" s="7">
        <f t="shared" si="21"/>
        <v>73</v>
      </c>
      <c r="AR114" s="8">
        <f t="shared" si="14"/>
        <v>2017</v>
      </c>
      <c r="AS114" s="31">
        <f>IF(AT114=0,"",IF(_Ijour1=0,MIN(DATE(YEAR(_DebAmort1),MONTH(_DebAmort1)+_MoisD1+(AP114-1)*_Imois1,__Jou2),DATE(YEAR(_DebAmort1),MONTH(_DebAmort1)+_MoisD1+1+(AP114-1)*_Imois1,0)),DATE(YEAR(_DebAmort1),MONTH(_DebAmort1),__Jou1+(AP114-1)*_Ijour1)))</f>
        <v>43070</v>
      </c>
      <c r="AT114" s="156">
        <f t="shared" si="22"/>
        <v>187250</v>
      </c>
      <c r="AU114" s="153">
        <f>IF(AP114&lt;=_NoEchMaxi1,ROUND(AT114*'Données Projet 1'!H123,_NbDeci1),0)</f>
        <v>156.04</v>
      </c>
      <c r="AV114" s="152">
        <f>IF(OR(AP114&lt;=_Différé1,AP114&gt;_NoEchMaxi1),IF(_DiffTotal1,-AU114,0),IF(AP114&gt;=_NoEchRemb1,AT114,IF('Données Projet 1'!I123-(AU114*_EchFIXE1)&gt;AT114-2,AT114,'Données Projet 1'!I123-(AU114*_EchFIXE1))))+AK114</f>
        <v>0</v>
      </c>
      <c r="AW114" s="154">
        <f t="shared" si="23"/>
        <v>15.6</v>
      </c>
      <c r="AX114" s="157">
        <f t="shared" si="15"/>
        <v>171.64</v>
      </c>
    </row>
    <row r="115" spans="8:50" ht="15.75" customHeight="1" x14ac:dyDescent="0.3">
      <c r="H115" s="314" t="s">
        <v>297</v>
      </c>
      <c r="I115" s="315">
        <v>9808</v>
      </c>
      <c r="J115" s="315">
        <v>27086</v>
      </c>
      <c r="K115" s="316">
        <f>IF('TAM Projet 1'!$J$119&lt;I115,0,IF('TAM Projet 1'!$J$119&lt;=J115,'TAM Projet 1'!$J$119-J114,J115-J114))</f>
        <v>4522.2049999999999</v>
      </c>
      <c r="L115" s="317">
        <v>0.14000000000000001</v>
      </c>
      <c r="M115" s="316">
        <f>SUM(K115*L115)</f>
        <v>633.1087</v>
      </c>
      <c r="T115" s="3"/>
      <c r="U115" s="164"/>
      <c r="V115" s="22"/>
      <c r="W115" s="21"/>
      <c r="X115" s="23"/>
      <c r="Y115" s="10"/>
      <c r="Z115" s="5">
        <f t="shared" si="16"/>
        <v>109</v>
      </c>
      <c r="AA115" s="7">
        <f t="shared" si="17"/>
        <v>312</v>
      </c>
      <c r="AB115" s="8">
        <f t="shared" si="12"/>
        <v>2018</v>
      </c>
      <c r="AC115" s="31">
        <f>IF(AD115=0,"",IF(_Ijour=0,MIN(DATE(YEAR(_DebAmort),MONTH(_DebAmort)+(Z115-1)*_Imois,_Jour1),DATE(YEAR(_DebAmort),MONTH(_DebAmort)+1+(Z115-1)*_Imois,0)),DATE(YEAR(_DebAmort),MONTH(_DebAmort),_Jour1+(Z115-1)*_Ijour)))</f>
        <v>43101</v>
      </c>
      <c r="AD115" s="156">
        <f t="shared" si="18"/>
        <v>190117.22000000003</v>
      </c>
      <c r="AE115" s="153">
        <f>IF(Z115&lt;=_NoEchMaxi,ROUND(AD115*'Données Projet 1'!A124,_NbDeci),0)</f>
        <v>294.68</v>
      </c>
      <c r="AF115" s="152">
        <f>IF(OR(Z115&lt;=_Différé,Z115&gt;_NoEchMaxi),IF(_DiffTotal,-AE115,0),IF(Z115&gt;=_NoEchRemb,AD115,IF('Données Projet 1'!B124-(AE115*_EchFIXE)&gt;AD115-2,AD115,'Données Projet 1'!B124-(AE115*_EchFIXE))))+U115</f>
        <v>474.3</v>
      </c>
      <c r="AG115" s="154">
        <f t="shared" si="19"/>
        <v>19.77</v>
      </c>
      <c r="AH115" s="157">
        <f t="shared" si="13"/>
        <v>788.75</v>
      </c>
      <c r="AI115"/>
      <c r="AJ115" s="3"/>
      <c r="AK115" s="164"/>
      <c r="AL115" s="22"/>
      <c r="AM115" s="21"/>
      <c r="AN115" s="23"/>
      <c r="AO115" s="10"/>
      <c r="AP115" s="5">
        <f t="shared" si="20"/>
        <v>109</v>
      </c>
      <c r="AQ115" s="7">
        <f t="shared" si="21"/>
        <v>72</v>
      </c>
      <c r="AR115" s="8">
        <f t="shared" si="14"/>
        <v>2018</v>
      </c>
      <c r="AS115" s="31">
        <f>IF(AT115=0,"",IF(_Ijour1=0,MIN(DATE(YEAR(_DebAmort1),MONTH(_DebAmort1)+(AP115-1)*_Imois1,__Jou1),DATE(YEAR(_DebAmort1),MONTH(_DebAmort1)+1+(AP115-1)*_Imois1,0)),DATE(YEAR(_DebAmort1),MONTH(_DebAmort1),__Jou1+(AP115-1)*_Ijour1)))</f>
        <v>43101</v>
      </c>
      <c r="AT115" s="156">
        <f t="shared" si="22"/>
        <v>187250</v>
      </c>
      <c r="AU115" s="153">
        <f>IF(AP115&lt;=_NoEchMaxi1,ROUND(AT115*'Données Projet 1'!H124,_NbDeci1),0)</f>
        <v>156.04</v>
      </c>
      <c r="AV115" s="152">
        <f>IF(OR(AP115&lt;=_Différé1,AP115&gt;_NoEchMaxi1),IF(_DiffTotal1,-AU115,0),IF(AP115&gt;=_NoEchRemb1,AT115,IF('Données Projet 1'!I124-(AU115*_EchFIXE1)&gt;AT115-2,AT115,'Données Projet 1'!I124-(AU115*_EchFIXE1))))+AK115</f>
        <v>0</v>
      </c>
      <c r="AW115" s="154">
        <f t="shared" si="23"/>
        <v>15.6</v>
      </c>
      <c r="AX115" s="157">
        <f t="shared" si="15"/>
        <v>171.64</v>
      </c>
    </row>
    <row r="116" spans="8:50" ht="15.75" customHeight="1" x14ac:dyDescent="0.3">
      <c r="H116" s="314" t="s">
        <v>299</v>
      </c>
      <c r="I116" s="315">
        <v>27087</v>
      </c>
      <c r="J116" s="315">
        <v>72617</v>
      </c>
      <c r="K116" s="316">
        <f>IF('TAM Projet 1'!$J$119&lt;I116,0,IF('TAM Projet 1'!$J$119&lt;=J116,'TAM Projet 1'!$J$119-J115,J116-J115))</f>
        <v>0</v>
      </c>
      <c r="L116" s="317">
        <v>0.3</v>
      </c>
      <c r="M116" s="316">
        <f>SUM(K116*L116)</f>
        <v>0</v>
      </c>
      <c r="T116" s="3"/>
      <c r="U116" s="164"/>
      <c r="V116" s="22"/>
      <c r="W116" s="21"/>
      <c r="X116" s="23"/>
      <c r="Y116" s="10"/>
      <c r="Z116" s="5">
        <f t="shared" si="16"/>
        <v>110</v>
      </c>
      <c r="AA116" s="7">
        <f t="shared" si="17"/>
        <v>311</v>
      </c>
      <c r="AB116" s="8">
        <f t="shared" si="12"/>
        <v>2018</v>
      </c>
      <c r="AC116" s="31">
        <f>IF(AD116=0,"",IF(_Ijour=0,MIN(DATE(YEAR(_DebAmort),MONTH(_DebAmort)+_MoisD+(Z116-1)*_Imois,_Jour2),DATE(YEAR(_DebAmort),MONTH(_DebAmort)+_MoisD+1+(Z116-1)*_Imois,0)),DATE(YEAR(_DebAmort),MONTH(_DebAmort),_Jour1+(Z116-1)*_Ijour)))</f>
        <v>43132</v>
      </c>
      <c r="AD116" s="156">
        <f t="shared" si="18"/>
        <v>189642.92000000004</v>
      </c>
      <c r="AE116" s="153">
        <f>IF(Z116&lt;=_NoEchMaxi,ROUND(AD116*'Données Projet 1'!A125,_NbDeci),0)</f>
        <v>293.95</v>
      </c>
      <c r="AF116" s="152">
        <f>IF(OR(Z116&lt;=_Différé,Z116&gt;_NoEchMaxi),IF(_DiffTotal,-AE116,0),IF(Z116&gt;=_NoEchRemb,AD116,IF('Données Projet 1'!B125-(AE116*_EchFIXE)&gt;AD116-2,AD116,'Données Projet 1'!B125-(AE116*_EchFIXE))))+U116</f>
        <v>475.03000000000003</v>
      </c>
      <c r="AG116" s="154">
        <f t="shared" si="19"/>
        <v>19.77</v>
      </c>
      <c r="AH116" s="157">
        <f t="shared" si="13"/>
        <v>788.75</v>
      </c>
      <c r="AI116"/>
      <c r="AJ116" s="3"/>
      <c r="AK116" s="164"/>
      <c r="AL116" s="22"/>
      <c r="AM116" s="21"/>
      <c r="AN116" s="23"/>
      <c r="AO116" s="10"/>
      <c r="AP116" s="5">
        <f t="shared" si="20"/>
        <v>110</v>
      </c>
      <c r="AQ116" s="7">
        <f t="shared" si="21"/>
        <v>71</v>
      </c>
      <c r="AR116" s="8">
        <f t="shared" si="14"/>
        <v>2018</v>
      </c>
      <c r="AS116" s="31">
        <f>IF(AT116=0,"",IF(_Ijour1=0,MIN(DATE(YEAR(_DebAmort1),MONTH(_DebAmort1)+_MoisD1+(AP116-1)*_Imois1,__Jou2),DATE(YEAR(_DebAmort1),MONTH(_DebAmort1)+_MoisD1+1+(AP116-1)*_Imois1,0)),DATE(YEAR(_DebAmort1),MONTH(_DebAmort1),__Jou1+(AP116-1)*_Ijour1)))</f>
        <v>43132</v>
      </c>
      <c r="AT116" s="156">
        <f t="shared" si="22"/>
        <v>187250</v>
      </c>
      <c r="AU116" s="153">
        <f>IF(AP116&lt;=_NoEchMaxi1,ROUND(AT116*'Données Projet 1'!H125,_NbDeci1),0)</f>
        <v>156.04</v>
      </c>
      <c r="AV116" s="152">
        <f>IF(OR(AP116&lt;=_Différé1,AP116&gt;_NoEchMaxi1),IF(_DiffTotal1,-AU116,0),IF(AP116&gt;=_NoEchRemb1,AT116,IF('Données Projet 1'!I125-(AU116*_EchFIXE1)&gt;AT116-2,AT116,'Données Projet 1'!I125-(AU116*_EchFIXE1))))+AK116</f>
        <v>0</v>
      </c>
      <c r="AW116" s="154">
        <f t="shared" si="23"/>
        <v>15.6</v>
      </c>
      <c r="AX116" s="157">
        <f t="shared" si="15"/>
        <v>171.64</v>
      </c>
    </row>
    <row r="117" spans="8:50" ht="15.75" customHeight="1" x14ac:dyDescent="0.3">
      <c r="H117" s="314" t="s">
        <v>301</v>
      </c>
      <c r="I117" s="315">
        <v>72618</v>
      </c>
      <c r="J117" s="315">
        <v>153783</v>
      </c>
      <c r="K117" s="316">
        <f>IF('TAM Projet 1'!$J$119&lt;I117,0,IF('TAM Projet 1'!$J$119&lt;=J117,'TAM Projet 1'!$J$119-J116,J117-J116))</f>
        <v>0</v>
      </c>
      <c r="L117" s="317">
        <v>0.41</v>
      </c>
      <c r="M117" s="316">
        <f>SUM(K117*L117)</f>
        <v>0</v>
      </c>
      <c r="T117" s="3"/>
      <c r="U117" s="164"/>
      <c r="V117" s="22"/>
      <c r="W117" s="21"/>
      <c r="X117" s="23"/>
      <c r="Y117" s="10"/>
      <c r="Z117" s="5">
        <f t="shared" si="16"/>
        <v>111</v>
      </c>
      <c r="AA117" s="7">
        <f t="shared" si="17"/>
        <v>310</v>
      </c>
      <c r="AB117" s="8">
        <f t="shared" si="12"/>
        <v>2018</v>
      </c>
      <c r="AC117" s="31">
        <f>IF(AD117=0,"",IF(_Ijour=0,MIN(DATE(YEAR(_DebAmort),MONTH(_DebAmort)+(Z117-1)*_Imois,_Jour1),DATE(YEAR(_DebAmort),MONTH(_DebAmort)+1+(Z117-1)*_Imois,0)),DATE(YEAR(_DebAmort),MONTH(_DebAmort),_Jour1+(Z117-1)*_Ijour)))</f>
        <v>43160</v>
      </c>
      <c r="AD117" s="156">
        <f t="shared" si="18"/>
        <v>189167.89000000004</v>
      </c>
      <c r="AE117" s="153">
        <f>IF(Z117&lt;=_NoEchMaxi,ROUND(AD117*'Données Projet 1'!A126,_NbDeci),0)</f>
        <v>293.20999999999998</v>
      </c>
      <c r="AF117" s="152">
        <f>IF(OR(Z117&lt;=_Différé,Z117&gt;_NoEchMaxi),IF(_DiffTotal,-AE117,0),IF(Z117&gt;=_NoEchRemb,AD117,IF('Données Projet 1'!B126-(AE117*_EchFIXE)&gt;AD117-2,AD117,'Données Projet 1'!B126-(AE117*_EchFIXE))))+U117</f>
        <v>475.77000000000004</v>
      </c>
      <c r="AG117" s="154">
        <f t="shared" si="19"/>
        <v>19.77</v>
      </c>
      <c r="AH117" s="157">
        <f t="shared" si="13"/>
        <v>788.75</v>
      </c>
      <c r="AI117"/>
      <c r="AJ117" s="3"/>
      <c r="AK117" s="164"/>
      <c r="AL117" s="22"/>
      <c r="AM117" s="21"/>
      <c r="AN117" s="23"/>
      <c r="AO117" s="10"/>
      <c r="AP117" s="5">
        <f t="shared" si="20"/>
        <v>111</v>
      </c>
      <c r="AQ117" s="7">
        <f t="shared" si="21"/>
        <v>70</v>
      </c>
      <c r="AR117" s="8">
        <f t="shared" si="14"/>
        <v>2018</v>
      </c>
      <c r="AS117" s="31">
        <f>IF(AT117=0,"",IF(_Ijour1=0,MIN(DATE(YEAR(_DebAmort1),MONTH(_DebAmort1)+(AP117-1)*_Imois1,__Jou1),DATE(YEAR(_DebAmort1),MONTH(_DebAmort1)+1+(AP117-1)*_Imois1,0)),DATE(YEAR(_DebAmort1),MONTH(_DebAmort1),__Jou1+(AP117-1)*_Ijour1)))</f>
        <v>43160</v>
      </c>
      <c r="AT117" s="156">
        <f t="shared" si="22"/>
        <v>187250</v>
      </c>
      <c r="AU117" s="153">
        <f>IF(AP117&lt;=_NoEchMaxi1,ROUND(AT117*'Données Projet 1'!H126,_NbDeci1),0)</f>
        <v>156.04</v>
      </c>
      <c r="AV117" s="152">
        <f>IF(OR(AP117&lt;=_Différé1,AP117&gt;_NoEchMaxi1),IF(_DiffTotal1,-AU117,0),IF(AP117&gt;=_NoEchRemb1,AT117,IF('Données Projet 1'!I126-(AU117*_EchFIXE1)&gt;AT117-2,AT117,'Données Projet 1'!I126-(AU117*_EchFIXE1))))+AK117</f>
        <v>0</v>
      </c>
      <c r="AW117" s="154">
        <f t="shared" si="23"/>
        <v>15.6</v>
      </c>
      <c r="AX117" s="157">
        <f t="shared" si="15"/>
        <v>171.64</v>
      </c>
    </row>
    <row r="118" spans="8:50" ht="15.75" customHeight="1" x14ac:dyDescent="0.3">
      <c r="H118" s="314" t="s">
        <v>303</v>
      </c>
      <c r="I118" s="315"/>
      <c r="J118" s="315"/>
      <c r="K118" s="315"/>
      <c r="L118" s="317">
        <v>0.45</v>
      </c>
      <c r="M118" s="316"/>
      <c r="T118" s="3"/>
      <c r="U118" s="164"/>
      <c r="V118" s="22"/>
      <c r="W118" s="21"/>
      <c r="X118" s="23"/>
      <c r="Y118" s="10"/>
      <c r="Z118" s="5">
        <f t="shared" si="16"/>
        <v>112</v>
      </c>
      <c r="AA118" s="7">
        <f t="shared" si="17"/>
        <v>309</v>
      </c>
      <c r="AB118" s="8">
        <f t="shared" si="12"/>
        <v>2018</v>
      </c>
      <c r="AC118" s="31">
        <f>IF(AD118=0,"",IF(_Ijour=0,MIN(DATE(YEAR(_DebAmort),MONTH(_DebAmort)+_MoisD+(Z118-1)*_Imois,_Jour2),DATE(YEAR(_DebAmort),MONTH(_DebAmort)+_MoisD+1+(Z118-1)*_Imois,0)),DATE(YEAR(_DebAmort),MONTH(_DebAmort),_Jour1+(Z118-1)*_Ijour)))</f>
        <v>43191</v>
      </c>
      <c r="AD118" s="156">
        <f t="shared" si="18"/>
        <v>188692.12000000005</v>
      </c>
      <c r="AE118" s="153">
        <f>IF(Z118&lt;=_NoEchMaxi,ROUND(AD118*'Données Projet 1'!A127,_NbDeci),0)</f>
        <v>292.47000000000003</v>
      </c>
      <c r="AF118" s="152">
        <f>IF(OR(Z118&lt;=_Différé,Z118&gt;_NoEchMaxi),IF(_DiffTotal,-AE118,0),IF(Z118&gt;=_NoEchRemb,AD118,IF('Données Projet 1'!B127-(AE118*_EchFIXE)&gt;AD118-2,AD118,'Données Projet 1'!B127-(AE118*_EchFIXE))))+U118</f>
        <v>476.51</v>
      </c>
      <c r="AG118" s="154">
        <f t="shared" si="19"/>
        <v>19.77</v>
      </c>
      <c r="AH118" s="157">
        <f t="shared" si="13"/>
        <v>788.75</v>
      </c>
      <c r="AI118"/>
      <c r="AJ118" s="3"/>
      <c r="AK118" s="164"/>
      <c r="AL118" s="22"/>
      <c r="AM118" s="21"/>
      <c r="AN118" s="23"/>
      <c r="AO118" s="10"/>
      <c r="AP118" s="5">
        <f t="shared" si="20"/>
        <v>112</v>
      </c>
      <c r="AQ118" s="7">
        <f t="shared" si="21"/>
        <v>69</v>
      </c>
      <c r="AR118" s="8">
        <f t="shared" si="14"/>
        <v>2018</v>
      </c>
      <c r="AS118" s="31">
        <f>IF(AT118=0,"",IF(_Ijour1=0,MIN(DATE(YEAR(_DebAmort1),MONTH(_DebAmort1)+_MoisD1+(AP118-1)*_Imois1,__Jou2),DATE(YEAR(_DebAmort1),MONTH(_DebAmort1)+_MoisD1+1+(AP118-1)*_Imois1,0)),DATE(YEAR(_DebAmort1),MONTH(_DebAmort1),__Jou1+(AP118-1)*_Ijour1)))</f>
        <v>43191</v>
      </c>
      <c r="AT118" s="156">
        <f t="shared" si="22"/>
        <v>187250</v>
      </c>
      <c r="AU118" s="153">
        <f>IF(AP118&lt;=_NoEchMaxi1,ROUND(AT118*'Données Projet 1'!H127,_NbDeci1),0)</f>
        <v>156.04</v>
      </c>
      <c r="AV118" s="152">
        <f>IF(OR(AP118&lt;=_Différé1,AP118&gt;_NoEchMaxi1),IF(_DiffTotal1,-AU118,0),IF(AP118&gt;=_NoEchRemb1,AT118,IF('Données Projet 1'!I127-(AU118*_EchFIXE1)&gt;AT118-2,AT118,'Données Projet 1'!I127-(AU118*_EchFIXE1))))+AK118</f>
        <v>0</v>
      </c>
      <c r="AW118" s="154">
        <f t="shared" si="23"/>
        <v>15.6</v>
      </c>
      <c r="AX118" s="157">
        <f t="shared" si="15"/>
        <v>171.64</v>
      </c>
    </row>
    <row r="119" spans="8:50" ht="15.75" customHeight="1" x14ac:dyDescent="0.3">
      <c r="H119" s="412" t="s">
        <v>359</v>
      </c>
      <c r="I119" s="413"/>
      <c r="J119" s="421">
        <f>J30/2</f>
        <v>14329.205</v>
      </c>
      <c r="K119" s="413"/>
      <c r="L119" s="413"/>
      <c r="M119" s="516">
        <f>SUM(M114:M118)</f>
        <v>633.1087</v>
      </c>
      <c r="T119" s="3"/>
      <c r="U119" s="164"/>
      <c r="V119" s="22"/>
      <c r="W119" s="21"/>
      <c r="X119" s="23"/>
      <c r="Y119" s="10"/>
      <c r="Z119" s="5">
        <f t="shared" si="16"/>
        <v>113</v>
      </c>
      <c r="AA119" s="7">
        <f t="shared" si="17"/>
        <v>308</v>
      </c>
      <c r="AB119" s="8">
        <f t="shared" si="12"/>
        <v>2018</v>
      </c>
      <c r="AC119" s="31">
        <f>IF(AD119=0,"",IF(_Ijour=0,MIN(DATE(YEAR(_DebAmort),MONTH(_DebAmort)+(Z119-1)*_Imois,_Jour1),DATE(YEAR(_DebAmort),MONTH(_DebAmort)+1+(Z119-1)*_Imois,0)),DATE(YEAR(_DebAmort),MONTH(_DebAmort),_Jour1+(Z119-1)*_Ijour)))</f>
        <v>43221</v>
      </c>
      <c r="AD119" s="156">
        <f t="shared" si="18"/>
        <v>188215.61000000004</v>
      </c>
      <c r="AE119" s="153">
        <f>IF(Z119&lt;=_NoEchMaxi,ROUND(AD119*'Données Projet 1'!A128,_NbDeci),0)</f>
        <v>291.73</v>
      </c>
      <c r="AF119" s="152">
        <f>IF(OR(Z119&lt;=_Différé,Z119&gt;_NoEchMaxi),IF(_DiffTotal,-AE119,0),IF(Z119&gt;=_NoEchRemb,AD119,IF('Données Projet 1'!B128-(AE119*_EchFIXE)&gt;AD119-2,AD119,'Données Projet 1'!B128-(AE119*_EchFIXE))))+U119</f>
        <v>477.25</v>
      </c>
      <c r="AG119" s="154">
        <f t="shared" si="19"/>
        <v>19.77</v>
      </c>
      <c r="AH119" s="157">
        <f t="shared" si="13"/>
        <v>788.75</v>
      </c>
      <c r="AI119"/>
      <c r="AJ119" s="3"/>
      <c r="AK119" s="164"/>
      <c r="AL119" s="22"/>
      <c r="AM119" s="21"/>
      <c r="AN119" s="23"/>
      <c r="AO119" s="10"/>
      <c r="AP119" s="5">
        <f t="shared" si="20"/>
        <v>113</v>
      </c>
      <c r="AQ119" s="7">
        <f t="shared" si="21"/>
        <v>68</v>
      </c>
      <c r="AR119" s="8">
        <f t="shared" si="14"/>
        <v>2018</v>
      </c>
      <c r="AS119" s="31">
        <f>IF(AT119=0,"",IF(_Ijour1=0,MIN(DATE(YEAR(_DebAmort1),MONTH(_DebAmort1)+(AP119-1)*_Imois1,__Jou1),DATE(YEAR(_DebAmort1),MONTH(_DebAmort1)+1+(AP119-1)*_Imois1,0)),DATE(YEAR(_DebAmort1),MONTH(_DebAmort1),__Jou1+(AP119-1)*_Ijour1)))</f>
        <v>43221</v>
      </c>
      <c r="AT119" s="156">
        <f t="shared" si="22"/>
        <v>187250</v>
      </c>
      <c r="AU119" s="153">
        <f>IF(AP119&lt;=_NoEchMaxi1,ROUND(AT119*'Données Projet 1'!H128,_NbDeci1),0)</f>
        <v>156.04</v>
      </c>
      <c r="AV119" s="152">
        <f>IF(OR(AP119&lt;=_Différé1,AP119&gt;_NoEchMaxi1),IF(_DiffTotal1,-AU119,0),IF(AP119&gt;=_NoEchRemb1,AT119,IF('Données Projet 1'!I128-(AU119*_EchFIXE1)&gt;AT119-2,AT119,'Données Projet 1'!I128-(AU119*_EchFIXE1))))+AK119</f>
        <v>0</v>
      </c>
      <c r="AW119" s="154">
        <f t="shared" si="23"/>
        <v>15.6</v>
      </c>
      <c r="AX119" s="157">
        <f t="shared" si="15"/>
        <v>171.64</v>
      </c>
    </row>
    <row r="120" spans="8:50" ht="15.75" customHeight="1" x14ac:dyDescent="0.3">
      <c r="T120" s="3"/>
      <c r="U120" s="164"/>
      <c r="V120" s="22"/>
      <c r="W120" s="21"/>
      <c r="X120" s="23"/>
      <c r="Y120" s="10"/>
      <c r="Z120" s="5">
        <f t="shared" si="16"/>
        <v>114</v>
      </c>
      <c r="AA120" s="7">
        <f t="shared" si="17"/>
        <v>307</v>
      </c>
      <c r="AB120" s="8">
        <f t="shared" si="12"/>
        <v>2018</v>
      </c>
      <c r="AC120" s="31">
        <f>IF(AD120=0,"",IF(_Ijour=0,MIN(DATE(YEAR(_DebAmort),MONTH(_DebAmort)+_MoisD+(Z120-1)*_Imois,_Jour2),DATE(YEAR(_DebAmort),MONTH(_DebAmort)+_MoisD+1+(Z120-1)*_Imois,0)),DATE(YEAR(_DebAmort),MONTH(_DebAmort),_Jour1+(Z120-1)*_Ijour)))</f>
        <v>43252</v>
      </c>
      <c r="AD120" s="156">
        <f t="shared" si="18"/>
        <v>187738.36000000004</v>
      </c>
      <c r="AE120" s="153">
        <f>IF(Z120&lt;=_NoEchMaxi,ROUND(AD120*'Données Projet 1'!A129,_NbDeci),0)</f>
        <v>290.99</v>
      </c>
      <c r="AF120" s="152">
        <f>IF(OR(Z120&lt;=_Différé,Z120&gt;_NoEchMaxi),IF(_DiffTotal,-AE120,0),IF(Z120&gt;=_NoEchRemb,AD120,IF('Données Projet 1'!B129-(AE120*_EchFIXE)&gt;AD120-2,AD120,'Données Projet 1'!B129-(AE120*_EchFIXE))))+U120</f>
        <v>477.99</v>
      </c>
      <c r="AG120" s="154">
        <f t="shared" si="19"/>
        <v>19.77</v>
      </c>
      <c r="AH120" s="157">
        <f t="shared" si="13"/>
        <v>788.75</v>
      </c>
      <c r="AI120"/>
      <c r="AJ120" s="3"/>
      <c r="AK120" s="164"/>
      <c r="AL120" s="22"/>
      <c r="AM120" s="21"/>
      <c r="AN120" s="23"/>
      <c r="AO120" s="10"/>
      <c r="AP120" s="5">
        <f t="shared" si="20"/>
        <v>114</v>
      </c>
      <c r="AQ120" s="7">
        <f t="shared" si="21"/>
        <v>67</v>
      </c>
      <c r="AR120" s="8">
        <f t="shared" si="14"/>
        <v>2018</v>
      </c>
      <c r="AS120" s="31">
        <f>IF(AT120=0,"",IF(_Ijour1=0,MIN(DATE(YEAR(_DebAmort1),MONTH(_DebAmort1)+_MoisD1+(AP120-1)*_Imois1,__Jou2),DATE(YEAR(_DebAmort1),MONTH(_DebAmort1)+_MoisD1+1+(AP120-1)*_Imois1,0)),DATE(YEAR(_DebAmort1),MONTH(_DebAmort1),__Jou1+(AP120-1)*_Ijour1)))</f>
        <v>43252</v>
      </c>
      <c r="AT120" s="156">
        <f t="shared" si="22"/>
        <v>187250</v>
      </c>
      <c r="AU120" s="153">
        <f>IF(AP120&lt;=_NoEchMaxi1,ROUND(AT120*'Données Projet 1'!H129,_NbDeci1),0)</f>
        <v>156.04</v>
      </c>
      <c r="AV120" s="152">
        <f>IF(OR(AP120&lt;=_Différé1,AP120&gt;_NoEchMaxi1),IF(_DiffTotal1,-AU120,0),IF(AP120&gt;=_NoEchRemb1,AT120,IF('Données Projet 1'!I129-(AU120*_EchFIXE1)&gt;AT120-2,AT120,'Données Projet 1'!I129-(AU120*_EchFIXE1))))+AK120</f>
        <v>0</v>
      </c>
      <c r="AW120" s="154">
        <f t="shared" si="23"/>
        <v>15.6</v>
      </c>
      <c r="AX120" s="157">
        <f t="shared" si="15"/>
        <v>171.64</v>
      </c>
    </row>
    <row r="121" spans="8:50" ht="15.75" customHeight="1" x14ac:dyDescent="0.3">
      <c r="T121" s="3"/>
      <c r="U121" s="164"/>
      <c r="V121" s="22"/>
      <c r="W121" s="21"/>
      <c r="X121" s="23"/>
      <c r="Y121" s="10"/>
      <c r="Z121" s="5">
        <f t="shared" si="16"/>
        <v>115</v>
      </c>
      <c r="AA121" s="7">
        <f t="shared" si="17"/>
        <v>306</v>
      </c>
      <c r="AB121" s="8">
        <f t="shared" si="12"/>
        <v>2018</v>
      </c>
      <c r="AC121" s="31">
        <f>IF(AD121=0,"",IF(_Ijour=0,MIN(DATE(YEAR(_DebAmort),MONTH(_DebAmort)+(Z121-1)*_Imois,_Jour1),DATE(YEAR(_DebAmort),MONTH(_DebAmort)+1+(Z121-1)*_Imois,0)),DATE(YEAR(_DebAmort),MONTH(_DebAmort),_Jour1+(Z121-1)*_Ijour)))</f>
        <v>43282</v>
      </c>
      <c r="AD121" s="156">
        <f t="shared" si="18"/>
        <v>187260.37000000005</v>
      </c>
      <c r="AE121" s="153">
        <f>IF(Z121&lt;=_NoEchMaxi,ROUND(AD121*'Données Projet 1'!A130,_NbDeci),0)</f>
        <v>290.25</v>
      </c>
      <c r="AF121" s="152">
        <f>IF(OR(Z121&lt;=_Différé,Z121&gt;_NoEchMaxi),IF(_DiffTotal,-AE121,0),IF(Z121&gt;=_NoEchRemb,AD121,IF('Données Projet 1'!B130-(AE121*_EchFIXE)&gt;AD121-2,AD121,'Données Projet 1'!B130-(AE121*_EchFIXE))))+U121</f>
        <v>478.73</v>
      </c>
      <c r="AG121" s="154">
        <f t="shared" si="19"/>
        <v>19.77</v>
      </c>
      <c r="AH121" s="157">
        <f t="shared" si="13"/>
        <v>788.75</v>
      </c>
      <c r="AI121"/>
      <c r="AJ121" s="3"/>
      <c r="AK121" s="164"/>
      <c r="AL121" s="22"/>
      <c r="AM121" s="21"/>
      <c r="AN121" s="23"/>
      <c r="AO121" s="10"/>
      <c r="AP121" s="5">
        <f t="shared" si="20"/>
        <v>115</v>
      </c>
      <c r="AQ121" s="7">
        <f t="shared" si="21"/>
        <v>66</v>
      </c>
      <c r="AR121" s="8">
        <f t="shared" si="14"/>
        <v>2018</v>
      </c>
      <c r="AS121" s="31">
        <f>IF(AT121=0,"",IF(_Ijour1=0,MIN(DATE(YEAR(_DebAmort1),MONTH(_DebAmort1)+(AP121-1)*_Imois1,__Jou1),DATE(YEAR(_DebAmort1),MONTH(_DebAmort1)+1+(AP121-1)*_Imois1,0)),DATE(YEAR(_DebAmort1),MONTH(_DebAmort1),__Jou1+(AP121-1)*_Ijour1)))</f>
        <v>43282</v>
      </c>
      <c r="AT121" s="156">
        <f t="shared" si="22"/>
        <v>187250</v>
      </c>
      <c r="AU121" s="153">
        <f>IF(AP121&lt;=_NoEchMaxi1,ROUND(AT121*'Données Projet 1'!H130,_NbDeci1),0)</f>
        <v>156.04</v>
      </c>
      <c r="AV121" s="152">
        <f>IF(OR(AP121&lt;=_Différé1,AP121&gt;_NoEchMaxi1),IF(_DiffTotal1,-AU121,0),IF(AP121&gt;=_NoEchRemb1,AT121,IF('Données Projet 1'!I130-(AU121*_EchFIXE1)&gt;AT121-2,AT121,'Données Projet 1'!I130-(AU121*_EchFIXE1))))+AK121</f>
        <v>0</v>
      </c>
      <c r="AW121" s="154">
        <f t="shared" si="23"/>
        <v>15.6</v>
      </c>
      <c r="AX121" s="157">
        <f t="shared" si="15"/>
        <v>171.64</v>
      </c>
    </row>
    <row r="122" spans="8:50" ht="15.75" customHeight="1" x14ac:dyDescent="0.3">
      <c r="T122" s="3"/>
      <c r="U122" s="164"/>
      <c r="V122" s="22"/>
      <c r="W122" s="21"/>
      <c r="X122" s="23"/>
      <c r="Y122" s="10"/>
      <c r="Z122" s="5">
        <f t="shared" si="16"/>
        <v>116</v>
      </c>
      <c r="AA122" s="7">
        <f t="shared" si="17"/>
        <v>305</v>
      </c>
      <c r="AB122" s="8">
        <f t="shared" si="12"/>
        <v>2018</v>
      </c>
      <c r="AC122" s="31">
        <f>IF(AD122=0,"",IF(_Ijour=0,MIN(DATE(YEAR(_DebAmort),MONTH(_DebAmort)+_MoisD+(Z122-1)*_Imois,_Jour2),DATE(YEAR(_DebAmort),MONTH(_DebAmort)+_MoisD+1+(Z122-1)*_Imois,0)),DATE(YEAR(_DebAmort),MONTH(_DebAmort),_Jour1+(Z122-1)*_Ijour)))</f>
        <v>43313</v>
      </c>
      <c r="AD122" s="156">
        <f t="shared" si="18"/>
        <v>186781.64000000004</v>
      </c>
      <c r="AE122" s="153">
        <f>IF(Z122&lt;=_NoEchMaxi,ROUND(AD122*'Données Projet 1'!A131,_NbDeci),0)</f>
        <v>289.51</v>
      </c>
      <c r="AF122" s="152">
        <f>IF(OR(Z122&lt;=_Différé,Z122&gt;_NoEchMaxi),IF(_DiffTotal,-AE122,0),IF(Z122&gt;=_NoEchRemb,AD122,IF('Données Projet 1'!B131-(AE122*_EchFIXE)&gt;AD122-2,AD122,'Données Projet 1'!B131-(AE122*_EchFIXE))))+U122</f>
        <v>479.47</v>
      </c>
      <c r="AG122" s="154">
        <f t="shared" si="19"/>
        <v>19.77</v>
      </c>
      <c r="AH122" s="157">
        <f t="shared" si="13"/>
        <v>788.75</v>
      </c>
      <c r="AI122"/>
      <c r="AJ122" s="3"/>
      <c r="AK122" s="164"/>
      <c r="AL122" s="22"/>
      <c r="AM122" s="21"/>
      <c r="AN122" s="23"/>
      <c r="AO122" s="10"/>
      <c r="AP122" s="5">
        <f t="shared" si="20"/>
        <v>116</v>
      </c>
      <c r="AQ122" s="7">
        <f t="shared" si="21"/>
        <v>65</v>
      </c>
      <c r="AR122" s="8">
        <f t="shared" si="14"/>
        <v>2018</v>
      </c>
      <c r="AS122" s="31">
        <f>IF(AT122=0,"",IF(_Ijour1=0,MIN(DATE(YEAR(_DebAmort1),MONTH(_DebAmort1)+_MoisD1+(AP122-1)*_Imois1,__Jou2),DATE(YEAR(_DebAmort1),MONTH(_DebAmort1)+_MoisD1+1+(AP122-1)*_Imois1,0)),DATE(YEAR(_DebAmort1),MONTH(_DebAmort1),__Jou1+(AP122-1)*_Ijour1)))</f>
        <v>43313</v>
      </c>
      <c r="AT122" s="156">
        <f t="shared" si="22"/>
        <v>187250</v>
      </c>
      <c r="AU122" s="153">
        <f>IF(AP122&lt;=_NoEchMaxi1,ROUND(AT122*'Données Projet 1'!H131,_NbDeci1),0)</f>
        <v>156.04</v>
      </c>
      <c r="AV122" s="152">
        <f>IF(OR(AP122&lt;=_Différé1,AP122&gt;_NoEchMaxi1),IF(_DiffTotal1,-AU122,0),IF(AP122&gt;=_NoEchRemb1,AT122,IF('Données Projet 1'!I131-(AU122*_EchFIXE1)&gt;AT122-2,AT122,'Données Projet 1'!I131-(AU122*_EchFIXE1))))+AK122</f>
        <v>0</v>
      </c>
      <c r="AW122" s="154">
        <f t="shared" si="23"/>
        <v>15.6</v>
      </c>
      <c r="AX122" s="157">
        <f t="shared" si="15"/>
        <v>171.64</v>
      </c>
    </row>
    <row r="123" spans="8:50" ht="15.75" customHeight="1" x14ac:dyDescent="0.3">
      <c r="T123" s="3"/>
      <c r="U123" s="164"/>
      <c r="V123" s="22"/>
      <c r="W123" s="21"/>
      <c r="X123" s="23"/>
      <c r="Y123" s="10"/>
      <c r="Z123" s="5">
        <f t="shared" si="16"/>
        <v>117</v>
      </c>
      <c r="AA123" s="7">
        <f t="shared" si="17"/>
        <v>304</v>
      </c>
      <c r="AB123" s="8">
        <f t="shared" si="12"/>
        <v>2018</v>
      </c>
      <c r="AC123" s="31">
        <f>IF(AD123=0,"",IF(_Ijour=0,MIN(DATE(YEAR(_DebAmort),MONTH(_DebAmort)+(Z123-1)*_Imois,_Jour1),DATE(YEAR(_DebAmort),MONTH(_DebAmort)+1+(Z123-1)*_Imois,0)),DATE(YEAR(_DebAmort),MONTH(_DebAmort),_Jour1+(Z123-1)*_Ijour)))</f>
        <v>43344</v>
      </c>
      <c r="AD123" s="156">
        <f t="shared" si="18"/>
        <v>186302.17000000004</v>
      </c>
      <c r="AE123" s="153">
        <f>IF(Z123&lt;=_NoEchMaxi,ROUND(AD123*'Données Projet 1'!A132,_NbDeci),0)</f>
        <v>288.77</v>
      </c>
      <c r="AF123" s="152">
        <f>IF(OR(Z123&lt;=_Différé,Z123&gt;_NoEchMaxi),IF(_DiffTotal,-AE123,0),IF(Z123&gt;=_NoEchRemb,AD123,IF('Données Projet 1'!B132-(AE123*_EchFIXE)&gt;AD123-2,AD123,'Données Projet 1'!B132-(AE123*_EchFIXE))))+U123</f>
        <v>480.21000000000004</v>
      </c>
      <c r="AG123" s="154">
        <f t="shared" si="19"/>
        <v>19.77</v>
      </c>
      <c r="AH123" s="157">
        <f t="shared" si="13"/>
        <v>788.75</v>
      </c>
      <c r="AI123"/>
      <c r="AJ123" s="3"/>
      <c r="AK123" s="164"/>
      <c r="AL123" s="22"/>
      <c r="AM123" s="21"/>
      <c r="AN123" s="23"/>
      <c r="AO123" s="10"/>
      <c r="AP123" s="5">
        <f t="shared" si="20"/>
        <v>117</v>
      </c>
      <c r="AQ123" s="7">
        <f t="shared" si="21"/>
        <v>64</v>
      </c>
      <c r="AR123" s="8">
        <f t="shared" si="14"/>
        <v>2018</v>
      </c>
      <c r="AS123" s="31">
        <f>IF(AT123=0,"",IF(_Ijour1=0,MIN(DATE(YEAR(_DebAmort1),MONTH(_DebAmort1)+(AP123-1)*_Imois1,__Jou1),DATE(YEAR(_DebAmort1),MONTH(_DebAmort1)+1+(AP123-1)*_Imois1,0)),DATE(YEAR(_DebAmort1),MONTH(_DebAmort1),__Jou1+(AP123-1)*_Ijour1)))</f>
        <v>43344</v>
      </c>
      <c r="AT123" s="156">
        <f t="shared" si="22"/>
        <v>187250</v>
      </c>
      <c r="AU123" s="153">
        <f>IF(AP123&lt;=_NoEchMaxi1,ROUND(AT123*'Données Projet 1'!H132,_NbDeci1),0)</f>
        <v>156.04</v>
      </c>
      <c r="AV123" s="152">
        <f>IF(OR(AP123&lt;=_Différé1,AP123&gt;_NoEchMaxi1),IF(_DiffTotal1,-AU123,0),IF(AP123&gt;=_NoEchRemb1,AT123,IF('Données Projet 1'!I132-(AU123*_EchFIXE1)&gt;AT123-2,AT123,'Données Projet 1'!I132-(AU123*_EchFIXE1))))+AK123</f>
        <v>0</v>
      </c>
      <c r="AW123" s="154">
        <f t="shared" si="23"/>
        <v>15.6</v>
      </c>
      <c r="AX123" s="157">
        <f t="shared" si="15"/>
        <v>171.64</v>
      </c>
    </row>
    <row r="124" spans="8:50" ht="15.75" customHeight="1" x14ac:dyDescent="0.3">
      <c r="T124" s="3"/>
      <c r="U124" s="164"/>
      <c r="V124" s="22"/>
      <c r="W124" s="21"/>
      <c r="X124" s="23"/>
      <c r="Y124" s="10"/>
      <c r="Z124" s="5">
        <f t="shared" si="16"/>
        <v>118</v>
      </c>
      <c r="AA124" s="7">
        <f t="shared" si="17"/>
        <v>303</v>
      </c>
      <c r="AB124" s="8">
        <f t="shared" si="12"/>
        <v>2018</v>
      </c>
      <c r="AC124" s="31">
        <f>IF(AD124=0,"",IF(_Ijour=0,MIN(DATE(YEAR(_DebAmort),MONTH(_DebAmort)+_MoisD+(Z124-1)*_Imois,_Jour2),DATE(YEAR(_DebAmort),MONTH(_DebAmort)+_MoisD+1+(Z124-1)*_Imois,0)),DATE(YEAR(_DebAmort),MONTH(_DebAmort),_Jour1+(Z124-1)*_Ijour)))</f>
        <v>43374</v>
      </c>
      <c r="AD124" s="156">
        <f t="shared" si="18"/>
        <v>185821.96000000005</v>
      </c>
      <c r="AE124" s="153">
        <f>IF(Z124&lt;=_NoEchMaxi,ROUND(AD124*'Données Projet 1'!A133,_NbDeci),0)</f>
        <v>288.02</v>
      </c>
      <c r="AF124" s="152">
        <f>IF(OR(Z124&lt;=_Différé,Z124&gt;_NoEchMaxi),IF(_DiffTotal,-AE124,0),IF(Z124&gt;=_NoEchRemb,AD124,IF('Données Projet 1'!B133-(AE124*_EchFIXE)&gt;AD124-2,AD124,'Données Projet 1'!B133-(AE124*_EchFIXE))))+U124</f>
        <v>480.96000000000004</v>
      </c>
      <c r="AG124" s="154">
        <f t="shared" si="19"/>
        <v>19.77</v>
      </c>
      <c r="AH124" s="157">
        <f t="shared" si="13"/>
        <v>788.75</v>
      </c>
      <c r="AI124"/>
      <c r="AJ124" s="3"/>
      <c r="AK124" s="164"/>
      <c r="AL124" s="22"/>
      <c r="AM124" s="21"/>
      <c r="AN124" s="23"/>
      <c r="AO124" s="10"/>
      <c r="AP124" s="5">
        <f t="shared" si="20"/>
        <v>118</v>
      </c>
      <c r="AQ124" s="7">
        <f t="shared" si="21"/>
        <v>63</v>
      </c>
      <c r="AR124" s="8">
        <f t="shared" si="14"/>
        <v>2018</v>
      </c>
      <c r="AS124" s="31">
        <f>IF(AT124=0,"",IF(_Ijour1=0,MIN(DATE(YEAR(_DebAmort1),MONTH(_DebAmort1)+_MoisD1+(AP124-1)*_Imois1,__Jou2),DATE(YEAR(_DebAmort1),MONTH(_DebAmort1)+_MoisD1+1+(AP124-1)*_Imois1,0)),DATE(YEAR(_DebAmort1),MONTH(_DebAmort1),__Jou1+(AP124-1)*_Ijour1)))</f>
        <v>43374</v>
      </c>
      <c r="AT124" s="156">
        <f t="shared" si="22"/>
        <v>187250</v>
      </c>
      <c r="AU124" s="153">
        <f>IF(AP124&lt;=_NoEchMaxi1,ROUND(AT124*'Données Projet 1'!H133,_NbDeci1),0)</f>
        <v>156.04</v>
      </c>
      <c r="AV124" s="152">
        <f>IF(OR(AP124&lt;=_Différé1,AP124&gt;_NoEchMaxi1),IF(_DiffTotal1,-AU124,0),IF(AP124&gt;=_NoEchRemb1,AT124,IF('Données Projet 1'!I133-(AU124*_EchFIXE1)&gt;AT124-2,AT124,'Données Projet 1'!I133-(AU124*_EchFIXE1))))+AK124</f>
        <v>0</v>
      </c>
      <c r="AW124" s="154">
        <f t="shared" si="23"/>
        <v>15.6</v>
      </c>
      <c r="AX124" s="157">
        <f t="shared" si="15"/>
        <v>171.64</v>
      </c>
    </row>
    <row r="125" spans="8:50" ht="15.75" customHeight="1" x14ac:dyDescent="0.3">
      <c r="T125" s="3"/>
      <c r="U125" s="164"/>
      <c r="V125" s="22"/>
      <c r="W125" s="21"/>
      <c r="X125" s="23"/>
      <c r="Y125" s="10"/>
      <c r="Z125" s="5">
        <f t="shared" si="16"/>
        <v>119</v>
      </c>
      <c r="AA125" s="7">
        <f t="shared" si="17"/>
        <v>302</v>
      </c>
      <c r="AB125" s="8">
        <f t="shared" si="12"/>
        <v>2018</v>
      </c>
      <c r="AC125" s="31">
        <f>IF(AD125=0,"",IF(_Ijour=0,MIN(DATE(YEAR(_DebAmort),MONTH(_DebAmort)+(Z125-1)*_Imois,_Jour1),DATE(YEAR(_DebAmort),MONTH(_DebAmort)+1+(Z125-1)*_Imois,0)),DATE(YEAR(_DebAmort),MONTH(_DebAmort),_Jour1+(Z125-1)*_Ijour)))</f>
        <v>43405</v>
      </c>
      <c r="AD125" s="156">
        <f t="shared" si="18"/>
        <v>185341.00000000006</v>
      </c>
      <c r="AE125" s="153">
        <f>IF(Z125&lt;=_NoEchMaxi,ROUND(AD125*'Données Projet 1'!A134,_NbDeci),0)</f>
        <v>287.27999999999997</v>
      </c>
      <c r="AF125" s="152">
        <f>IF(OR(Z125&lt;=_Différé,Z125&gt;_NoEchMaxi),IF(_DiffTotal,-AE125,0),IF(Z125&gt;=_NoEchRemb,AD125,IF('Données Projet 1'!B134-(AE125*_EchFIXE)&gt;AD125-2,AD125,'Données Projet 1'!B134-(AE125*_EchFIXE))))+U125</f>
        <v>481.70000000000005</v>
      </c>
      <c r="AG125" s="154">
        <f t="shared" si="19"/>
        <v>19.77</v>
      </c>
      <c r="AH125" s="157">
        <f t="shared" si="13"/>
        <v>788.75</v>
      </c>
      <c r="AI125"/>
      <c r="AJ125" s="3"/>
      <c r="AK125" s="164"/>
      <c r="AL125" s="22"/>
      <c r="AM125" s="21"/>
      <c r="AN125" s="23"/>
      <c r="AO125" s="10"/>
      <c r="AP125" s="5">
        <f t="shared" si="20"/>
        <v>119</v>
      </c>
      <c r="AQ125" s="7">
        <f t="shared" si="21"/>
        <v>62</v>
      </c>
      <c r="AR125" s="8">
        <f t="shared" si="14"/>
        <v>2018</v>
      </c>
      <c r="AS125" s="31">
        <f>IF(AT125=0,"",IF(_Ijour1=0,MIN(DATE(YEAR(_DebAmort1),MONTH(_DebAmort1)+(AP125-1)*_Imois1,__Jou1),DATE(YEAR(_DebAmort1),MONTH(_DebAmort1)+1+(AP125-1)*_Imois1,0)),DATE(YEAR(_DebAmort1),MONTH(_DebAmort1),__Jou1+(AP125-1)*_Ijour1)))</f>
        <v>43405</v>
      </c>
      <c r="AT125" s="156">
        <f t="shared" si="22"/>
        <v>187250</v>
      </c>
      <c r="AU125" s="153">
        <f>IF(AP125&lt;=_NoEchMaxi1,ROUND(AT125*'Données Projet 1'!H134,_NbDeci1),0)</f>
        <v>156.04</v>
      </c>
      <c r="AV125" s="152">
        <f>IF(OR(AP125&lt;=_Différé1,AP125&gt;_NoEchMaxi1),IF(_DiffTotal1,-AU125,0),IF(AP125&gt;=_NoEchRemb1,AT125,IF('Données Projet 1'!I134-(AU125*_EchFIXE1)&gt;AT125-2,AT125,'Données Projet 1'!I134-(AU125*_EchFIXE1))))+AK125</f>
        <v>0</v>
      </c>
      <c r="AW125" s="154">
        <f t="shared" si="23"/>
        <v>15.6</v>
      </c>
      <c r="AX125" s="157">
        <f t="shared" si="15"/>
        <v>171.64</v>
      </c>
    </row>
    <row r="126" spans="8:50" ht="15.75" customHeight="1" x14ac:dyDescent="0.3">
      <c r="T126" s="3"/>
      <c r="U126" s="164"/>
      <c r="V126" s="22"/>
      <c r="W126" s="21"/>
      <c r="X126" s="23"/>
      <c r="Y126" s="10"/>
      <c r="Z126" s="5">
        <f t="shared" si="16"/>
        <v>120</v>
      </c>
      <c r="AA126" s="7">
        <f t="shared" si="17"/>
        <v>301</v>
      </c>
      <c r="AB126" s="8">
        <f t="shared" si="12"/>
        <v>2018</v>
      </c>
      <c r="AC126" s="31">
        <f>IF(AD126=0,"",IF(_Ijour=0,MIN(DATE(YEAR(_DebAmort),MONTH(_DebAmort)+_MoisD+(Z126-1)*_Imois,_Jour2),DATE(YEAR(_DebAmort),MONTH(_DebAmort)+_MoisD+1+(Z126-1)*_Imois,0)),DATE(YEAR(_DebAmort),MONTH(_DebAmort),_Jour1+(Z126-1)*_Ijour)))</f>
        <v>43435</v>
      </c>
      <c r="AD126" s="156">
        <f t="shared" si="18"/>
        <v>184859.30000000005</v>
      </c>
      <c r="AE126" s="153">
        <f>IF(Z126&lt;=_NoEchMaxi,ROUND(AD126*'Données Projet 1'!A135,_NbDeci),0)</f>
        <v>286.52999999999997</v>
      </c>
      <c r="AF126" s="152">
        <f>IF(OR(Z126&lt;=_Différé,Z126&gt;_NoEchMaxi),IF(_DiffTotal,-AE126,0),IF(Z126&gt;=_NoEchRemb,AD126,IF('Données Projet 1'!B135-(AE126*_EchFIXE)&gt;AD126-2,AD126,'Données Projet 1'!B135-(AE126*_EchFIXE))))+U126</f>
        <v>482.45000000000005</v>
      </c>
      <c r="AG126" s="154">
        <f t="shared" si="19"/>
        <v>19.77</v>
      </c>
      <c r="AH126" s="157">
        <f t="shared" si="13"/>
        <v>788.75</v>
      </c>
      <c r="AI126"/>
      <c r="AJ126" s="3"/>
      <c r="AK126" s="164"/>
      <c r="AL126" s="22"/>
      <c r="AM126" s="21"/>
      <c r="AN126" s="23"/>
      <c r="AO126" s="10"/>
      <c r="AP126" s="5">
        <f t="shared" si="20"/>
        <v>120</v>
      </c>
      <c r="AQ126" s="7">
        <f t="shared" si="21"/>
        <v>61</v>
      </c>
      <c r="AR126" s="8">
        <f t="shared" si="14"/>
        <v>2018</v>
      </c>
      <c r="AS126" s="31">
        <f>IF(AT126=0,"",IF(_Ijour1=0,MIN(DATE(YEAR(_DebAmort1),MONTH(_DebAmort1)+_MoisD1+(AP126-1)*_Imois1,__Jou2),DATE(YEAR(_DebAmort1),MONTH(_DebAmort1)+_MoisD1+1+(AP126-1)*_Imois1,0)),DATE(YEAR(_DebAmort1),MONTH(_DebAmort1),__Jou1+(AP126-1)*_Ijour1)))</f>
        <v>43435</v>
      </c>
      <c r="AT126" s="156">
        <f t="shared" si="22"/>
        <v>187250</v>
      </c>
      <c r="AU126" s="153">
        <f>IF(AP126&lt;=_NoEchMaxi1,ROUND(AT126*'Données Projet 1'!H135,_NbDeci1),0)</f>
        <v>156.04</v>
      </c>
      <c r="AV126" s="152">
        <f>IF(OR(AP126&lt;=_Différé1,AP126&gt;_NoEchMaxi1),IF(_DiffTotal1,-AU126,0),IF(AP126&gt;=_NoEchRemb1,AT126,IF('Données Projet 1'!I135-(AU126*_EchFIXE1)&gt;AT126-2,AT126,'Données Projet 1'!I135-(AU126*_EchFIXE1))))+AK126</f>
        <v>0</v>
      </c>
      <c r="AW126" s="154">
        <f t="shared" si="23"/>
        <v>15.6</v>
      </c>
      <c r="AX126" s="157">
        <f t="shared" si="15"/>
        <v>171.64</v>
      </c>
    </row>
    <row r="127" spans="8:50" ht="15.75" customHeight="1" x14ac:dyDescent="0.3">
      <c r="T127" s="3"/>
      <c r="U127" s="164"/>
      <c r="V127" s="22"/>
      <c r="W127" s="21"/>
      <c r="X127" s="23"/>
      <c r="Y127" s="10"/>
      <c r="Z127" s="5">
        <f t="shared" si="16"/>
        <v>121</v>
      </c>
      <c r="AA127" s="7">
        <f t="shared" si="17"/>
        <v>300</v>
      </c>
      <c r="AB127" s="8">
        <f t="shared" si="12"/>
        <v>2019</v>
      </c>
      <c r="AC127" s="31">
        <f>IF(AD127=0,"",IF(_Ijour=0,MIN(DATE(YEAR(_DebAmort),MONTH(_DebAmort)+(Z127-1)*_Imois,_Jour1),DATE(YEAR(_DebAmort),MONTH(_DebAmort)+1+(Z127-1)*_Imois,0)),DATE(YEAR(_DebAmort),MONTH(_DebAmort),_Jour1+(Z127-1)*_Ijour)))</f>
        <v>43466</v>
      </c>
      <c r="AD127" s="156">
        <f t="shared" si="18"/>
        <v>184376.85000000003</v>
      </c>
      <c r="AE127" s="153">
        <f>IF(Z127&lt;=_NoEchMaxi,ROUND(AD127*'Données Projet 1'!A136,_NbDeci),0)</f>
        <v>285.77999999999997</v>
      </c>
      <c r="AF127" s="152">
        <f>IF(OR(Z127&lt;=_Différé,Z127&gt;_NoEchMaxi),IF(_DiffTotal,-AE127,0),IF(Z127&gt;=_NoEchRemb,AD127,IF('Données Projet 1'!B136-(AE127*_EchFIXE)&gt;AD127-2,AD127,'Données Projet 1'!B136-(AE127*_EchFIXE))))+U127</f>
        <v>483.20000000000005</v>
      </c>
      <c r="AG127" s="154">
        <f t="shared" si="19"/>
        <v>19.77</v>
      </c>
      <c r="AH127" s="157">
        <f t="shared" si="13"/>
        <v>788.75</v>
      </c>
      <c r="AI127"/>
      <c r="AJ127" s="3"/>
      <c r="AK127" s="164"/>
      <c r="AL127" s="22"/>
      <c r="AM127" s="21"/>
      <c r="AN127" s="23"/>
      <c r="AO127" s="10"/>
      <c r="AP127" s="5">
        <f t="shared" si="20"/>
        <v>121</v>
      </c>
      <c r="AQ127" s="7">
        <f t="shared" si="21"/>
        <v>60</v>
      </c>
      <c r="AR127" s="8">
        <f t="shared" si="14"/>
        <v>2019</v>
      </c>
      <c r="AS127" s="31">
        <f>IF(AT127=0,"",IF(_Ijour1=0,MIN(DATE(YEAR(_DebAmort1),MONTH(_DebAmort1)+(AP127-1)*_Imois1,__Jou1),DATE(YEAR(_DebAmort1),MONTH(_DebAmort1)+1+(AP127-1)*_Imois1,0)),DATE(YEAR(_DebAmort1),MONTH(_DebAmort1),__Jou1+(AP127-1)*_Ijour1)))</f>
        <v>43466</v>
      </c>
      <c r="AT127" s="156">
        <f t="shared" si="22"/>
        <v>187250</v>
      </c>
      <c r="AU127" s="153">
        <f>IF(AP127&lt;=_NoEchMaxi1,ROUND(AT127*'Données Projet 1'!H136,_NbDeci1),0)</f>
        <v>156.04</v>
      </c>
      <c r="AV127" s="152">
        <f>IF(OR(AP127&lt;=_Différé1,AP127&gt;_NoEchMaxi1),IF(_DiffTotal1,-AU127,0),IF(AP127&gt;=_NoEchRemb1,AT127,IF('Données Projet 1'!I136-(AU127*_EchFIXE1)&gt;AT127-2,AT127,'Données Projet 1'!I136-(AU127*_EchFIXE1))))+AK127</f>
        <v>0</v>
      </c>
      <c r="AW127" s="154">
        <f t="shared" si="23"/>
        <v>15.6</v>
      </c>
      <c r="AX127" s="157">
        <f t="shared" si="15"/>
        <v>171.64</v>
      </c>
    </row>
    <row r="128" spans="8:50" ht="15.75" customHeight="1" x14ac:dyDescent="0.3">
      <c r="T128" s="3"/>
      <c r="U128" s="164"/>
      <c r="V128" s="22"/>
      <c r="W128" s="21"/>
      <c r="X128" s="23"/>
      <c r="Y128" s="10"/>
      <c r="Z128" s="5">
        <f t="shared" si="16"/>
        <v>122</v>
      </c>
      <c r="AA128" s="7">
        <f t="shared" si="17"/>
        <v>299</v>
      </c>
      <c r="AB128" s="8">
        <f t="shared" si="12"/>
        <v>2019</v>
      </c>
      <c r="AC128" s="31">
        <f>IF(AD128=0,"",IF(_Ijour=0,MIN(DATE(YEAR(_DebAmort),MONTH(_DebAmort)+_MoisD+(Z128-1)*_Imois,_Jour2),DATE(YEAR(_DebAmort),MONTH(_DebAmort)+_MoisD+1+(Z128-1)*_Imois,0)),DATE(YEAR(_DebAmort),MONTH(_DebAmort),_Jour1+(Z128-1)*_Ijour)))</f>
        <v>43497</v>
      </c>
      <c r="AD128" s="156">
        <f t="shared" si="18"/>
        <v>183893.65000000002</v>
      </c>
      <c r="AE128" s="153">
        <f>IF(Z128&lt;=_NoEchMaxi,ROUND(AD128*'Données Projet 1'!A137,_NbDeci),0)</f>
        <v>285.04000000000002</v>
      </c>
      <c r="AF128" s="152">
        <f>IF(OR(Z128&lt;=_Différé,Z128&gt;_NoEchMaxi),IF(_DiffTotal,-AE128,0),IF(Z128&gt;=_NoEchRemb,AD128,IF('Données Projet 1'!B137-(AE128*_EchFIXE)&gt;AD128-2,AD128,'Données Projet 1'!B137-(AE128*_EchFIXE))))+U128</f>
        <v>483.94</v>
      </c>
      <c r="AG128" s="154">
        <f t="shared" si="19"/>
        <v>19.77</v>
      </c>
      <c r="AH128" s="157">
        <f t="shared" si="13"/>
        <v>788.75</v>
      </c>
      <c r="AI128"/>
      <c r="AJ128" s="3"/>
      <c r="AK128" s="164"/>
      <c r="AL128" s="22"/>
      <c r="AM128" s="21"/>
      <c r="AN128" s="23"/>
      <c r="AO128" s="10"/>
      <c r="AP128" s="5">
        <f t="shared" si="20"/>
        <v>122</v>
      </c>
      <c r="AQ128" s="7">
        <f t="shared" si="21"/>
        <v>59</v>
      </c>
      <c r="AR128" s="8">
        <f t="shared" si="14"/>
        <v>2019</v>
      </c>
      <c r="AS128" s="31">
        <f>IF(AT128=0,"",IF(_Ijour1=0,MIN(DATE(YEAR(_DebAmort1),MONTH(_DebAmort1)+_MoisD1+(AP128-1)*_Imois1,__Jou2),DATE(YEAR(_DebAmort1),MONTH(_DebAmort1)+_MoisD1+1+(AP128-1)*_Imois1,0)),DATE(YEAR(_DebAmort1),MONTH(_DebAmort1),__Jou1+(AP128-1)*_Ijour1)))</f>
        <v>43497</v>
      </c>
      <c r="AT128" s="156">
        <f t="shared" si="22"/>
        <v>187250</v>
      </c>
      <c r="AU128" s="153">
        <f>IF(AP128&lt;=_NoEchMaxi1,ROUND(AT128*'Données Projet 1'!H137,_NbDeci1),0)</f>
        <v>156.04</v>
      </c>
      <c r="AV128" s="152">
        <f>IF(OR(AP128&lt;=_Différé1,AP128&gt;_NoEchMaxi1),IF(_DiffTotal1,-AU128,0),IF(AP128&gt;=_NoEchRemb1,AT128,IF('Données Projet 1'!I137-(AU128*_EchFIXE1)&gt;AT128-2,AT128,'Données Projet 1'!I137-(AU128*_EchFIXE1))))+AK128</f>
        <v>0</v>
      </c>
      <c r="AW128" s="154">
        <f t="shared" si="23"/>
        <v>15.6</v>
      </c>
      <c r="AX128" s="157">
        <f t="shared" si="15"/>
        <v>171.64</v>
      </c>
    </row>
    <row r="129" spans="20:50" ht="15.75" customHeight="1" x14ac:dyDescent="0.3">
      <c r="T129" s="3"/>
      <c r="U129" s="164"/>
      <c r="V129" s="22"/>
      <c r="W129" s="21"/>
      <c r="X129" s="23"/>
      <c r="Y129" s="10"/>
      <c r="Z129" s="5">
        <f t="shared" si="16"/>
        <v>123</v>
      </c>
      <c r="AA129" s="7">
        <f t="shared" si="17"/>
        <v>298</v>
      </c>
      <c r="AB129" s="8">
        <f t="shared" si="12"/>
        <v>2019</v>
      </c>
      <c r="AC129" s="31">
        <f>IF(AD129=0,"",IF(_Ijour=0,MIN(DATE(YEAR(_DebAmort),MONTH(_DebAmort)+(Z129-1)*_Imois,_Jour1),DATE(YEAR(_DebAmort),MONTH(_DebAmort)+1+(Z129-1)*_Imois,0)),DATE(YEAR(_DebAmort),MONTH(_DebAmort),_Jour1+(Z129-1)*_Ijour)))</f>
        <v>43525</v>
      </c>
      <c r="AD129" s="156">
        <f t="shared" si="18"/>
        <v>183409.71000000002</v>
      </c>
      <c r="AE129" s="153">
        <f>IF(Z129&lt;=_NoEchMaxi,ROUND(AD129*'Données Projet 1'!A138,_NbDeci),0)</f>
        <v>284.29000000000002</v>
      </c>
      <c r="AF129" s="152">
        <f>IF(OR(Z129&lt;=_Différé,Z129&gt;_NoEchMaxi),IF(_DiffTotal,-AE129,0),IF(Z129&gt;=_NoEchRemb,AD129,IF('Données Projet 1'!B138-(AE129*_EchFIXE)&gt;AD129-2,AD129,'Données Projet 1'!B138-(AE129*_EchFIXE))))+U129</f>
        <v>484.69</v>
      </c>
      <c r="AG129" s="154">
        <f t="shared" si="19"/>
        <v>19.77</v>
      </c>
      <c r="AH129" s="157">
        <f t="shared" si="13"/>
        <v>788.75</v>
      </c>
      <c r="AI129"/>
      <c r="AJ129" s="3"/>
      <c r="AK129" s="164"/>
      <c r="AL129" s="22"/>
      <c r="AM129" s="21"/>
      <c r="AN129" s="23"/>
      <c r="AO129" s="10"/>
      <c r="AP129" s="5">
        <f t="shared" si="20"/>
        <v>123</v>
      </c>
      <c r="AQ129" s="7">
        <f t="shared" si="21"/>
        <v>58</v>
      </c>
      <c r="AR129" s="8">
        <f t="shared" si="14"/>
        <v>2019</v>
      </c>
      <c r="AS129" s="31">
        <f>IF(AT129=0,"",IF(_Ijour1=0,MIN(DATE(YEAR(_DebAmort1),MONTH(_DebAmort1)+(AP129-1)*_Imois1,__Jou1),DATE(YEAR(_DebAmort1),MONTH(_DebAmort1)+1+(AP129-1)*_Imois1,0)),DATE(YEAR(_DebAmort1),MONTH(_DebAmort1),__Jou1+(AP129-1)*_Ijour1)))</f>
        <v>43525</v>
      </c>
      <c r="AT129" s="156">
        <f t="shared" si="22"/>
        <v>187250</v>
      </c>
      <c r="AU129" s="153">
        <f>IF(AP129&lt;=_NoEchMaxi1,ROUND(AT129*'Données Projet 1'!H138,_NbDeci1),0)</f>
        <v>156.04</v>
      </c>
      <c r="AV129" s="152">
        <f>IF(OR(AP129&lt;=_Différé1,AP129&gt;_NoEchMaxi1),IF(_DiffTotal1,-AU129,0),IF(AP129&gt;=_NoEchRemb1,AT129,IF('Données Projet 1'!I138-(AU129*_EchFIXE1)&gt;AT129-2,AT129,'Données Projet 1'!I138-(AU129*_EchFIXE1))))+AK129</f>
        <v>0</v>
      </c>
      <c r="AW129" s="154">
        <f t="shared" si="23"/>
        <v>15.6</v>
      </c>
      <c r="AX129" s="157">
        <f t="shared" si="15"/>
        <v>171.64</v>
      </c>
    </row>
    <row r="130" spans="20:50" ht="15.75" customHeight="1" x14ac:dyDescent="0.3">
      <c r="T130" s="3"/>
      <c r="U130" s="164"/>
      <c r="V130" s="22"/>
      <c r="W130" s="21"/>
      <c r="X130" s="23"/>
      <c r="Y130" s="10"/>
      <c r="Z130" s="5">
        <f t="shared" si="16"/>
        <v>124</v>
      </c>
      <c r="AA130" s="7">
        <f t="shared" si="17"/>
        <v>297</v>
      </c>
      <c r="AB130" s="8">
        <f t="shared" si="12"/>
        <v>2019</v>
      </c>
      <c r="AC130" s="31">
        <f>IF(AD130=0,"",IF(_Ijour=0,MIN(DATE(YEAR(_DebAmort),MONTH(_DebAmort)+_MoisD+(Z130-1)*_Imois,_Jour2),DATE(YEAR(_DebAmort),MONTH(_DebAmort)+_MoisD+1+(Z130-1)*_Imois,0)),DATE(YEAR(_DebAmort),MONTH(_DebAmort),_Jour1+(Z130-1)*_Ijour)))</f>
        <v>43556</v>
      </c>
      <c r="AD130" s="156">
        <f t="shared" si="18"/>
        <v>182925.02000000002</v>
      </c>
      <c r="AE130" s="153">
        <f>IF(Z130&lt;=_NoEchMaxi,ROUND(AD130*'Données Projet 1'!A139,_NbDeci),0)</f>
        <v>283.52999999999997</v>
      </c>
      <c r="AF130" s="152">
        <f>IF(OR(Z130&lt;=_Différé,Z130&gt;_NoEchMaxi),IF(_DiffTotal,-AE130,0),IF(Z130&gt;=_NoEchRemb,AD130,IF('Données Projet 1'!B139-(AE130*_EchFIXE)&gt;AD130-2,AD130,'Données Projet 1'!B139-(AE130*_EchFIXE))))+U130</f>
        <v>485.45000000000005</v>
      </c>
      <c r="AG130" s="154">
        <f t="shared" si="19"/>
        <v>19.77</v>
      </c>
      <c r="AH130" s="157">
        <f t="shared" si="13"/>
        <v>788.75</v>
      </c>
      <c r="AI130"/>
      <c r="AJ130" s="3"/>
      <c r="AK130" s="164"/>
      <c r="AL130" s="22"/>
      <c r="AM130" s="21"/>
      <c r="AN130" s="23"/>
      <c r="AO130" s="10"/>
      <c r="AP130" s="5">
        <f t="shared" si="20"/>
        <v>124</v>
      </c>
      <c r="AQ130" s="7">
        <f t="shared" si="21"/>
        <v>57</v>
      </c>
      <c r="AR130" s="8">
        <f t="shared" si="14"/>
        <v>2019</v>
      </c>
      <c r="AS130" s="31">
        <f>IF(AT130=0,"",IF(_Ijour1=0,MIN(DATE(YEAR(_DebAmort1),MONTH(_DebAmort1)+_MoisD1+(AP130-1)*_Imois1,__Jou2),DATE(YEAR(_DebAmort1),MONTH(_DebAmort1)+_MoisD1+1+(AP130-1)*_Imois1,0)),DATE(YEAR(_DebAmort1),MONTH(_DebAmort1),__Jou1+(AP130-1)*_Ijour1)))</f>
        <v>43556</v>
      </c>
      <c r="AT130" s="156">
        <f t="shared" si="22"/>
        <v>187250</v>
      </c>
      <c r="AU130" s="153">
        <f>IF(AP130&lt;=_NoEchMaxi1,ROUND(AT130*'Données Projet 1'!H139,_NbDeci1),0)</f>
        <v>156.04</v>
      </c>
      <c r="AV130" s="152">
        <f>IF(OR(AP130&lt;=_Différé1,AP130&gt;_NoEchMaxi1),IF(_DiffTotal1,-AU130,0),IF(AP130&gt;=_NoEchRemb1,AT130,IF('Données Projet 1'!I139-(AU130*_EchFIXE1)&gt;AT130-2,AT130,'Données Projet 1'!I139-(AU130*_EchFIXE1))))+AK130</f>
        <v>0</v>
      </c>
      <c r="AW130" s="154">
        <f t="shared" si="23"/>
        <v>15.6</v>
      </c>
      <c r="AX130" s="157">
        <f t="shared" si="15"/>
        <v>171.64</v>
      </c>
    </row>
    <row r="131" spans="20:50" ht="15.75" customHeight="1" x14ac:dyDescent="0.3">
      <c r="T131" s="3"/>
      <c r="U131" s="164"/>
      <c r="V131" s="22"/>
      <c r="W131" s="21"/>
      <c r="X131" s="23"/>
      <c r="Y131" s="10"/>
      <c r="Z131" s="5">
        <f t="shared" si="16"/>
        <v>125</v>
      </c>
      <c r="AA131" s="7">
        <f t="shared" si="17"/>
        <v>296</v>
      </c>
      <c r="AB131" s="8">
        <f t="shared" si="12"/>
        <v>2019</v>
      </c>
      <c r="AC131" s="31">
        <f>IF(AD131=0,"",IF(_Ijour=0,MIN(DATE(YEAR(_DebAmort),MONTH(_DebAmort)+(Z131-1)*_Imois,_Jour1),DATE(YEAR(_DebAmort),MONTH(_DebAmort)+1+(Z131-1)*_Imois,0)),DATE(YEAR(_DebAmort),MONTH(_DebAmort),_Jour1+(Z131-1)*_Ijour)))</f>
        <v>43586</v>
      </c>
      <c r="AD131" s="156">
        <f t="shared" si="18"/>
        <v>182439.57</v>
      </c>
      <c r="AE131" s="153">
        <f>IF(Z131&lt;=_NoEchMaxi,ROUND(AD131*'Données Projet 1'!A140,_NbDeci),0)</f>
        <v>282.77999999999997</v>
      </c>
      <c r="AF131" s="152">
        <f>IF(OR(Z131&lt;=_Différé,Z131&gt;_NoEchMaxi),IF(_DiffTotal,-AE131,0),IF(Z131&gt;=_NoEchRemb,AD131,IF('Données Projet 1'!B140-(AE131*_EchFIXE)&gt;AD131-2,AD131,'Données Projet 1'!B140-(AE131*_EchFIXE))))+U131</f>
        <v>486.20000000000005</v>
      </c>
      <c r="AG131" s="154">
        <f t="shared" si="19"/>
        <v>19.77</v>
      </c>
      <c r="AH131" s="157">
        <f t="shared" si="13"/>
        <v>788.75</v>
      </c>
      <c r="AI131"/>
      <c r="AJ131" s="3"/>
      <c r="AK131" s="164"/>
      <c r="AL131" s="22"/>
      <c r="AM131" s="21"/>
      <c r="AN131" s="23"/>
      <c r="AO131" s="10"/>
      <c r="AP131" s="5">
        <f t="shared" si="20"/>
        <v>125</v>
      </c>
      <c r="AQ131" s="7">
        <f t="shared" si="21"/>
        <v>56</v>
      </c>
      <c r="AR131" s="8">
        <f t="shared" si="14"/>
        <v>2019</v>
      </c>
      <c r="AS131" s="31">
        <f>IF(AT131=0,"",IF(_Ijour1=0,MIN(DATE(YEAR(_DebAmort1),MONTH(_DebAmort1)+(AP131-1)*_Imois1,__Jou1),DATE(YEAR(_DebAmort1),MONTH(_DebAmort1)+1+(AP131-1)*_Imois1,0)),DATE(YEAR(_DebAmort1),MONTH(_DebAmort1),__Jou1+(AP131-1)*_Ijour1)))</f>
        <v>43586</v>
      </c>
      <c r="AT131" s="156">
        <f t="shared" si="22"/>
        <v>187250</v>
      </c>
      <c r="AU131" s="153">
        <f>IF(AP131&lt;=_NoEchMaxi1,ROUND(AT131*'Données Projet 1'!H140,_NbDeci1),0)</f>
        <v>156.04</v>
      </c>
      <c r="AV131" s="152">
        <f>IF(OR(AP131&lt;=_Différé1,AP131&gt;_NoEchMaxi1),IF(_DiffTotal1,-AU131,0),IF(AP131&gt;=_NoEchRemb1,AT131,IF('Données Projet 1'!I140-(AU131*_EchFIXE1)&gt;AT131-2,AT131,'Données Projet 1'!I140-(AU131*_EchFIXE1))))+AK131</f>
        <v>0</v>
      </c>
      <c r="AW131" s="154">
        <f t="shared" si="23"/>
        <v>15.6</v>
      </c>
      <c r="AX131" s="157">
        <f t="shared" si="15"/>
        <v>171.64</v>
      </c>
    </row>
    <row r="132" spans="20:50" ht="15.75" customHeight="1" x14ac:dyDescent="0.3">
      <c r="T132" s="3"/>
      <c r="U132" s="164"/>
      <c r="V132" s="22"/>
      <c r="W132" s="21"/>
      <c r="X132" s="23"/>
      <c r="Y132" s="10"/>
      <c r="Z132" s="5">
        <f t="shared" si="16"/>
        <v>126</v>
      </c>
      <c r="AA132" s="7">
        <f t="shared" si="17"/>
        <v>295</v>
      </c>
      <c r="AB132" s="8">
        <f t="shared" si="12"/>
        <v>2019</v>
      </c>
      <c r="AC132" s="31">
        <f>IF(AD132=0,"",IF(_Ijour=0,MIN(DATE(YEAR(_DebAmort),MONTH(_DebAmort)+_MoisD+(Z132-1)*_Imois,_Jour2),DATE(YEAR(_DebAmort),MONTH(_DebAmort)+_MoisD+1+(Z132-1)*_Imois,0)),DATE(YEAR(_DebAmort),MONTH(_DebAmort),_Jour1+(Z132-1)*_Ijour)))</f>
        <v>43617</v>
      </c>
      <c r="AD132" s="156">
        <f t="shared" si="18"/>
        <v>181953.37</v>
      </c>
      <c r="AE132" s="153">
        <f>IF(Z132&lt;=_NoEchMaxi,ROUND(AD132*'Données Projet 1'!A141,_NbDeci),0)</f>
        <v>282.02999999999997</v>
      </c>
      <c r="AF132" s="152">
        <f>IF(OR(Z132&lt;=_Différé,Z132&gt;_NoEchMaxi),IF(_DiffTotal,-AE132,0),IF(Z132&gt;=_NoEchRemb,AD132,IF('Données Projet 1'!B141-(AE132*_EchFIXE)&gt;AD132-2,AD132,'Données Projet 1'!B141-(AE132*_EchFIXE))))+U132</f>
        <v>486.95000000000005</v>
      </c>
      <c r="AG132" s="154">
        <f t="shared" si="19"/>
        <v>19.77</v>
      </c>
      <c r="AH132" s="157">
        <f t="shared" si="13"/>
        <v>788.75</v>
      </c>
      <c r="AI132"/>
      <c r="AJ132" s="3"/>
      <c r="AK132" s="164"/>
      <c r="AL132" s="22"/>
      <c r="AM132" s="21"/>
      <c r="AN132" s="23"/>
      <c r="AO132" s="10"/>
      <c r="AP132" s="5">
        <f t="shared" si="20"/>
        <v>126</v>
      </c>
      <c r="AQ132" s="7">
        <f t="shared" si="21"/>
        <v>55</v>
      </c>
      <c r="AR132" s="8">
        <f t="shared" si="14"/>
        <v>2019</v>
      </c>
      <c r="AS132" s="31">
        <f>IF(AT132=0,"",IF(_Ijour1=0,MIN(DATE(YEAR(_DebAmort1),MONTH(_DebAmort1)+_MoisD1+(AP132-1)*_Imois1,__Jou2),DATE(YEAR(_DebAmort1),MONTH(_DebAmort1)+_MoisD1+1+(AP132-1)*_Imois1,0)),DATE(YEAR(_DebAmort1),MONTH(_DebAmort1),__Jou1+(AP132-1)*_Ijour1)))</f>
        <v>43617</v>
      </c>
      <c r="AT132" s="156">
        <f t="shared" si="22"/>
        <v>187250</v>
      </c>
      <c r="AU132" s="153">
        <f>IF(AP132&lt;=_NoEchMaxi1,ROUND(AT132*'Données Projet 1'!H141,_NbDeci1),0)</f>
        <v>156.04</v>
      </c>
      <c r="AV132" s="152">
        <f>IF(OR(AP132&lt;=_Différé1,AP132&gt;_NoEchMaxi1),IF(_DiffTotal1,-AU132,0),IF(AP132&gt;=_NoEchRemb1,AT132,IF('Données Projet 1'!I141-(AU132*_EchFIXE1)&gt;AT132-2,AT132,'Données Projet 1'!I141-(AU132*_EchFIXE1))))+AK132</f>
        <v>0</v>
      </c>
      <c r="AW132" s="154">
        <f t="shared" si="23"/>
        <v>15.6</v>
      </c>
      <c r="AX132" s="157">
        <f t="shared" si="15"/>
        <v>171.64</v>
      </c>
    </row>
    <row r="133" spans="20:50" ht="15.75" customHeight="1" x14ac:dyDescent="0.3">
      <c r="T133" s="3"/>
      <c r="U133" s="164"/>
      <c r="V133" s="22"/>
      <c r="W133" s="21"/>
      <c r="X133" s="23"/>
      <c r="Y133" s="10"/>
      <c r="Z133" s="5">
        <f t="shared" si="16"/>
        <v>127</v>
      </c>
      <c r="AA133" s="7">
        <f t="shared" si="17"/>
        <v>294</v>
      </c>
      <c r="AB133" s="8">
        <f t="shared" si="12"/>
        <v>2019</v>
      </c>
      <c r="AC133" s="31">
        <f>IF(AD133=0,"",IF(_Ijour=0,MIN(DATE(YEAR(_DebAmort),MONTH(_DebAmort)+(Z133-1)*_Imois,_Jour1),DATE(YEAR(_DebAmort),MONTH(_DebAmort)+1+(Z133-1)*_Imois,0)),DATE(YEAR(_DebAmort),MONTH(_DebAmort),_Jour1+(Z133-1)*_Ijour)))</f>
        <v>43647</v>
      </c>
      <c r="AD133" s="156">
        <f t="shared" si="18"/>
        <v>181466.41999999998</v>
      </c>
      <c r="AE133" s="153">
        <f>IF(Z133&lt;=_NoEchMaxi,ROUND(AD133*'Données Projet 1'!A142,_NbDeci),0)</f>
        <v>281.27</v>
      </c>
      <c r="AF133" s="152">
        <f>IF(OR(Z133&lt;=_Différé,Z133&gt;_NoEchMaxi),IF(_DiffTotal,-AE133,0),IF(Z133&gt;=_NoEchRemb,AD133,IF('Données Projet 1'!B142-(AE133*_EchFIXE)&gt;AD133-2,AD133,'Données Projet 1'!B142-(AE133*_EchFIXE))))+U133</f>
        <v>487.71000000000004</v>
      </c>
      <c r="AG133" s="154">
        <f t="shared" si="19"/>
        <v>19.77</v>
      </c>
      <c r="AH133" s="157">
        <f t="shared" si="13"/>
        <v>788.75</v>
      </c>
      <c r="AI133"/>
      <c r="AJ133" s="3"/>
      <c r="AK133" s="164"/>
      <c r="AL133" s="22"/>
      <c r="AM133" s="21"/>
      <c r="AN133" s="23"/>
      <c r="AO133" s="10"/>
      <c r="AP133" s="5">
        <f t="shared" si="20"/>
        <v>127</v>
      </c>
      <c r="AQ133" s="7">
        <f t="shared" si="21"/>
        <v>54</v>
      </c>
      <c r="AR133" s="8">
        <f t="shared" si="14"/>
        <v>2019</v>
      </c>
      <c r="AS133" s="31">
        <f>IF(AT133=0,"",IF(_Ijour1=0,MIN(DATE(YEAR(_DebAmort1),MONTH(_DebAmort1)+(AP133-1)*_Imois1,__Jou1),DATE(YEAR(_DebAmort1),MONTH(_DebAmort1)+1+(AP133-1)*_Imois1,0)),DATE(YEAR(_DebAmort1),MONTH(_DebAmort1),__Jou1+(AP133-1)*_Ijour1)))</f>
        <v>43647</v>
      </c>
      <c r="AT133" s="156">
        <f t="shared" si="22"/>
        <v>187250</v>
      </c>
      <c r="AU133" s="153">
        <f>IF(AP133&lt;=_NoEchMaxi1,ROUND(AT133*'Données Projet 1'!H142,_NbDeci1),0)</f>
        <v>156.04</v>
      </c>
      <c r="AV133" s="152">
        <f>IF(OR(AP133&lt;=_Différé1,AP133&gt;_NoEchMaxi1),IF(_DiffTotal1,-AU133,0),IF(AP133&gt;=_NoEchRemb1,AT133,IF('Données Projet 1'!I142-(AU133*_EchFIXE1)&gt;AT133-2,AT133,'Données Projet 1'!I142-(AU133*_EchFIXE1))))+AK133</f>
        <v>0</v>
      </c>
      <c r="AW133" s="154">
        <f t="shared" si="23"/>
        <v>15.6</v>
      </c>
      <c r="AX133" s="157">
        <f t="shared" si="15"/>
        <v>171.64</v>
      </c>
    </row>
    <row r="134" spans="20:50" ht="15.75" customHeight="1" x14ac:dyDescent="0.3">
      <c r="T134" s="3"/>
      <c r="U134" s="164"/>
      <c r="V134" s="22"/>
      <c r="W134" s="21"/>
      <c r="X134" s="23"/>
      <c r="Y134" s="10"/>
      <c r="Z134" s="5">
        <f t="shared" si="16"/>
        <v>128</v>
      </c>
      <c r="AA134" s="7">
        <f t="shared" si="17"/>
        <v>293</v>
      </c>
      <c r="AB134" s="8">
        <f t="shared" ref="AB134:AB197" si="24">IF(ISNUMBER(AC134),YEAR(AC134),"")</f>
        <v>2019</v>
      </c>
      <c r="AC134" s="31">
        <f>IF(AD134=0,"",IF(_Ijour=0,MIN(DATE(YEAR(_DebAmort),MONTH(_DebAmort)+_MoisD+(Z134-1)*_Imois,_Jour2),DATE(YEAR(_DebAmort),MONTH(_DebAmort)+_MoisD+1+(Z134-1)*_Imois,0)),DATE(YEAR(_DebAmort),MONTH(_DebAmort),_Jour1+(Z134-1)*_Ijour)))</f>
        <v>43678</v>
      </c>
      <c r="AD134" s="156">
        <f t="shared" si="18"/>
        <v>180978.71</v>
      </c>
      <c r="AE134" s="153">
        <f>IF(Z134&lt;=_NoEchMaxi,ROUND(AD134*'Données Projet 1'!A143,_NbDeci),0)</f>
        <v>280.52</v>
      </c>
      <c r="AF134" s="152">
        <f>IF(OR(Z134&lt;=_Différé,Z134&gt;_NoEchMaxi),IF(_DiffTotal,-AE134,0),IF(Z134&gt;=_NoEchRemb,AD134,IF('Données Projet 1'!B143-(AE134*_EchFIXE)&gt;AD134-2,AD134,'Données Projet 1'!B143-(AE134*_EchFIXE))))+U134</f>
        <v>488.46000000000004</v>
      </c>
      <c r="AG134" s="154">
        <f t="shared" si="19"/>
        <v>19.77</v>
      </c>
      <c r="AH134" s="157">
        <f t="shared" ref="AH134:AH197" si="25">SUM(AE134:AG134)</f>
        <v>788.75</v>
      </c>
      <c r="AI134"/>
      <c r="AJ134" s="3"/>
      <c r="AK134" s="164"/>
      <c r="AL134" s="22"/>
      <c r="AM134" s="21"/>
      <c r="AN134" s="23"/>
      <c r="AO134" s="10"/>
      <c r="AP134" s="5">
        <f t="shared" si="20"/>
        <v>128</v>
      </c>
      <c r="AQ134" s="7">
        <f t="shared" si="21"/>
        <v>53</v>
      </c>
      <c r="AR134" s="8">
        <f t="shared" ref="AR134:AR197" si="26">IF(ISNUMBER(AS134),YEAR(AS134),"")</f>
        <v>2019</v>
      </c>
      <c r="AS134" s="31">
        <f>IF(AT134=0,"",IF(_Ijour1=0,MIN(DATE(YEAR(_DebAmort1),MONTH(_DebAmort1)+_MoisD1+(AP134-1)*_Imois1,__Jou2),DATE(YEAR(_DebAmort1),MONTH(_DebAmort1)+_MoisD1+1+(AP134-1)*_Imois1,0)),DATE(YEAR(_DebAmort1),MONTH(_DebAmort1),__Jou1+(AP134-1)*_Ijour1)))</f>
        <v>43678</v>
      </c>
      <c r="AT134" s="156">
        <f t="shared" si="22"/>
        <v>187250</v>
      </c>
      <c r="AU134" s="153">
        <f>IF(AP134&lt;=_NoEchMaxi1,ROUND(AT134*'Données Projet 1'!H143,_NbDeci1),0)</f>
        <v>156.04</v>
      </c>
      <c r="AV134" s="152">
        <f>IF(OR(AP134&lt;=_Différé1,AP134&gt;_NoEchMaxi1),IF(_DiffTotal1,-AU134,0),IF(AP134&gt;=_NoEchRemb1,AT134,IF('Données Projet 1'!I143-(AU134*_EchFIXE1)&gt;AT134-2,AT134,'Données Projet 1'!I143-(AU134*_EchFIXE1))))+AK134</f>
        <v>0</v>
      </c>
      <c r="AW134" s="154">
        <f t="shared" si="23"/>
        <v>15.6</v>
      </c>
      <c r="AX134" s="157">
        <f t="shared" ref="AX134:AX197" si="27">SUM(AU134:AW134)</f>
        <v>171.64</v>
      </c>
    </row>
    <row r="135" spans="20:50" ht="15.75" customHeight="1" x14ac:dyDescent="0.3">
      <c r="T135" s="3"/>
      <c r="U135" s="164"/>
      <c r="V135" s="22"/>
      <c r="W135" s="21"/>
      <c r="X135" s="23"/>
      <c r="Y135" s="10"/>
      <c r="Z135" s="5">
        <f t="shared" ref="Z135:Z198" si="28">IF(AD135=0,"",Z134+1)</f>
        <v>129</v>
      </c>
      <c r="AA135" s="7">
        <f t="shared" ref="AA135:AA198" si="29">IF(AD135&gt;0,_NbEch+_Différé+1-Z135,"")</f>
        <v>292</v>
      </c>
      <c r="AB135" s="8">
        <f t="shared" si="24"/>
        <v>2019</v>
      </c>
      <c r="AC135" s="31">
        <f>IF(AD135=0,"",IF(_Ijour=0,MIN(DATE(YEAR(_DebAmort),MONTH(_DebAmort)+(Z135-1)*_Imois,_Jour1),DATE(YEAR(_DebAmort),MONTH(_DebAmort)+1+(Z135-1)*_Imois,0)),DATE(YEAR(_DebAmort),MONTH(_DebAmort),_Jour1+(Z135-1)*_Ijour)))</f>
        <v>43709</v>
      </c>
      <c r="AD135" s="156">
        <f t="shared" ref="AD135:AD198" si="30">AD134-AF134</f>
        <v>180490.25</v>
      </c>
      <c r="AE135" s="153">
        <f>IF(Z135&lt;=_NoEchMaxi,ROUND(AD135*'Données Projet 1'!A144,_NbDeci),0)</f>
        <v>279.76</v>
      </c>
      <c r="AF135" s="152">
        <f>IF(OR(Z135&lt;=_Différé,Z135&gt;_NoEchMaxi),IF(_DiffTotal,-AE135,0),IF(Z135&gt;=_NoEchRemb,AD135,IF('Données Projet 1'!B144-(AE135*_EchFIXE)&gt;AD135-2,AD135,'Données Projet 1'!B144-(AE135*_EchFIXE))))+U135</f>
        <v>489.22</v>
      </c>
      <c r="AG135" s="154">
        <f t="shared" ref="AG135:AG198" si="31">IF(OR(AD135=0,Z135&gt;_NoEchMaxi),0,ROUND(_FraisF+_FraisV*AD135,_NbDeci))+X135</f>
        <v>19.77</v>
      </c>
      <c r="AH135" s="157">
        <f t="shared" si="25"/>
        <v>788.75</v>
      </c>
      <c r="AI135"/>
      <c r="AJ135" s="3"/>
      <c r="AK135" s="164"/>
      <c r="AL135" s="22"/>
      <c r="AM135" s="21"/>
      <c r="AN135" s="23"/>
      <c r="AO135" s="10"/>
      <c r="AP135" s="5">
        <f t="shared" ref="AP135:AP198" si="32">IF(AT135=0,"",AP134+1)</f>
        <v>129</v>
      </c>
      <c r="AQ135" s="7">
        <f t="shared" ref="AQ135:AQ198" si="33">IF(AT135&gt;0,_NbEch1+_Différé1+1-AP135,"")</f>
        <v>52</v>
      </c>
      <c r="AR135" s="8">
        <f t="shared" si="26"/>
        <v>2019</v>
      </c>
      <c r="AS135" s="31">
        <f>IF(AT135=0,"",IF(_Ijour1=0,MIN(DATE(YEAR(_DebAmort1),MONTH(_DebAmort1)+(AP135-1)*_Imois1,__Jou1),DATE(YEAR(_DebAmort1),MONTH(_DebAmort1)+1+(AP135-1)*_Imois1,0)),DATE(YEAR(_DebAmort1),MONTH(_DebAmort1),__Jou1+(AP135-1)*_Ijour1)))</f>
        <v>43709</v>
      </c>
      <c r="AT135" s="156">
        <f t="shared" ref="AT135:AT198" si="34">AT134-AV134</f>
        <v>187250</v>
      </c>
      <c r="AU135" s="153">
        <f>IF(AP135&lt;=_NoEchMaxi1,ROUND(AT135*'Données Projet 1'!H144,_NbDeci1),0)</f>
        <v>156.04</v>
      </c>
      <c r="AV135" s="152">
        <f>IF(OR(AP135&lt;=_Différé1,AP135&gt;_NoEchMaxi1),IF(_DiffTotal1,-AU135,0),IF(AP135&gt;=_NoEchRemb1,AT135,IF('Données Projet 1'!I144-(AU135*_EchFIXE1)&gt;AT135-2,AT135,'Données Projet 1'!I144-(AU135*_EchFIXE1))))+AK135</f>
        <v>0</v>
      </c>
      <c r="AW135" s="154">
        <f t="shared" ref="AW135:AW198" si="35">IF(OR(AT135=0,AP135&gt;_NoEchMaxi1),0,ROUND(_FraisF1+_FraisV1*AT135,_NbDeci1))+AN135</f>
        <v>15.6</v>
      </c>
      <c r="AX135" s="157">
        <f t="shared" si="27"/>
        <v>171.64</v>
      </c>
    </row>
    <row r="136" spans="20:50" ht="15.75" customHeight="1" x14ac:dyDescent="0.3">
      <c r="T136" s="3"/>
      <c r="U136" s="164"/>
      <c r="V136" s="22"/>
      <c r="W136" s="21"/>
      <c r="X136" s="23"/>
      <c r="Y136" s="10"/>
      <c r="Z136" s="5">
        <f t="shared" si="28"/>
        <v>130</v>
      </c>
      <c r="AA136" s="7">
        <f t="shared" si="29"/>
        <v>291</v>
      </c>
      <c r="AB136" s="8">
        <f t="shared" si="24"/>
        <v>2019</v>
      </c>
      <c r="AC136" s="31">
        <f>IF(AD136=0,"",IF(_Ijour=0,MIN(DATE(YEAR(_DebAmort),MONTH(_DebAmort)+_MoisD+(Z136-1)*_Imois,_Jour2),DATE(YEAR(_DebAmort),MONTH(_DebAmort)+_MoisD+1+(Z136-1)*_Imois,0)),DATE(YEAR(_DebAmort),MONTH(_DebAmort),_Jour1+(Z136-1)*_Ijour)))</f>
        <v>43739</v>
      </c>
      <c r="AD136" s="156">
        <f t="shared" si="30"/>
        <v>180001.03</v>
      </c>
      <c r="AE136" s="153">
        <f>IF(Z136&lt;=_NoEchMaxi,ROUND(AD136*'Données Projet 1'!A145,_NbDeci),0)</f>
        <v>279</v>
      </c>
      <c r="AF136" s="152">
        <f>IF(OR(Z136&lt;=_Différé,Z136&gt;_NoEchMaxi),IF(_DiffTotal,-AE136,0),IF(Z136&gt;=_NoEchRemb,AD136,IF('Données Projet 1'!B145-(AE136*_EchFIXE)&gt;AD136-2,AD136,'Données Projet 1'!B145-(AE136*_EchFIXE))))+U136</f>
        <v>489.98</v>
      </c>
      <c r="AG136" s="154">
        <f t="shared" si="31"/>
        <v>19.77</v>
      </c>
      <c r="AH136" s="157">
        <f t="shared" si="25"/>
        <v>788.75</v>
      </c>
      <c r="AI136"/>
      <c r="AJ136" s="3"/>
      <c r="AK136" s="164"/>
      <c r="AL136" s="22"/>
      <c r="AM136" s="21"/>
      <c r="AN136" s="23"/>
      <c r="AO136" s="10"/>
      <c r="AP136" s="5">
        <f t="shared" si="32"/>
        <v>130</v>
      </c>
      <c r="AQ136" s="7">
        <f t="shared" si="33"/>
        <v>51</v>
      </c>
      <c r="AR136" s="8">
        <f t="shared" si="26"/>
        <v>2019</v>
      </c>
      <c r="AS136" s="31">
        <f>IF(AT136=0,"",IF(_Ijour1=0,MIN(DATE(YEAR(_DebAmort1),MONTH(_DebAmort1)+_MoisD1+(AP136-1)*_Imois1,__Jou2),DATE(YEAR(_DebAmort1),MONTH(_DebAmort1)+_MoisD1+1+(AP136-1)*_Imois1,0)),DATE(YEAR(_DebAmort1),MONTH(_DebAmort1),__Jou1+(AP136-1)*_Ijour1)))</f>
        <v>43739</v>
      </c>
      <c r="AT136" s="156">
        <f t="shared" si="34"/>
        <v>187250</v>
      </c>
      <c r="AU136" s="153">
        <f>IF(AP136&lt;=_NoEchMaxi1,ROUND(AT136*'Données Projet 1'!H145,_NbDeci1),0)</f>
        <v>156.04</v>
      </c>
      <c r="AV136" s="152">
        <f>IF(OR(AP136&lt;=_Différé1,AP136&gt;_NoEchMaxi1),IF(_DiffTotal1,-AU136,0),IF(AP136&gt;=_NoEchRemb1,AT136,IF('Données Projet 1'!I145-(AU136*_EchFIXE1)&gt;AT136-2,AT136,'Données Projet 1'!I145-(AU136*_EchFIXE1))))+AK136</f>
        <v>0</v>
      </c>
      <c r="AW136" s="154">
        <f t="shared" si="35"/>
        <v>15.6</v>
      </c>
      <c r="AX136" s="157">
        <f t="shared" si="27"/>
        <v>171.64</v>
      </c>
    </row>
    <row r="137" spans="20:50" ht="15.75" customHeight="1" x14ac:dyDescent="0.3">
      <c r="T137" s="3"/>
      <c r="U137" s="164"/>
      <c r="V137" s="22"/>
      <c r="W137" s="21"/>
      <c r="X137" s="23"/>
      <c r="Y137" s="10"/>
      <c r="Z137" s="5">
        <f t="shared" si="28"/>
        <v>131</v>
      </c>
      <c r="AA137" s="7">
        <f t="shared" si="29"/>
        <v>290</v>
      </c>
      <c r="AB137" s="8">
        <f t="shared" si="24"/>
        <v>2019</v>
      </c>
      <c r="AC137" s="31">
        <f>IF(AD137=0,"",IF(_Ijour=0,MIN(DATE(YEAR(_DebAmort),MONTH(_DebAmort)+(Z137-1)*_Imois,_Jour1),DATE(YEAR(_DebAmort),MONTH(_DebAmort)+1+(Z137-1)*_Imois,0)),DATE(YEAR(_DebAmort),MONTH(_DebAmort),_Jour1+(Z137-1)*_Ijour)))</f>
        <v>43770</v>
      </c>
      <c r="AD137" s="156">
        <f t="shared" si="30"/>
        <v>179511.05</v>
      </c>
      <c r="AE137" s="153">
        <f>IF(Z137&lt;=_NoEchMaxi,ROUND(AD137*'Données Projet 1'!A146,_NbDeci),0)</f>
        <v>278.24</v>
      </c>
      <c r="AF137" s="152">
        <f>IF(OR(Z137&lt;=_Différé,Z137&gt;_NoEchMaxi),IF(_DiffTotal,-AE137,0),IF(Z137&gt;=_NoEchRemb,AD137,IF('Données Projet 1'!B146-(AE137*_EchFIXE)&gt;AD137-2,AD137,'Données Projet 1'!B146-(AE137*_EchFIXE))))+U137</f>
        <v>490.74</v>
      </c>
      <c r="AG137" s="154">
        <f t="shared" si="31"/>
        <v>19.77</v>
      </c>
      <c r="AH137" s="157">
        <f t="shared" si="25"/>
        <v>788.75</v>
      </c>
      <c r="AI137"/>
      <c r="AJ137" s="3"/>
      <c r="AK137" s="164"/>
      <c r="AL137" s="22"/>
      <c r="AM137" s="21"/>
      <c r="AN137" s="23"/>
      <c r="AO137" s="10"/>
      <c r="AP137" s="5">
        <f t="shared" si="32"/>
        <v>131</v>
      </c>
      <c r="AQ137" s="7">
        <f t="shared" si="33"/>
        <v>50</v>
      </c>
      <c r="AR137" s="8">
        <f t="shared" si="26"/>
        <v>2019</v>
      </c>
      <c r="AS137" s="31">
        <f>IF(AT137=0,"",IF(_Ijour1=0,MIN(DATE(YEAR(_DebAmort1),MONTH(_DebAmort1)+(AP137-1)*_Imois1,__Jou1),DATE(YEAR(_DebAmort1),MONTH(_DebAmort1)+1+(AP137-1)*_Imois1,0)),DATE(YEAR(_DebAmort1),MONTH(_DebAmort1),__Jou1+(AP137-1)*_Ijour1)))</f>
        <v>43770</v>
      </c>
      <c r="AT137" s="156">
        <f t="shared" si="34"/>
        <v>187250</v>
      </c>
      <c r="AU137" s="153">
        <f>IF(AP137&lt;=_NoEchMaxi1,ROUND(AT137*'Données Projet 1'!H146,_NbDeci1),0)</f>
        <v>156.04</v>
      </c>
      <c r="AV137" s="152">
        <f>IF(OR(AP137&lt;=_Différé1,AP137&gt;_NoEchMaxi1),IF(_DiffTotal1,-AU137,0),IF(AP137&gt;=_NoEchRemb1,AT137,IF('Données Projet 1'!I146-(AU137*_EchFIXE1)&gt;AT137-2,AT137,'Données Projet 1'!I146-(AU137*_EchFIXE1))))+AK137</f>
        <v>0</v>
      </c>
      <c r="AW137" s="154">
        <f t="shared" si="35"/>
        <v>15.6</v>
      </c>
      <c r="AX137" s="157">
        <f t="shared" si="27"/>
        <v>171.64</v>
      </c>
    </row>
    <row r="138" spans="20:50" ht="15.75" customHeight="1" x14ac:dyDescent="0.3">
      <c r="T138" s="3"/>
      <c r="U138" s="164"/>
      <c r="V138" s="22"/>
      <c r="W138" s="21"/>
      <c r="X138" s="23"/>
      <c r="Y138" s="10"/>
      <c r="Z138" s="5">
        <f t="shared" si="28"/>
        <v>132</v>
      </c>
      <c r="AA138" s="7">
        <f t="shared" si="29"/>
        <v>289</v>
      </c>
      <c r="AB138" s="8">
        <f t="shared" si="24"/>
        <v>2019</v>
      </c>
      <c r="AC138" s="31">
        <f>IF(AD138=0,"",IF(_Ijour=0,MIN(DATE(YEAR(_DebAmort),MONTH(_DebAmort)+_MoisD+(Z138-1)*_Imois,_Jour2),DATE(YEAR(_DebAmort),MONTH(_DebAmort)+_MoisD+1+(Z138-1)*_Imois,0)),DATE(YEAR(_DebAmort),MONTH(_DebAmort),_Jour1+(Z138-1)*_Ijour)))</f>
        <v>43800</v>
      </c>
      <c r="AD138" s="156">
        <f t="shared" si="30"/>
        <v>179020.31</v>
      </c>
      <c r="AE138" s="153">
        <f>IF(Z138&lt;=_NoEchMaxi,ROUND(AD138*'Données Projet 1'!A147,_NbDeci),0)</f>
        <v>277.48</v>
      </c>
      <c r="AF138" s="152">
        <f>IF(OR(Z138&lt;=_Différé,Z138&gt;_NoEchMaxi),IF(_DiffTotal,-AE138,0),IF(Z138&gt;=_NoEchRemb,AD138,IF('Données Projet 1'!B147-(AE138*_EchFIXE)&gt;AD138-2,AD138,'Données Projet 1'!B147-(AE138*_EchFIXE))))+U138</f>
        <v>491.5</v>
      </c>
      <c r="AG138" s="154">
        <f t="shared" si="31"/>
        <v>19.77</v>
      </c>
      <c r="AH138" s="157">
        <f t="shared" si="25"/>
        <v>788.75</v>
      </c>
      <c r="AI138"/>
      <c r="AJ138" s="3"/>
      <c r="AK138" s="164"/>
      <c r="AL138" s="22"/>
      <c r="AM138" s="21"/>
      <c r="AN138" s="23"/>
      <c r="AO138" s="10"/>
      <c r="AP138" s="5">
        <f t="shared" si="32"/>
        <v>132</v>
      </c>
      <c r="AQ138" s="7">
        <f t="shared" si="33"/>
        <v>49</v>
      </c>
      <c r="AR138" s="8">
        <f t="shared" si="26"/>
        <v>2019</v>
      </c>
      <c r="AS138" s="31">
        <f>IF(AT138=0,"",IF(_Ijour1=0,MIN(DATE(YEAR(_DebAmort1),MONTH(_DebAmort1)+_MoisD1+(AP138-1)*_Imois1,__Jou2),DATE(YEAR(_DebAmort1),MONTH(_DebAmort1)+_MoisD1+1+(AP138-1)*_Imois1,0)),DATE(YEAR(_DebAmort1),MONTH(_DebAmort1),__Jou1+(AP138-1)*_Ijour1)))</f>
        <v>43800</v>
      </c>
      <c r="AT138" s="156">
        <f t="shared" si="34"/>
        <v>187250</v>
      </c>
      <c r="AU138" s="153">
        <f>IF(AP138&lt;=_NoEchMaxi1,ROUND(AT138*'Données Projet 1'!H147,_NbDeci1),0)</f>
        <v>156.04</v>
      </c>
      <c r="AV138" s="152">
        <f>IF(OR(AP138&lt;=_Différé1,AP138&gt;_NoEchMaxi1),IF(_DiffTotal1,-AU138,0),IF(AP138&gt;=_NoEchRemb1,AT138,IF('Données Projet 1'!I147-(AU138*_EchFIXE1)&gt;AT138-2,AT138,'Données Projet 1'!I147-(AU138*_EchFIXE1))))+AK138</f>
        <v>0</v>
      </c>
      <c r="AW138" s="154">
        <f t="shared" si="35"/>
        <v>15.6</v>
      </c>
      <c r="AX138" s="157">
        <f t="shared" si="27"/>
        <v>171.64</v>
      </c>
    </row>
    <row r="139" spans="20:50" ht="15.75" customHeight="1" x14ac:dyDescent="0.3">
      <c r="T139" s="3"/>
      <c r="U139" s="164"/>
      <c r="V139" s="22"/>
      <c r="W139" s="21"/>
      <c r="X139" s="23"/>
      <c r="Y139" s="10"/>
      <c r="Z139" s="5">
        <f t="shared" si="28"/>
        <v>133</v>
      </c>
      <c r="AA139" s="7">
        <f t="shared" si="29"/>
        <v>288</v>
      </c>
      <c r="AB139" s="8">
        <f t="shared" si="24"/>
        <v>2020</v>
      </c>
      <c r="AC139" s="31">
        <f>IF(AD139=0,"",IF(_Ijour=0,MIN(DATE(YEAR(_DebAmort),MONTH(_DebAmort)+(Z139-1)*_Imois,_Jour1),DATE(YEAR(_DebAmort),MONTH(_DebAmort)+1+(Z139-1)*_Imois,0)),DATE(YEAR(_DebAmort),MONTH(_DebAmort),_Jour1+(Z139-1)*_Ijour)))</f>
        <v>43831</v>
      </c>
      <c r="AD139" s="156">
        <f t="shared" si="30"/>
        <v>178528.81</v>
      </c>
      <c r="AE139" s="153">
        <f>IF(Z139&lt;=_NoEchMaxi,ROUND(AD139*'Données Projet 1'!A148,_NbDeci),0)</f>
        <v>276.72000000000003</v>
      </c>
      <c r="AF139" s="152">
        <f>IF(OR(Z139&lt;=_Différé,Z139&gt;_NoEchMaxi),IF(_DiffTotal,-AE139,0),IF(Z139&gt;=_NoEchRemb,AD139,IF('Données Projet 1'!B148-(AE139*_EchFIXE)&gt;AD139-2,AD139,'Données Projet 1'!B148-(AE139*_EchFIXE))))+U139</f>
        <v>492.26</v>
      </c>
      <c r="AG139" s="154">
        <f t="shared" si="31"/>
        <v>19.77</v>
      </c>
      <c r="AH139" s="157">
        <f t="shared" si="25"/>
        <v>788.75</v>
      </c>
      <c r="AI139"/>
      <c r="AJ139" s="3"/>
      <c r="AK139" s="164"/>
      <c r="AL139" s="22"/>
      <c r="AM139" s="21"/>
      <c r="AN139" s="23"/>
      <c r="AO139" s="10"/>
      <c r="AP139" s="5">
        <f t="shared" si="32"/>
        <v>133</v>
      </c>
      <c r="AQ139" s="7">
        <f t="shared" si="33"/>
        <v>48</v>
      </c>
      <c r="AR139" s="8">
        <f t="shared" si="26"/>
        <v>2020</v>
      </c>
      <c r="AS139" s="31">
        <f>IF(AT139=0,"",IF(_Ijour1=0,MIN(DATE(YEAR(_DebAmort1),MONTH(_DebAmort1)+(AP139-1)*_Imois1,__Jou1),DATE(YEAR(_DebAmort1),MONTH(_DebAmort1)+1+(AP139-1)*_Imois1,0)),DATE(YEAR(_DebAmort1),MONTH(_DebAmort1),__Jou1+(AP139-1)*_Ijour1)))</f>
        <v>43831</v>
      </c>
      <c r="AT139" s="156">
        <f t="shared" si="34"/>
        <v>187250</v>
      </c>
      <c r="AU139" s="153">
        <f>IF(AP139&lt;=_NoEchMaxi1,ROUND(AT139*'Données Projet 1'!H148,_NbDeci1),0)</f>
        <v>156.04</v>
      </c>
      <c r="AV139" s="152">
        <f>IF(OR(AP139&lt;=_Différé1,AP139&gt;_NoEchMaxi1),IF(_DiffTotal1,-AU139,0),IF(AP139&gt;=_NoEchRemb1,AT139,IF('Données Projet 1'!I148-(AU139*_EchFIXE1)&gt;AT139-2,AT139,'Données Projet 1'!I148-(AU139*_EchFIXE1))))+AK139</f>
        <v>0</v>
      </c>
      <c r="AW139" s="154">
        <f t="shared" si="35"/>
        <v>15.6</v>
      </c>
      <c r="AX139" s="157">
        <f t="shared" si="27"/>
        <v>171.64</v>
      </c>
    </row>
    <row r="140" spans="20:50" ht="15.75" customHeight="1" x14ac:dyDescent="0.3">
      <c r="T140" s="3"/>
      <c r="U140" s="164"/>
      <c r="V140" s="22"/>
      <c r="W140" s="21"/>
      <c r="X140" s="23"/>
      <c r="Y140" s="10"/>
      <c r="Z140" s="5">
        <f t="shared" si="28"/>
        <v>134</v>
      </c>
      <c r="AA140" s="7">
        <f t="shared" si="29"/>
        <v>287</v>
      </c>
      <c r="AB140" s="8">
        <f t="shared" si="24"/>
        <v>2020</v>
      </c>
      <c r="AC140" s="31">
        <f>IF(AD140=0,"",IF(_Ijour=0,MIN(DATE(YEAR(_DebAmort),MONTH(_DebAmort)+_MoisD+(Z140-1)*_Imois,_Jour2),DATE(YEAR(_DebAmort),MONTH(_DebAmort)+_MoisD+1+(Z140-1)*_Imois,0)),DATE(YEAR(_DebAmort),MONTH(_DebAmort),_Jour1+(Z140-1)*_Ijour)))</f>
        <v>43862</v>
      </c>
      <c r="AD140" s="156">
        <f t="shared" si="30"/>
        <v>178036.55</v>
      </c>
      <c r="AE140" s="153">
        <f>IF(Z140&lt;=_NoEchMaxi,ROUND(AD140*'Données Projet 1'!A149,_NbDeci),0)</f>
        <v>275.95999999999998</v>
      </c>
      <c r="AF140" s="152">
        <f>IF(OR(Z140&lt;=_Différé,Z140&gt;_NoEchMaxi),IF(_DiffTotal,-AE140,0),IF(Z140&gt;=_NoEchRemb,AD140,IF('Données Projet 1'!B149-(AE140*_EchFIXE)&gt;AD140-2,AD140,'Données Projet 1'!B149-(AE140*_EchFIXE))))+U140</f>
        <v>493.02000000000004</v>
      </c>
      <c r="AG140" s="154">
        <f t="shared" si="31"/>
        <v>19.77</v>
      </c>
      <c r="AH140" s="157">
        <f t="shared" si="25"/>
        <v>788.75</v>
      </c>
      <c r="AI140"/>
      <c r="AJ140" s="3"/>
      <c r="AK140" s="164"/>
      <c r="AL140" s="22"/>
      <c r="AM140" s="21"/>
      <c r="AN140" s="23"/>
      <c r="AO140" s="10"/>
      <c r="AP140" s="5">
        <f t="shared" si="32"/>
        <v>134</v>
      </c>
      <c r="AQ140" s="7">
        <f t="shared" si="33"/>
        <v>47</v>
      </c>
      <c r="AR140" s="8">
        <f t="shared" si="26"/>
        <v>2020</v>
      </c>
      <c r="AS140" s="31">
        <f>IF(AT140=0,"",IF(_Ijour1=0,MIN(DATE(YEAR(_DebAmort1),MONTH(_DebAmort1)+_MoisD1+(AP140-1)*_Imois1,__Jou2),DATE(YEAR(_DebAmort1),MONTH(_DebAmort1)+_MoisD1+1+(AP140-1)*_Imois1,0)),DATE(YEAR(_DebAmort1),MONTH(_DebAmort1),__Jou1+(AP140-1)*_Ijour1)))</f>
        <v>43862</v>
      </c>
      <c r="AT140" s="156">
        <f t="shared" si="34"/>
        <v>187250</v>
      </c>
      <c r="AU140" s="153">
        <f>IF(AP140&lt;=_NoEchMaxi1,ROUND(AT140*'Données Projet 1'!H149,_NbDeci1),0)</f>
        <v>156.04</v>
      </c>
      <c r="AV140" s="152">
        <f>IF(OR(AP140&lt;=_Différé1,AP140&gt;_NoEchMaxi1),IF(_DiffTotal1,-AU140,0),IF(AP140&gt;=_NoEchRemb1,AT140,IF('Données Projet 1'!I149-(AU140*_EchFIXE1)&gt;AT140-2,AT140,'Données Projet 1'!I149-(AU140*_EchFIXE1))))+AK140</f>
        <v>0</v>
      </c>
      <c r="AW140" s="154">
        <f t="shared" si="35"/>
        <v>15.6</v>
      </c>
      <c r="AX140" s="157">
        <f t="shared" si="27"/>
        <v>171.64</v>
      </c>
    </row>
    <row r="141" spans="20:50" ht="15.75" customHeight="1" x14ac:dyDescent="0.3">
      <c r="T141" s="3"/>
      <c r="U141" s="164"/>
      <c r="V141" s="22"/>
      <c r="W141" s="21"/>
      <c r="X141" s="23"/>
      <c r="Y141" s="10"/>
      <c r="Z141" s="5">
        <f t="shared" si="28"/>
        <v>135</v>
      </c>
      <c r="AA141" s="7">
        <f t="shared" si="29"/>
        <v>286</v>
      </c>
      <c r="AB141" s="8">
        <f t="shared" si="24"/>
        <v>2020</v>
      </c>
      <c r="AC141" s="31">
        <f>IF(AD141=0,"",IF(_Ijour=0,MIN(DATE(YEAR(_DebAmort),MONTH(_DebAmort)+(Z141-1)*_Imois,_Jour1),DATE(YEAR(_DebAmort),MONTH(_DebAmort)+1+(Z141-1)*_Imois,0)),DATE(YEAR(_DebAmort),MONTH(_DebAmort),_Jour1+(Z141-1)*_Ijour)))</f>
        <v>43891</v>
      </c>
      <c r="AD141" s="156">
        <f t="shared" si="30"/>
        <v>177543.53</v>
      </c>
      <c r="AE141" s="153">
        <f>IF(Z141&lt;=_NoEchMaxi,ROUND(AD141*'Données Projet 1'!A150,_NbDeci),0)</f>
        <v>275.19</v>
      </c>
      <c r="AF141" s="152">
        <f>IF(OR(Z141&lt;=_Différé,Z141&gt;_NoEchMaxi),IF(_DiffTotal,-AE141,0),IF(Z141&gt;=_NoEchRemb,AD141,IF('Données Projet 1'!B150-(AE141*_EchFIXE)&gt;AD141-2,AD141,'Données Projet 1'!B150-(AE141*_EchFIXE))))+U141</f>
        <v>493.79</v>
      </c>
      <c r="AG141" s="154">
        <f t="shared" si="31"/>
        <v>19.77</v>
      </c>
      <c r="AH141" s="157">
        <f t="shared" si="25"/>
        <v>788.75</v>
      </c>
      <c r="AI141"/>
      <c r="AJ141" s="3"/>
      <c r="AK141" s="164"/>
      <c r="AL141" s="22"/>
      <c r="AM141" s="21"/>
      <c r="AN141" s="23"/>
      <c r="AO141" s="10"/>
      <c r="AP141" s="5">
        <f t="shared" si="32"/>
        <v>135</v>
      </c>
      <c r="AQ141" s="7">
        <f t="shared" si="33"/>
        <v>46</v>
      </c>
      <c r="AR141" s="8">
        <f t="shared" si="26"/>
        <v>2020</v>
      </c>
      <c r="AS141" s="31">
        <f>IF(AT141=0,"",IF(_Ijour1=0,MIN(DATE(YEAR(_DebAmort1),MONTH(_DebAmort1)+(AP141-1)*_Imois1,__Jou1),DATE(YEAR(_DebAmort1),MONTH(_DebAmort1)+1+(AP141-1)*_Imois1,0)),DATE(YEAR(_DebAmort1),MONTH(_DebAmort1),__Jou1+(AP141-1)*_Ijour1)))</f>
        <v>43891</v>
      </c>
      <c r="AT141" s="156">
        <f t="shared" si="34"/>
        <v>187250</v>
      </c>
      <c r="AU141" s="153">
        <f>IF(AP141&lt;=_NoEchMaxi1,ROUND(AT141*'Données Projet 1'!H150,_NbDeci1),0)</f>
        <v>156.04</v>
      </c>
      <c r="AV141" s="152">
        <f>IF(OR(AP141&lt;=_Différé1,AP141&gt;_NoEchMaxi1),IF(_DiffTotal1,-AU141,0),IF(AP141&gt;=_NoEchRemb1,AT141,IF('Données Projet 1'!I150-(AU141*_EchFIXE1)&gt;AT141-2,AT141,'Données Projet 1'!I150-(AU141*_EchFIXE1))))+AK141</f>
        <v>0</v>
      </c>
      <c r="AW141" s="154">
        <f t="shared" si="35"/>
        <v>15.6</v>
      </c>
      <c r="AX141" s="157">
        <f t="shared" si="27"/>
        <v>171.64</v>
      </c>
    </row>
    <row r="142" spans="20:50" ht="15.75" customHeight="1" x14ac:dyDescent="0.3">
      <c r="T142" s="3"/>
      <c r="U142" s="164"/>
      <c r="V142" s="22"/>
      <c r="W142" s="21"/>
      <c r="X142" s="23"/>
      <c r="Y142" s="10"/>
      <c r="Z142" s="5">
        <f t="shared" si="28"/>
        <v>136</v>
      </c>
      <c r="AA142" s="7">
        <f t="shared" si="29"/>
        <v>285</v>
      </c>
      <c r="AB142" s="8">
        <f t="shared" si="24"/>
        <v>2020</v>
      </c>
      <c r="AC142" s="31">
        <f>IF(AD142=0,"",IF(_Ijour=0,MIN(DATE(YEAR(_DebAmort),MONTH(_DebAmort)+_MoisD+(Z142-1)*_Imois,_Jour2),DATE(YEAR(_DebAmort),MONTH(_DebAmort)+_MoisD+1+(Z142-1)*_Imois,0)),DATE(YEAR(_DebAmort),MONTH(_DebAmort),_Jour1+(Z142-1)*_Ijour)))</f>
        <v>43922</v>
      </c>
      <c r="AD142" s="156">
        <f t="shared" si="30"/>
        <v>177049.74</v>
      </c>
      <c r="AE142" s="153">
        <f>IF(Z142&lt;=_NoEchMaxi,ROUND(AD142*'Données Projet 1'!A151,_NbDeci),0)</f>
        <v>274.43</v>
      </c>
      <c r="AF142" s="152">
        <f>IF(OR(Z142&lt;=_Différé,Z142&gt;_NoEchMaxi),IF(_DiffTotal,-AE142,0),IF(Z142&gt;=_NoEchRemb,AD142,IF('Données Projet 1'!B151-(AE142*_EchFIXE)&gt;AD142-2,AD142,'Données Projet 1'!B151-(AE142*_EchFIXE))))+U142</f>
        <v>494.55</v>
      </c>
      <c r="AG142" s="154">
        <f t="shared" si="31"/>
        <v>19.77</v>
      </c>
      <c r="AH142" s="157">
        <f t="shared" si="25"/>
        <v>788.75</v>
      </c>
      <c r="AI142"/>
      <c r="AJ142" s="3"/>
      <c r="AK142" s="164"/>
      <c r="AL142" s="22"/>
      <c r="AM142" s="21"/>
      <c r="AN142" s="23"/>
      <c r="AO142" s="10"/>
      <c r="AP142" s="5">
        <f t="shared" si="32"/>
        <v>136</v>
      </c>
      <c r="AQ142" s="7">
        <f t="shared" si="33"/>
        <v>45</v>
      </c>
      <c r="AR142" s="8">
        <f t="shared" si="26"/>
        <v>2020</v>
      </c>
      <c r="AS142" s="31">
        <f>IF(AT142=0,"",IF(_Ijour1=0,MIN(DATE(YEAR(_DebAmort1),MONTH(_DebAmort1)+_MoisD1+(AP142-1)*_Imois1,__Jou2),DATE(YEAR(_DebAmort1),MONTH(_DebAmort1)+_MoisD1+1+(AP142-1)*_Imois1,0)),DATE(YEAR(_DebAmort1),MONTH(_DebAmort1),__Jou1+(AP142-1)*_Ijour1)))</f>
        <v>43922</v>
      </c>
      <c r="AT142" s="156">
        <f t="shared" si="34"/>
        <v>187250</v>
      </c>
      <c r="AU142" s="153">
        <f>IF(AP142&lt;=_NoEchMaxi1,ROUND(AT142*'Données Projet 1'!H151,_NbDeci1),0)</f>
        <v>156.04</v>
      </c>
      <c r="AV142" s="152">
        <f>IF(OR(AP142&lt;=_Différé1,AP142&gt;_NoEchMaxi1),IF(_DiffTotal1,-AU142,0),IF(AP142&gt;=_NoEchRemb1,AT142,IF('Données Projet 1'!I151-(AU142*_EchFIXE1)&gt;AT142-2,AT142,'Données Projet 1'!I151-(AU142*_EchFIXE1))))+AK142</f>
        <v>0</v>
      </c>
      <c r="AW142" s="154">
        <f t="shared" si="35"/>
        <v>15.6</v>
      </c>
      <c r="AX142" s="157">
        <f t="shared" si="27"/>
        <v>171.64</v>
      </c>
    </row>
    <row r="143" spans="20:50" ht="15.75" customHeight="1" x14ac:dyDescent="0.3">
      <c r="T143" s="3"/>
      <c r="U143" s="164"/>
      <c r="V143" s="22"/>
      <c r="W143" s="21"/>
      <c r="X143" s="23"/>
      <c r="Y143" s="10"/>
      <c r="Z143" s="5">
        <f t="shared" si="28"/>
        <v>137</v>
      </c>
      <c r="AA143" s="7">
        <f t="shared" si="29"/>
        <v>284</v>
      </c>
      <c r="AB143" s="8">
        <f t="shared" si="24"/>
        <v>2020</v>
      </c>
      <c r="AC143" s="31">
        <f>IF(AD143=0,"",IF(_Ijour=0,MIN(DATE(YEAR(_DebAmort),MONTH(_DebAmort)+(Z143-1)*_Imois,_Jour1),DATE(YEAR(_DebAmort),MONTH(_DebAmort)+1+(Z143-1)*_Imois,0)),DATE(YEAR(_DebAmort),MONTH(_DebAmort),_Jour1+(Z143-1)*_Ijour)))</f>
        <v>43952</v>
      </c>
      <c r="AD143" s="156">
        <f t="shared" si="30"/>
        <v>176555.19</v>
      </c>
      <c r="AE143" s="153">
        <f>IF(Z143&lt;=_NoEchMaxi,ROUND(AD143*'Données Projet 1'!A152,_NbDeci),0)</f>
        <v>273.66000000000003</v>
      </c>
      <c r="AF143" s="152">
        <f>IF(OR(Z143&lt;=_Différé,Z143&gt;_NoEchMaxi),IF(_DiffTotal,-AE143,0),IF(Z143&gt;=_NoEchRemb,AD143,IF('Données Projet 1'!B152-(AE143*_EchFIXE)&gt;AD143-2,AD143,'Données Projet 1'!B152-(AE143*_EchFIXE))))+U143</f>
        <v>495.32</v>
      </c>
      <c r="AG143" s="154">
        <f t="shared" si="31"/>
        <v>19.77</v>
      </c>
      <c r="AH143" s="157">
        <f t="shared" si="25"/>
        <v>788.75</v>
      </c>
      <c r="AI143"/>
      <c r="AJ143" s="3"/>
      <c r="AK143" s="164"/>
      <c r="AL143" s="22"/>
      <c r="AM143" s="21"/>
      <c r="AN143" s="23"/>
      <c r="AO143" s="10"/>
      <c r="AP143" s="5">
        <f t="shared" si="32"/>
        <v>137</v>
      </c>
      <c r="AQ143" s="7">
        <f t="shared" si="33"/>
        <v>44</v>
      </c>
      <c r="AR143" s="8">
        <f t="shared" si="26"/>
        <v>2020</v>
      </c>
      <c r="AS143" s="31">
        <f>IF(AT143=0,"",IF(_Ijour1=0,MIN(DATE(YEAR(_DebAmort1),MONTH(_DebAmort1)+(AP143-1)*_Imois1,__Jou1),DATE(YEAR(_DebAmort1),MONTH(_DebAmort1)+1+(AP143-1)*_Imois1,0)),DATE(YEAR(_DebAmort1),MONTH(_DebAmort1),__Jou1+(AP143-1)*_Ijour1)))</f>
        <v>43952</v>
      </c>
      <c r="AT143" s="156">
        <f t="shared" si="34"/>
        <v>187250</v>
      </c>
      <c r="AU143" s="153">
        <f>IF(AP143&lt;=_NoEchMaxi1,ROUND(AT143*'Données Projet 1'!H152,_NbDeci1),0)</f>
        <v>156.04</v>
      </c>
      <c r="AV143" s="152">
        <f>IF(OR(AP143&lt;=_Différé1,AP143&gt;_NoEchMaxi1),IF(_DiffTotal1,-AU143,0),IF(AP143&gt;=_NoEchRemb1,AT143,IF('Données Projet 1'!I152-(AU143*_EchFIXE1)&gt;AT143-2,AT143,'Données Projet 1'!I152-(AU143*_EchFIXE1))))+AK143</f>
        <v>0</v>
      </c>
      <c r="AW143" s="154">
        <f t="shared" si="35"/>
        <v>15.6</v>
      </c>
      <c r="AX143" s="157">
        <f t="shared" si="27"/>
        <v>171.64</v>
      </c>
    </row>
    <row r="144" spans="20:50" ht="15.75" customHeight="1" x14ac:dyDescent="0.3">
      <c r="T144" s="3"/>
      <c r="U144" s="164"/>
      <c r="V144" s="22"/>
      <c r="W144" s="21"/>
      <c r="X144" s="23"/>
      <c r="Y144" s="10"/>
      <c r="Z144" s="5">
        <f t="shared" si="28"/>
        <v>138</v>
      </c>
      <c r="AA144" s="7">
        <f t="shared" si="29"/>
        <v>283</v>
      </c>
      <c r="AB144" s="8">
        <f t="shared" si="24"/>
        <v>2020</v>
      </c>
      <c r="AC144" s="31">
        <f>IF(AD144=0,"",IF(_Ijour=0,MIN(DATE(YEAR(_DebAmort),MONTH(_DebAmort)+_MoisD+(Z144-1)*_Imois,_Jour2),DATE(YEAR(_DebAmort),MONTH(_DebAmort)+_MoisD+1+(Z144-1)*_Imois,0)),DATE(YEAR(_DebAmort),MONTH(_DebAmort),_Jour1+(Z144-1)*_Ijour)))</f>
        <v>43983</v>
      </c>
      <c r="AD144" s="156">
        <f t="shared" si="30"/>
        <v>176059.87</v>
      </c>
      <c r="AE144" s="153">
        <f>IF(Z144&lt;=_NoEchMaxi,ROUND(AD144*'Données Projet 1'!A153,_NbDeci),0)</f>
        <v>272.89</v>
      </c>
      <c r="AF144" s="152">
        <f>IF(OR(Z144&lt;=_Différé,Z144&gt;_NoEchMaxi),IF(_DiffTotal,-AE144,0),IF(Z144&gt;=_NoEchRemb,AD144,IF('Données Projet 1'!B153-(AE144*_EchFIXE)&gt;AD144-2,AD144,'Données Projet 1'!B153-(AE144*_EchFIXE))))+U144</f>
        <v>496.09000000000003</v>
      </c>
      <c r="AG144" s="154">
        <f t="shared" si="31"/>
        <v>19.77</v>
      </c>
      <c r="AH144" s="157">
        <f t="shared" si="25"/>
        <v>788.75</v>
      </c>
      <c r="AI144"/>
      <c r="AJ144" s="3"/>
      <c r="AK144" s="164"/>
      <c r="AL144" s="22"/>
      <c r="AM144" s="21"/>
      <c r="AN144" s="23"/>
      <c r="AO144" s="10"/>
      <c r="AP144" s="5">
        <f t="shared" si="32"/>
        <v>138</v>
      </c>
      <c r="AQ144" s="7">
        <f t="shared" si="33"/>
        <v>43</v>
      </c>
      <c r="AR144" s="8">
        <f t="shared" si="26"/>
        <v>2020</v>
      </c>
      <c r="AS144" s="31">
        <f>IF(AT144=0,"",IF(_Ijour1=0,MIN(DATE(YEAR(_DebAmort1),MONTH(_DebAmort1)+_MoisD1+(AP144-1)*_Imois1,__Jou2),DATE(YEAR(_DebAmort1),MONTH(_DebAmort1)+_MoisD1+1+(AP144-1)*_Imois1,0)),DATE(YEAR(_DebAmort1),MONTH(_DebAmort1),__Jou1+(AP144-1)*_Ijour1)))</f>
        <v>43983</v>
      </c>
      <c r="AT144" s="156">
        <f t="shared" si="34"/>
        <v>187250</v>
      </c>
      <c r="AU144" s="153">
        <f>IF(AP144&lt;=_NoEchMaxi1,ROUND(AT144*'Données Projet 1'!H153,_NbDeci1),0)</f>
        <v>156.04</v>
      </c>
      <c r="AV144" s="152">
        <f>IF(OR(AP144&lt;=_Différé1,AP144&gt;_NoEchMaxi1),IF(_DiffTotal1,-AU144,0),IF(AP144&gt;=_NoEchRemb1,AT144,IF('Données Projet 1'!I153-(AU144*_EchFIXE1)&gt;AT144-2,AT144,'Données Projet 1'!I153-(AU144*_EchFIXE1))))+AK144</f>
        <v>0</v>
      </c>
      <c r="AW144" s="154">
        <f t="shared" si="35"/>
        <v>15.6</v>
      </c>
      <c r="AX144" s="157">
        <f t="shared" si="27"/>
        <v>171.64</v>
      </c>
    </row>
    <row r="145" spans="20:50" ht="15.75" customHeight="1" x14ac:dyDescent="0.3">
      <c r="T145" s="3"/>
      <c r="U145" s="164"/>
      <c r="V145" s="22"/>
      <c r="W145" s="21"/>
      <c r="X145" s="23"/>
      <c r="Y145" s="10"/>
      <c r="Z145" s="5">
        <f t="shared" si="28"/>
        <v>139</v>
      </c>
      <c r="AA145" s="7">
        <f t="shared" si="29"/>
        <v>282</v>
      </c>
      <c r="AB145" s="8">
        <f t="shared" si="24"/>
        <v>2020</v>
      </c>
      <c r="AC145" s="31">
        <f>IF(AD145=0,"",IF(_Ijour=0,MIN(DATE(YEAR(_DebAmort),MONTH(_DebAmort)+(Z145-1)*_Imois,_Jour1),DATE(YEAR(_DebAmort),MONTH(_DebAmort)+1+(Z145-1)*_Imois,0)),DATE(YEAR(_DebAmort),MONTH(_DebAmort),_Jour1+(Z145-1)*_Ijour)))</f>
        <v>44013</v>
      </c>
      <c r="AD145" s="156">
        <f t="shared" si="30"/>
        <v>175563.78</v>
      </c>
      <c r="AE145" s="153">
        <f>IF(Z145&lt;=_NoEchMaxi,ROUND(AD145*'Données Projet 1'!A154,_NbDeci),0)</f>
        <v>272.12</v>
      </c>
      <c r="AF145" s="152">
        <f>IF(OR(Z145&lt;=_Différé,Z145&gt;_NoEchMaxi),IF(_DiffTotal,-AE145,0),IF(Z145&gt;=_NoEchRemb,AD145,IF('Données Projet 1'!B154-(AE145*_EchFIXE)&gt;AD145-2,AD145,'Données Projet 1'!B154-(AE145*_EchFIXE))))+U145</f>
        <v>496.86</v>
      </c>
      <c r="AG145" s="154">
        <f t="shared" si="31"/>
        <v>19.77</v>
      </c>
      <c r="AH145" s="157">
        <f t="shared" si="25"/>
        <v>788.75</v>
      </c>
      <c r="AI145"/>
      <c r="AJ145" s="3"/>
      <c r="AK145" s="164"/>
      <c r="AL145" s="22"/>
      <c r="AM145" s="21"/>
      <c r="AN145" s="23"/>
      <c r="AO145" s="10"/>
      <c r="AP145" s="5">
        <f t="shared" si="32"/>
        <v>139</v>
      </c>
      <c r="AQ145" s="7">
        <f t="shared" si="33"/>
        <v>42</v>
      </c>
      <c r="AR145" s="8">
        <f t="shared" si="26"/>
        <v>2020</v>
      </c>
      <c r="AS145" s="31">
        <f>IF(AT145=0,"",IF(_Ijour1=0,MIN(DATE(YEAR(_DebAmort1),MONTH(_DebAmort1)+(AP145-1)*_Imois1,__Jou1),DATE(YEAR(_DebAmort1),MONTH(_DebAmort1)+1+(AP145-1)*_Imois1,0)),DATE(YEAR(_DebAmort1),MONTH(_DebAmort1),__Jou1+(AP145-1)*_Ijour1)))</f>
        <v>44013</v>
      </c>
      <c r="AT145" s="156">
        <f t="shared" si="34"/>
        <v>187250</v>
      </c>
      <c r="AU145" s="153">
        <f>IF(AP145&lt;=_NoEchMaxi1,ROUND(AT145*'Données Projet 1'!H154,_NbDeci1),0)</f>
        <v>156.04</v>
      </c>
      <c r="AV145" s="152">
        <f>IF(OR(AP145&lt;=_Différé1,AP145&gt;_NoEchMaxi1),IF(_DiffTotal1,-AU145,0),IF(AP145&gt;=_NoEchRemb1,AT145,IF('Données Projet 1'!I154-(AU145*_EchFIXE1)&gt;AT145-2,AT145,'Données Projet 1'!I154-(AU145*_EchFIXE1))))+AK145</f>
        <v>0</v>
      </c>
      <c r="AW145" s="154">
        <f t="shared" si="35"/>
        <v>15.6</v>
      </c>
      <c r="AX145" s="157">
        <f t="shared" si="27"/>
        <v>171.64</v>
      </c>
    </row>
    <row r="146" spans="20:50" ht="15.75" customHeight="1" x14ac:dyDescent="0.3">
      <c r="T146" s="3"/>
      <c r="U146" s="164"/>
      <c r="V146" s="22"/>
      <c r="W146" s="21"/>
      <c r="X146" s="23"/>
      <c r="Y146" s="10"/>
      <c r="Z146" s="5">
        <f t="shared" si="28"/>
        <v>140</v>
      </c>
      <c r="AA146" s="7">
        <f t="shared" si="29"/>
        <v>281</v>
      </c>
      <c r="AB146" s="8">
        <f t="shared" si="24"/>
        <v>2020</v>
      </c>
      <c r="AC146" s="31">
        <f>IF(AD146=0,"",IF(_Ijour=0,MIN(DATE(YEAR(_DebAmort),MONTH(_DebAmort)+_MoisD+(Z146-1)*_Imois,_Jour2),DATE(YEAR(_DebAmort),MONTH(_DebAmort)+_MoisD+1+(Z146-1)*_Imois,0)),DATE(YEAR(_DebAmort),MONTH(_DebAmort),_Jour1+(Z146-1)*_Ijour)))</f>
        <v>44044</v>
      </c>
      <c r="AD146" s="156">
        <f t="shared" si="30"/>
        <v>175066.92</v>
      </c>
      <c r="AE146" s="153">
        <f>IF(Z146&lt;=_NoEchMaxi,ROUND(AD146*'Données Projet 1'!A155,_NbDeci),0)</f>
        <v>271.35000000000002</v>
      </c>
      <c r="AF146" s="152">
        <f>IF(OR(Z146&lt;=_Différé,Z146&gt;_NoEchMaxi),IF(_DiffTotal,-AE146,0),IF(Z146&gt;=_NoEchRemb,AD146,IF('Données Projet 1'!B155-(AE146*_EchFIXE)&gt;AD146-2,AD146,'Données Projet 1'!B155-(AE146*_EchFIXE))))+U146</f>
        <v>497.63</v>
      </c>
      <c r="AG146" s="154">
        <f t="shared" si="31"/>
        <v>19.77</v>
      </c>
      <c r="AH146" s="157">
        <f t="shared" si="25"/>
        <v>788.75</v>
      </c>
      <c r="AI146"/>
      <c r="AJ146" s="3"/>
      <c r="AK146" s="164"/>
      <c r="AL146" s="22"/>
      <c r="AM146" s="21"/>
      <c r="AN146" s="23"/>
      <c r="AO146" s="10"/>
      <c r="AP146" s="5">
        <f t="shared" si="32"/>
        <v>140</v>
      </c>
      <c r="AQ146" s="7">
        <f t="shared" si="33"/>
        <v>41</v>
      </c>
      <c r="AR146" s="8">
        <f t="shared" si="26"/>
        <v>2020</v>
      </c>
      <c r="AS146" s="31">
        <f>IF(AT146=0,"",IF(_Ijour1=0,MIN(DATE(YEAR(_DebAmort1),MONTH(_DebAmort1)+_MoisD1+(AP146-1)*_Imois1,__Jou2),DATE(YEAR(_DebAmort1),MONTH(_DebAmort1)+_MoisD1+1+(AP146-1)*_Imois1,0)),DATE(YEAR(_DebAmort1),MONTH(_DebAmort1),__Jou1+(AP146-1)*_Ijour1)))</f>
        <v>44044</v>
      </c>
      <c r="AT146" s="156">
        <f t="shared" si="34"/>
        <v>187250</v>
      </c>
      <c r="AU146" s="153">
        <f>IF(AP146&lt;=_NoEchMaxi1,ROUND(AT146*'Données Projet 1'!H155,_NbDeci1),0)</f>
        <v>156.04</v>
      </c>
      <c r="AV146" s="152">
        <f>IF(OR(AP146&lt;=_Différé1,AP146&gt;_NoEchMaxi1),IF(_DiffTotal1,-AU146,0),IF(AP146&gt;=_NoEchRemb1,AT146,IF('Données Projet 1'!I155-(AU146*_EchFIXE1)&gt;AT146-2,AT146,'Données Projet 1'!I155-(AU146*_EchFIXE1))))+AK146</f>
        <v>0</v>
      </c>
      <c r="AW146" s="154">
        <f t="shared" si="35"/>
        <v>15.6</v>
      </c>
      <c r="AX146" s="157">
        <f t="shared" si="27"/>
        <v>171.64</v>
      </c>
    </row>
    <row r="147" spans="20:50" ht="15.75" customHeight="1" x14ac:dyDescent="0.3">
      <c r="T147" s="3"/>
      <c r="U147" s="164"/>
      <c r="V147" s="22"/>
      <c r="W147" s="21"/>
      <c r="X147" s="23"/>
      <c r="Y147" s="10"/>
      <c r="Z147" s="5">
        <f t="shared" si="28"/>
        <v>141</v>
      </c>
      <c r="AA147" s="7">
        <f t="shared" si="29"/>
        <v>280</v>
      </c>
      <c r="AB147" s="8">
        <f t="shared" si="24"/>
        <v>2020</v>
      </c>
      <c r="AC147" s="31">
        <f>IF(AD147=0,"",IF(_Ijour=0,MIN(DATE(YEAR(_DebAmort),MONTH(_DebAmort)+(Z147-1)*_Imois,_Jour1),DATE(YEAR(_DebAmort),MONTH(_DebAmort)+1+(Z147-1)*_Imois,0)),DATE(YEAR(_DebAmort),MONTH(_DebAmort),_Jour1+(Z147-1)*_Ijour)))</f>
        <v>44075</v>
      </c>
      <c r="AD147" s="156">
        <f t="shared" si="30"/>
        <v>174569.29</v>
      </c>
      <c r="AE147" s="153">
        <f>IF(Z147&lt;=_NoEchMaxi,ROUND(AD147*'Données Projet 1'!A156,_NbDeci),0)</f>
        <v>270.58</v>
      </c>
      <c r="AF147" s="152">
        <f>IF(OR(Z147&lt;=_Différé,Z147&gt;_NoEchMaxi),IF(_DiffTotal,-AE147,0),IF(Z147&gt;=_NoEchRemb,AD147,IF('Données Projet 1'!B156-(AE147*_EchFIXE)&gt;AD147-2,AD147,'Données Projet 1'!B156-(AE147*_EchFIXE))))+U147</f>
        <v>498.40000000000003</v>
      </c>
      <c r="AG147" s="154">
        <f t="shared" si="31"/>
        <v>19.77</v>
      </c>
      <c r="AH147" s="157">
        <f t="shared" si="25"/>
        <v>788.75</v>
      </c>
      <c r="AI147"/>
      <c r="AJ147" s="3"/>
      <c r="AK147" s="164"/>
      <c r="AL147" s="22"/>
      <c r="AM147" s="21"/>
      <c r="AN147" s="23"/>
      <c r="AO147" s="10"/>
      <c r="AP147" s="5">
        <f t="shared" si="32"/>
        <v>141</v>
      </c>
      <c r="AQ147" s="7">
        <f t="shared" si="33"/>
        <v>40</v>
      </c>
      <c r="AR147" s="8">
        <f t="shared" si="26"/>
        <v>2020</v>
      </c>
      <c r="AS147" s="31">
        <f>IF(AT147=0,"",IF(_Ijour1=0,MIN(DATE(YEAR(_DebAmort1),MONTH(_DebAmort1)+(AP147-1)*_Imois1,__Jou1),DATE(YEAR(_DebAmort1),MONTH(_DebAmort1)+1+(AP147-1)*_Imois1,0)),DATE(YEAR(_DebAmort1),MONTH(_DebAmort1),__Jou1+(AP147-1)*_Ijour1)))</f>
        <v>44075</v>
      </c>
      <c r="AT147" s="156">
        <f t="shared" si="34"/>
        <v>187250</v>
      </c>
      <c r="AU147" s="153">
        <f>IF(AP147&lt;=_NoEchMaxi1,ROUND(AT147*'Données Projet 1'!H156,_NbDeci1),0)</f>
        <v>156.04</v>
      </c>
      <c r="AV147" s="152">
        <f>IF(OR(AP147&lt;=_Différé1,AP147&gt;_NoEchMaxi1),IF(_DiffTotal1,-AU147,0),IF(AP147&gt;=_NoEchRemb1,AT147,IF('Données Projet 1'!I156-(AU147*_EchFIXE1)&gt;AT147-2,AT147,'Données Projet 1'!I156-(AU147*_EchFIXE1))))+AK147</f>
        <v>0</v>
      </c>
      <c r="AW147" s="154">
        <f t="shared" si="35"/>
        <v>15.6</v>
      </c>
      <c r="AX147" s="157">
        <f t="shared" si="27"/>
        <v>171.64</v>
      </c>
    </row>
    <row r="148" spans="20:50" ht="15.75" customHeight="1" x14ac:dyDescent="0.3">
      <c r="T148" s="3"/>
      <c r="U148" s="164"/>
      <c r="V148" s="22"/>
      <c r="W148" s="21"/>
      <c r="X148" s="23"/>
      <c r="Y148" s="10"/>
      <c r="Z148" s="5">
        <f t="shared" si="28"/>
        <v>142</v>
      </c>
      <c r="AA148" s="7">
        <f t="shared" si="29"/>
        <v>279</v>
      </c>
      <c r="AB148" s="8">
        <f t="shared" si="24"/>
        <v>2020</v>
      </c>
      <c r="AC148" s="31">
        <f>IF(AD148=0,"",IF(_Ijour=0,MIN(DATE(YEAR(_DebAmort),MONTH(_DebAmort)+_MoisD+(Z148-1)*_Imois,_Jour2),DATE(YEAR(_DebAmort),MONTH(_DebAmort)+_MoisD+1+(Z148-1)*_Imois,0)),DATE(YEAR(_DebAmort),MONTH(_DebAmort),_Jour1+(Z148-1)*_Ijour)))</f>
        <v>44105</v>
      </c>
      <c r="AD148" s="156">
        <f t="shared" si="30"/>
        <v>174070.89</v>
      </c>
      <c r="AE148" s="153">
        <f>IF(Z148&lt;=_NoEchMaxi,ROUND(AD148*'Données Projet 1'!A157,_NbDeci),0)</f>
        <v>269.81</v>
      </c>
      <c r="AF148" s="152">
        <f>IF(OR(Z148&lt;=_Différé,Z148&gt;_NoEchMaxi),IF(_DiffTotal,-AE148,0),IF(Z148&gt;=_NoEchRemb,AD148,IF('Données Projet 1'!B157-(AE148*_EchFIXE)&gt;AD148-2,AD148,'Données Projet 1'!B157-(AE148*_EchFIXE))))+U148</f>
        <v>499.17</v>
      </c>
      <c r="AG148" s="154">
        <f t="shared" si="31"/>
        <v>19.77</v>
      </c>
      <c r="AH148" s="157">
        <f t="shared" si="25"/>
        <v>788.75</v>
      </c>
      <c r="AI148"/>
      <c r="AJ148" s="3"/>
      <c r="AK148" s="164"/>
      <c r="AL148" s="22"/>
      <c r="AM148" s="21"/>
      <c r="AN148" s="23"/>
      <c r="AO148" s="10"/>
      <c r="AP148" s="5">
        <f t="shared" si="32"/>
        <v>142</v>
      </c>
      <c r="AQ148" s="7">
        <f t="shared" si="33"/>
        <v>39</v>
      </c>
      <c r="AR148" s="8">
        <f t="shared" si="26"/>
        <v>2020</v>
      </c>
      <c r="AS148" s="31">
        <f>IF(AT148=0,"",IF(_Ijour1=0,MIN(DATE(YEAR(_DebAmort1),MONTH(_DebAmort1)+_MoisD1+(AP148-1)*_Imois1,__Jou2),DATE(YEAR(_DebAmort1),MONTH(_DebAmort1)+_MoisD1+1+(AP148-1)*_Imois1,0)),DATE(YEAR(_DebAmort1),MONTH(_DebAmort1),__Jou1+(AP148-1)*_Ijour1)))</f>
        <v>44105</v>
      </c>
      <c r="AT148" s="156">
        <f t="shared" si="34"/>
        <v>187250</v>
      </c>
      <c r="AU148" s="153">
        <f>IF(AP148&lt;=_NoEchMaxi1,ROUND(AT148*'Données Projet 1'!H157,_NbDeci1),0)</f>
        <v>156.04</v>
      </c>
      <c r="AV148" s="152">
        <f>IF(OR(AP148&lt;=_Différé1,AP148&gt;_NoEchMaxi1),IF(_DiffTotal1,-AU148,0),IF(AP148&gt;=_NoEchRemb1,AT148,IF('Données Projet 1'!I157-(AU148*_EchFIXE1)&gt;AT148-2,AT148,'Données Projet 1'!I157-(AU148*_EchFIXE1))))+AK148</f>
        <v>0</v>
      </c>
      <c r="AW148" s="154">
        <f t="shared" si="35"/>
        <v>15.6</v>
      </c>
      <c r="AX148" s="157">
        <f t="shared" si="27"/>
        <v>171.64</v>
      </c>
    </row>
    <row r="149" spans="20:50" ht="15.75" customHeight="1" x14ac:dyDescent="0.3">
      <c r="T149" s="3"/>
      <c r="U149" s="164"/>
      <c r="V149" s="22"/>
      <c r="W149" s="21"/>
      <c r="X149" s="23"/>
      <c r="Y149" s="10"/>
      <c r="Z149" s="5">
        <f t="shared" si="28"/>
        <v>143</v>
      </c>
      <c r="AA149" s="7">
        <f t="shared" si="29"/>
        <v>278</v>
      </c>
      <c r="AB149" s="8">
        <f t="shared" si="24"/>
        <v>2020</v>
      </c>
      <c r="AC149" s="31">
        <f>IF(AD149=0,"",IF(_Ijour=0,MIN(DATE(YEAR(_DebAmort),MONTH(_DebAmort)+(Z149-1)*_Imois,_Jour1),DATE(YEAR(_DebAmort),MONTH(_DebAmort)+1+(Z149-1)*_Imois,0)),DATE(YEAR(_DebAmort),MONTH(_DebAmort),_Jour1+(Z149-1)*_Ijour)))</f>
        <v>44136</v>
      </c>
      <c r="AD149" s="156">
        <f t="shared" si="30"/>
        <v>173571.72</v>
      </c>
      <c r="AE149" s="153">
        <f>IF(Z149&lt;=_NoEchMaxi,ROUND(AD149*'Données Projet 1'!A158,_NbDeci),0)</f>
        <v>269.04000000000002</v>
      </c>
      <c r="AF149" s="152">
        <f>IF(OR(Z149&lt;=_Différé,Z149&gt;_NoEchMaxi),IF(_DiffTotal,-AE149,0),IF(Z149&gt;=_NoEchRemb,AD149,IF('Données Projet 1'!B158-(AE149*_EchFIXE)&gt;AD149-2,AD149,'Données Projet 1'!B158-(AE149*_EchFIXE))))+U149</f>
        <v>499.94</v>
      </c>
      <c r="AG149" s="154">
        <f t="shared" si="31"/>
        <v>19.77</v>
      </c>
      <c r="AH149" s="157">
        <f t="shared" si="25"/>
        <v>788.75</v>
      </c>
      <c r="AI149"/>
      <c r="AJ149" s="3"/>
      <c r="AK149" s="164"/>
      <c r="AL149" s="22"/>
      <c r="AM149" s="21"/>
      <c r="AN149" s="23"/>
      <c r="AO149" s="10"/>
      <c r="AP149" s="5">
        <f t="shared" si="32"/>
        <v>143</v>
      </c>
      <c r="AQ149" s="7">
        <f t="shared" si="33"/>
        <v>38</v>
      </c>
      <c r="AR149" s="8">
        <f t="shared" si="26"/>
        <v>2020</v>
      </c>
      <c r="AS149" s="31">
        <f>IF(AT149=0,"",IF(_Ijour1=0,MIN(DATE(YEAR(_DebAmort1),MONTH(_DebAmort1)+(AP149-1)*_Imois1,__Jou1),DATE(YEAR(_DebAmort1),MONTH(_DebAmort1)+1+(AP149-1)*_Imois1,0)),DATE(YEAR(_DebAmort1),MONTH(_DebAmort1),__Jou1+(AP149-1)*_Ijour1)))</f>
        <v>44136</v>
      </c>
      <c r="AT149" s="156">
        <f t="shared" si="34"/>
        <v>187250</v>
      </c>
      <c r="AU149" s="153">
        <f>IF(AP149&lt;=_NoEchMaxi1,ROUND(AT149*'Données Projet 1'!H158,_NbDeci1),0)</f>
        <v>156.04</v>
      </c>
      <c r="AV149" s="152">
        <f>IF(OR(AP149&lt;=_Différé1,AP149&gt;_NoEchMaxi1),IF(_DiffTotal1,-AU149,0),IF(AP149&gt;=_NoEchRemb1,AT149,IF('Données Projet 1'!I158-(AU149*_EchFIXE1)&gt;AT149-2,AT149,'Données Projet 1'!I158-(AU149*_EchFIXE1))))+AK149</f>
        <v>0</v>
      </c>
      <c r="AW149" s="154">
        <f t="shared" si="35"/>
        <v>15.6</v>
      </c>
      <c r="AX149" s="157">
        <f t="shared" si="27"/>
        <v>171.64</v>
      </c>
    </row>
    <row r="150" spans="20:50" ht="15.75" customHeight="1" x14ac:dyDescent="0.3">
      <c r="T150" s="3"/>
      <c r="U150" s="164"/>
      <c r="V150" s="22"/>
      <c r="W150" s="21"/>
      <c r="X150" s="23"/>
      <c r="Y150" s="10"/>
      <c r="Z150" s="5">
        <f t="shared" si="28"/>
        <v>144</v>
      </c>
      <c r="AA150" s="7">
        <f t="shared" si="29"/>
        <v>277</v>
      </c>
      <c r="AB150" s="8">
        <f t="shared" si="24"/>
        <v>2020</v>
      </c>
      <c r="AC150" s="31">
        <f>IF(AD150=0,"",IF(_Ijour=0,MIN(DATE(YEAR(_DebAmort),MONTH(_DebAmort)+_MoisD+(Z150-1)*_Imois,_Jour2),DATE(YEAR(_DebAmort),MONTH(_DebAmort)+_MoisD+1+(Z150-1)*_Imois,0)),DATE(YEAR(_DebAmort),MONTH(_DebAmort),_Jour1+(Z150-1)*_Ijour)))</f>
        <v>44166</v>
      </c>
      <c r="AD150" s="156">
        <f t="shared" si="30"/>
        <v>173071.78</v>
      </c>
      <c r="AE150" s="153">
        <f>IF(Z150&lt;=_NoEchMaxi,ROUND(AD150*'Données Projet 1'!A159,_NbDeci),0)</f>
        <v>268.26</v>
      </c>
      <c r="AF150" s="152">
        <f>IF(OR(Z150&lt;=_Différé,Z150&gt;_NoEchMaxi),IF(_DiffTotal,-AE150,0),IF(Z150&gt;=_NoEchRemb,AD150,IF('Données Projet 1'!B159-(AE150*_EchFIXE)&gt;AD150-2,AD150,'Données Projet 1'!B159-(AE150*_EchFIXE))))+U150</f>
        <v>500.72</v>
      </c>
      <c r="AG150" s="154">
        <f t="shared" si="31"/>
        <v>19.77</v>
      </c>
      <c r="AH150" s="157">
        <f t="shared" si="25"/>
        <v>788.75</v>
      </c>
      <c r="AI150"/>
      <c r="AJ150" s="3"/>
      <c r="AK150" s="164"/>
      <c r="AL150" s="22"/>
      <c r="AM150" s="21"/>
      <c r="AN150" s="23"/>
      <c r="AO150" s="10"/>
      <c r="AP150" s="5">
        <f t="shared" si="32"/>
        <v>144</v>
      </c>
      <c r="AQ150" s="7">
        <f t="shared" si="33"/>
        <v>37</v>
      </c>
      <c r="AR150" s="8">
        <f t="shared" si="26"/>
        <v>2020</v>
      </c>
      <c r="AS150" s="31">
        <f>IF(AT150=0,"",IF(_Ijour1=0,MIN(DATE(YEAR(_DebAmort1),MONTH(_DebAmort1)+_MoisD1+(AP150-1)*_Imois1,__Jou2),DATE(YEAR(_DebAmort1),MONTH(_DebAmort1)+_MoisD1+1+(AP150-1)*_Imois1,0)),DATE(YEAR(_DebAmort1),MONTH(_DebAmort1),__Jou1+(AP150-1)*_Ijour1)))</f>
        <v>44166</v>
      </c>
      <c r="AT150" s="156">
        <f t="shared" si="34"/>
        <v>187250</v>
      </c>
      <c r="AU150" s="153">
        <f>IF(AP150&lt;=_NoEchMaxi1,ROUND(AT150*'Données Projet 1'!H159,_NbDeci1),0)</f>
        <v>156.04</v>
      </c>
      <c r="AV150" s="152">
        <f>IF(OR(AP150&lt;=_Différé1,AP150&gt;_NoEchMaxi1),IF(_DiffTotal1,-AU150,0),IF(AP150&gt;=_NoEchRemb1,AT150,IF('Données Projet 1'!I159-(AU150*_EchFIXE1)&gt;AT150-2,AT150,'Données Projet 1'!I159-(AU150*_EchFIXE1))))+AK150</f>
        <v>0</v>
      </c>
      <c r="AW150" s="154">
        <f t="shared" si="35"/>
        <v>15.6</v>
      </c>
      <c r="AX150" s="157">
        <f t="shared" si="27"/>
        <v>171.64</v>
      </c>
    </row>
    <row r="151" spans="20:50" ht="15.75" customHeight="1" x14ac:dyDescent="0.3">
      <c r="T151" s="3"/>
      <c r="U151" s="164"/>
      <c r="V151" s="22"/>
      <c r="W151" s="21"/>
      <c r="X151" s="23"/>
      <c r="Y151" s="10"/>
      <c r="Z151" s="5">
        <f t="shared" si="28"/>
        <v>145</v>
      </c>
      <c r="AA151" s="7">
        <f t="shared" si="29"/>
        <v>276</v>
      </c>
      <c r="AB151" s="8">
        <f t="shared" si="24"/>
        <v>2021</v>
      </c>
      <c r="AC151" s="31">
        <f>IF(AD151=0,"",IF(_Ijour=0,MIN(DATE(YEAR(_DebAmort),MONTH(_DebAmort)+(Z151-1)*_Imois,_Jour1),DATE(YEAR(_DebAmort),MONTH(_DebAmort)+1+(Z151-1)*_Imois,0)),DATE(YEAR(_DebAmort),MONTH(_DebAmort),_Jour1+(Z151-1)*_Ijour)))</f>
        <v>44197</v>
      </c>
      <c r="AD151" s="156">
        <f t="shared" si="30"/>
        <v>172571.06</v>
      </c>
      <c r="AE151" s="153">
        <f>IF(Z151&lt;=_NoEchMaxi,ROUND(AD151*'Données Projet 1'!A160,_NbDeci),0)</f>
        <v>267.49</v>
      </c>
      <c r="AF151" s="152">
        <f>IF(OR(Z151&lt;=_Différé,Z151&gt;_NoEchMaxi),IF(_DiffTotal,-AE151,0),IF(Z151&gt;=_NoEchRemb,AD151,IF('Données Projet 1'!B160-(AE151*_EchFIXE)&gt;AD151-2,AD151,'Données Projet 1'!B160-(AE151*_EchFIXE))))+U151</f>
        <v>501.49</v>
      </c>
      <c r="AG151" s="154">
        <f t="shared" si="31"/>
        <v>19.77</v>
      </c>
      <c r="AH151" s="157">
        <f t="shared" si="25"/>
        <v>788.75</v>
      </c>
      <c r="AI151"/>
      <c r="AJ151" s="3"/>
      <c r="AK151" s="164"/>
      <c r="AL151" s="22"/>
      <c r="AM151" s="21"/>
      <c r="AN151" s="23"/>
      <c r="AO151" s="10"/>
      <c r="AP151" s="5">
        <f t="shared" si="32"/>
        <v>145</v>
      </c>
      <c r="AQ151" s="7">
        <f t="shared" si="33"/>
        <v>36</v>
      </c>
      <c r="AR151" s="8">
        <f t="shared" si="26"/>
        <v>2021</v>
      </c>
      <c r="AS151" s="31">
        <f>IF(AT151=0,"",IF(_Ijour1=0,MIN(DATE(YEAR(_DebAmort1),MONTH(_DebAmort1)+(AP151-1)*_Imois1,__Jou1),DATE(YEAR(_DebAmort1),MONTH(_DebAmort1)+1+(AP151-1)*_Imois1,0)),DATE(YEAR(_DebAmort1),MONTH(_DebAmort1),__Jou1+(AP151-1)*_Ijour1)))</f>
        <v>44197</v>
      </c>
      <c r="AT151" s="156">
        <f t="shared" si="34"/>
        <v>187250</v>
      </c>
      <c r="AU151" s="153">
        <f>IF(AP151&lt;=_NoEchMaxi1,ROUND(AT151*'Données Projet 1'!H160,_NbDeci1),0)</f>
        <v>156.04</v>
      </c>
      <c r="AV151" s="152">
        <f>IF(OR(AP151&lt;=_Différé1,AP151&gt;_NoEchMaxi1),IF(_DiffTotal1,-AU151,0),IF(AP151&gt;=_NoEchRemb1,AT151,IF('Données Projet 1'!I160-(AU151*_EchFIXE1)&gt;AT151-2,AT151,'Données Projet 1'!I160-(AU151*_EchFIXE1))))+AK151</f>
        <v>0</v>
      </c>
      <c r="AW151" s="154">
        <f t="shared" si="35"/>
        <v>15.6</v>
      </c>
      <c r="AX151" s="157">
        <f t="shared" si="27"/>
        <v>171.64</v>
      </c>
    </row>
    <row r="152" spans="20:50" ht="15.75" customHeight="1" x14ac:dyDescent="0.3">
      <c r="T152" s="3"/>
      <c r="U152" s="164"/>
      <c r="V152" s="22"/>
      <c r="W152" s="21"/>
      <c r="X152" s="23"/>
      <c r="Y152" s="10"/>
      <c r="Z152" s="5">
        <f t="shared" si="28"/>
        <v>146</v>
      </c>
      <c r="AA152" s="7">
        <f t="shared" si="29"/>
        <v>275</v>
      </c>
      <c r="AB152" s="8">
        <f t="shared" si="24"/>
        <v>2021</v>
      </c>
      <c r="AC152" s="31">
        <f>IF(AD152=0,"",IF(_Ijour=0,MIN(DATE(YEAR(_DebAmort),MONTH(_DebAmort)+_MoisD+(Z152-1)*_Imois,_Jour2),DATE(YEAR(_DebAmort),MONTH(_DebAmort)+_MoisD+1+(Z152-1)*_Imois,0)),DATE(YEAR(_DebAmort),MONTH(_DebAmort),_Jour1+(Z152-1)*_Ijour)))</f>
        <v>44228</v>
      </c>
      <c r="AD152" s="156">
        <f t="shared" si="30"/>
        <v>172069.57</v>
      </c>
      <c r="AE152" s="153">
        <f>IF(Z152&lt;=_NoEchMaxi,ROUND(AD152*'Données Projet 1'!A161,_NbDeci),0)</f>
        <v>266.70999999999998</v>
      </c>
      <c r="AF152" s="152">
        <f>IF(OR(Z152&lt;=_Différé,Z152&gt;_NoEchMaxi),IF(_DiffTotal,-AE152,0),IF(Z152&gt;=_NoEchRemb,AD152,IF('Données Projet 1'!B161-(AE152*_EchFIXE)&gt;AD152-2,AD152,'Données Projet 1'!B161-(AE152*_EchFIXE))))+U152</f>
        <v>502.27000000000004</v>
      </c>
      <c r="AG152" s="154">
        <f t="shared" si="31"/>
        <v>19.77</v>
      </c>
      <c r="AH152" s="157">
        <f t="shared" si="25"/>
        <v>788.75</v>
      </c>
      <c r="AI152"/>
      <c r="AJ152" s="3"/>
      <c r="AK152" s="164"/>
      <c r="AL152" s="22"/>
      <c r="AM152" s="21"/>
      <c r="AN152" s="23"/>
      <c r="AO152" s="10"/>
      <c r="AP152" s="5">
        <f t="shared" si="32"/>
        <v>146</v>
      </c>
      <c r="AQ152" s="7">
        <f t="shared" si="33"/>
        <v>35</v>
      </c>
      <c r="AR152" s="8">
        <f t="shared" si="26"/>
        <v>2021</v>
      </c>
      <c r="AS152" s="31">
        <f>IF(AT152=0,"",IF(_Ijour1=0,MIN(DATE(YEAR(_DebAmort1),MONTH(_DebAmort1)+_MoisD1+(AP152-1)*_Imois1,__Jou2),DATE(YEAR(_DebAmort1),MONTH(_DebAmort1)+_MoisD1+1+(AP152-1)*_Imois1,0)),DATE(YEAR(_DebAmort1),MONTH(_DebAmort1),__Jou1+(AP152-1)*_Ijour1)))</f>
        <v>44228</v>
      </c>
      <c r="AT152" s="156">
        <f t="shared" si="34"/>
        <v>187250</v>
      </c>
      <c r="AU152" s="153">
        <f>IF(AP152&lt;=_NoEchMaxi1,ROUND(AT152*'Données Projet 1'!H161,_NbDeci1),0)</f>
        <v>156.04</v>
      </c>
      <c r="AV152" s="152">
        <f>IF(OR(AP152&lt;=_Différé1,AP152&gt;_NoEchMaxi1),IF(_DiffTotal1,-AU152,0),IF(AP152&gt;=_NoEchRemb1,AT152,IF('Données Projet 1'!I161-(AU152*_EchFIXE1)&gt;AT152-2,AT152,'Données Projet 1'!I161-(AU152*_EchFIXE1))))+AK152</f>
        <v>0</v>
      </c>
      <c r="AW152" s="154">
        <f t="shared" si="35"/>
        <v>15.6</v>
      </c>
      <c r="AX152" s="157">
        <f t="shared" si="27"/>
        <v>171.64</v>
      </c>
    </row>
    <row r="153" spans="20:50" ht="15.75" customHeight="1" x14ac:dyDescent="0.3">
      <c r="T153" s="3"/>
      <c r="U153" s="164"/>
      <c r="V153" s="22"/>
      <c r="W153" s="21"/>
      <c r="X153" s="23"/>
      <c r="Y153" s="10"/>
      <c r="Z153" s="5">
        <f t="shared" si="28"/>
        <v>147</v>
      </c>
      <c r="AA153" s="7">
        <f t="shared" si="29"/>
        <v>274</v>
      </c>
      <c r="AB153" s="8">
        <f t="shared" si="24"/>
        <v>2021</v>
      </c>
      <c r="AC153" s="31">
        <f>IF(AD153=0,"",IF(_Ijour=0,MIN(DATE(YEAR(_DebAmort),MONTH(_DebAmort)+(Z153-1)*_Imois,_Jour1),DATE(YEAR(_DebAmort),MONTH(_DebAmort)+1+(Z153-1)*_Imois,0)),DATE(YEAR(_DebAmort),MONTH(_DebAmort),_Jour1+(Z153-1)*_Ijour)))</f>
        <v>44256</v>
      </c>
      <c r="AD153" s="156">
        <f t="shared" si="30"/>
        <v>171567.30000000002</v>
      </c>
      <c r="AE153" s="153">
        <f>IF(Z153&lt;=_NoEchMaxi,ROUND(AD153*'Données Projet 1'!A162,_NbDeci),0)</f>
        <v>265.93</v>
      </c>
      <c r="AF153" s="152">
        <f>IF(OR(Z153&lt;=_Différé,Z153&gt;_NoEchMaxi),IF(_DiffTotal,-AE153,0),IF(Z153&gt;=_NoEchRemb,AD153,IF('Données Projet 1'!B162-(AE153*_EchFIXE)&gt;AD153-2,AD153,'Données Projet 1'!B162-(AE153*_EchFIXE))))+U153</f>
        <v>503.05</v>
      </c>
      <c r="AG153" s="154">
        <f t="shared" si="31"/>
        <v>19.77</v>
      </c>
      <c r="AH153" s="157">
        <f t="shared" si="25"/>
        <v>788.75</v>
      </c>
      <c r="AI153"/>
      <c r="AJ153" s="3"/>
      <c r="AK153" s="164"/>
      <c r="AL153" s="22"/>
      <c r="AM153" s="21"/>
      <c r="AN153" s="23"/>
      <c r="AO153" s="10"/>
      <c r="AP153" s="5">
        <f t="shared" si="32"/>
        <v>147</v>
      </c>
      <c r="AQ153" s="7">
        <f t="shared" si="33"/>
        <v>34</v>
      </c>
      <c r="AR153" s="8">
        <f t="shared" si="26"/>
        <v>2021</v>
      </c>
      <c r="AS153" s="31">
        <f>IF(AT153=0,"",IF(_Ijour1=0,MIN(DATE(YEAR(_DebAmort1),MONTH(_DebAmort1)+(AP153-1)*_Imois1,__Jou1),DATE(YEAR(_DebAmort1),MONTH(_DebAmort1)+1+(AP153-1)*_Imois1,0)),DATE(YEAR(_DebAmort1),MONTH(_DebAmort1),__Jou1+(AP153-1)*_Ijour1)))</f>
        <v>44256</v>
      </c>
      <c r="AT153" s="156">
        <f t="shared" si="34"/>
        <v>187250</v>
      </c>
      <c r="AU153" s="153">
        <f>IF(AP153&lt;=_NoEchMaxi1,ROUND(AT153*'Données Projet 1'!H162,_NbDeci1),0)</f>
        <v>156.04</v>
      </c>
      <c r="AV153" s="152">
        <f>IF(OR(AP153&lt;=_Différé1,AP153&gt;_NoEchMaxi1),IF(_DiffTotal1,-AU153,0),IF(AP153&gt;=_NoEchRemb1,AT153,IF('Données Projet 1'!I162-(AU153*_EchFIXE1)&gt;AT153-2,AT153,'Données Projet 1'!I162-(AU153*_EchFIXE1))))+AK153</f>
        <v>0</v>
      </c>
      <c r="AW153" s="154">
        <f t="shared" si="35"/>
        <v>15.6</v>
      </c>
      <c r="AX153" s="157">
        <f t="shared" si="27"/>
        <v>171.64</v>
      </c>
    </row>
    <row r="154" spans="20:50" ht="15.75" customHeight="1" x14ac:dyDescent="0.3">
      <c r="T154" s="3"/>
      <c r="U154" s="164"/>
      <c r="V154" s="22"/>
      <c r="W154" s="21"/>
      <c r="X154" s="23"/>
      <c r="Y154" s="10"/>
      <c r="Z154" s="5">
        <f t="shared" si="28"/>
        <v>148</v>
      </c>
      <c r="AA154" s="7">
        <f t="shared" si="29"/>
        <v>273</v>
      </c>
      <c r="AB154" s="8">
        <f t="shared" si="24"/>
        <v>2021</v>
      </c>
      <c r="AC154" s="31">
        <f>IF(AD154=0,"",IF(_Ijour=0,MIN(DATE(YEAR(_DebAmort),MONTH(_DebAmort)+_MoisD+(Z154-1)*_Imois,_Jour2),DATE(YEAR(_DebAmort),MONTH(_DebAmort)+_MoisD+1+(Z154-1)*_Imois,0)),DATE(YEAR(_DebAmort),MONTH(_DebAmort),_Jour1+(Z154-1)*_Ijour)))</f>
        <v>44287</v>
      </c>
      <c r="AD154" s="156">
        <f t="shared" si="30"/>
        <v>171064.25000000003</v>
      </c>
      <c r="AE154" s="153">
        <f>IF(Z154&lt;=_NoEchMaxi,ROUND(AD154*'Données Projet 1'!A163,_NbDeci),0)</f>
        <v>265.14999999999998</v>
      </c>
      <c r="AF154" s="152">
        <f>IF(OR(Z154&lt;=_Différé,Z154&gt;_NoEchMaxi),IF(_DiffTotal,-AE154,0),IF(Z154&gt;=_NoEchRemb,AD154,IF('Données Projet 1'!B163-(AE154*_EchFIXE)&gt;AD154-2,AD154,'Données Projet 1'!B163-(AE154*_EchFIXE))))+U154</f>
        <v>503.83000000000004</v>
      </c>
      <c r="AG154" s="154">
        <f t="shared" si="31"/>
        <v>19.77</v>
      </c>
      <c r="AH154" s="157">
        <f t="shared" si="25"/>
        <v>788.75</v>
      </c>
      <c r="AI154"/>
      <c r="AJ154" s="3"/>
      <c r="AK154" s="164"/>
      <c r="AL154" s="22"/>
      <c r="AM154" s="21"/>
      <c r="AN154" s="23"/>
      <c r="AO154" s="10"/>
      <c r="AP154" s="5">
        <f t="shared" si="32"/>
        <v>148</v>
      </c>
      <c r="AQ154" s="7">
        <f t="shared" si="33"/>
        <v>33</v>
      </c>
      <c r="AR154" s="8">
        <f t="shared" si="26"/>
        <v>2021</v>
      </c>
      <c r="AS154" s="31">
        <f>IF(AT154=0,"",IF(_Ijour1=0,MIN(DATE(YEAR(_DebAmort1),MONTH(_DebAmort1)+_MoisD1+(AP154-1)*_Imois1,__Jou2),DATE(YEAR(_DebAmort1),MONTH(_DebAmort1)+_MoisD1+1+(AP154-1)*_Imois1,0)),DATE(YEAR(_DebAmort1),MONTH(_DebAmort1),__Jou1+(AP154-1)*_Ijour1)))</f>
        <v>44287</v>
      </c>
      <c r="AT154" s="156">
        <f t="shared" si="34"/>
        <v>187250</v>
      </c>
      <c r="AU154" s="153">
        <f>IF(AP154&lt;=_NoEchMaxi1,ROUND(AT154*'Données Projet 1'!H163,_NbDeci1),0)</f>
        <v>156.04</v>
      </c>
      <c r="AV154" s="152">
        <f>IF(OR(AP154&lt;=_Différé1,AP154&gt;_NoEchMaxi1),IF(_DiffTotal1,-AU154,0),IF(AP154&gt;=_NoEchRemb1,AT154,IF('Données Projet 1'!I163-(AU154*_EchFIXE1)&gt;AT154-2,AT154,'Données Projet 1'!I163-(AU154*_EchFIXE1))))+AK154</f>
        <v>0</v>
      </c>
      <c r="AW154" s="154">
        <f t="shared" si="35"/>
        <v>15.6</v>
      </c>
      <c r="AX154" s="157">
        <f t="shared" si="27"/>
        <v>171.64</v>
      </c>
    </row>
    <row r="155" spans="20:50" ht="15.75" customHeight="1" x14ac:dyDescent="0.3">
      <c r="T155" s="3"/>
      <c r="U155" s="164"/>
      <c r="V155" s="22"/>
      <c r="W155" s="21"/>
      <c r="X155" s="23"/>
      <c r="Y155" s="10"/>
      <c r="Z155" s="5">
        <f t="shared" si="28"/>
        <v>149</v>
      </c>
      <c r="AA155" s="7">
        <f t="shared" si="29"/>
        <v>272</v>
      </c>
      <c r="AB155" s="8">
        <f t="shared" si="24"/>
        <v>2021</v>
      </c>
      <c r="AC155" s="31">
        <f>IF(AD155=0,"",IF(_Ijour=0,MIN(DATE(YEAR(_DebAmort),MONTH(_DebAmort)+(Z155-1)*_Imois,_Jour1),DATE(YEAR(_DebAmort),MONTH(_DebAmort)+1+(Z155-1)*_Imois,0)),DATE(YEAR(_DebAmort),MONTH(_DebAmort),_Jour1+(Z155-1)*_Ijour)))</f>
        <v>44317</v>
      </c>
      <c r="AD155" s="156">
        <f t="shared" si="30"/>
        <v>170560.42000000004</v>
      </c>
      <c r="AE155" s="153">
        <f>IF(Z155&lt;=_NoEchMaxi,ROUND(AD155*'Données Projet 1'!A164,_NbDeci),0)</f>
        <v>264.37</v>
      </c>
      <c r="AF155" s="152">
        <f>IF(OR(Z155&lt;=_Différé,Z155&gt;_NoEchMaxi),IF(_DiffTotal,-AE155,0),IF(Z155&gt;=_NoEchRemb,AD155,IF('Données Projet 1'!B164-(AE155*_EchFIXE)&gt;AD155-2,AD155,'Données Projet 1'!B164-(AE155*_EchFIXE))))+U155</f>
        <v>504.61</v>
      </c>
      <c r="AG155" s="154">
        <f t="shared" si="31"/>
        <v>19.77</v>
      </c>
      <c r="AH155" s="157">
        <f t="shared" si="25"/>
        <v>788.75</v>
      </c>
      <c r="AI155"/>
      <c r="AJ155" s="3"/>
      <c r="AK155" s="164"/>
      <c r="AL155" s="22"/>
      <c r="AM155" s="21"/>
      <c r="AN155" s="23"/>
      <c r="AO155" s="10"/>
      <c r="AP155" s="5">
        <f t="shared" si="32"/>
        <v>149</v>
      </c>
      <c r="AQ155" s="7">
        <f t="shared" si="33"/>
        <v>32</v>
      </c>
      <c r="AR155" s="8">
        <f t="shared" si="26"/>
        <v>2021</v>
      </c>
      <c r="AS155" s="31">
        <f>IF(AT155=0,"",IF(_Ijour1=0,MIN(DATE(YEAR(_DebAmort1),MONTH(_DebAmort1)+(AP155-1)*_Imois1,__Jou1),DATE(YEAR(_DebAmort1),MONTH(_DebAmort1)+1+(AP155-1)*_Imois1,0)),DATE(YEAR(_DebAmort1),MONTH(_DebAmort1),__Jou1+(AP155-1)*_Ijour1)))</f>
        <v>44317</v>
      </c>
      <c r="AT155" s="156">
        <f t="shared" si="34"/>
        <v>187250</v>
      </c>
      <c r="AU155" s="153">
        <f>IF(AP155&lt;=_NoEchMaxi1,ROUND(AT155*'Données Projet 1'!H164,_NbDeci1),0)</f>
        <v>156.04</v>
      </c>
      <c r="AV155" s="152">
        <f>IF(OR(AP155&lt;=_Différé1,AP155&gt;_NoEchMaxi1),IF(_DiffTotal1,-AU155,0),IF(AP155&gt;=_NoEchRemb1,AT155,IF('Données Projet 1'!I164-(AU155*_EchFIXE1)&gt;AT155-2,AT155,'Données Projet 1'!I164-(AU155*_EchFIXE1))))+AK155</f>
        <v>0</v>
      </c>
      <c r="AW155" s="154">
        <f t="shared" si="35"/>
        <v>15.6</v>
      </c>
      <c r="AX155" s="157">
        <f t="shared" si="27"/>
        <v>171.64</v>
      </c>
    </row>
    <row r="156" spans="20:50" ht="15.75" customHeight="1" x14ac:dyDescent="0.3">
      <c r="T156" s="3"/>
      <c r="U156" s="164"/>
      <c r="V156" s="22"/>
      <c r="W156" s="21"/>
      <c r="X156" s="23"/>
      <c r="Y156" s="10"/>
      <c r="Z156" s="5">
        <f t="shared" si="28"/>
        <v>150</v>
      </c>
      <c r="AA156" s="7">
        <f t="shared" si="29"/>
        <v>271</v>
      </c>
      <c r="AB156" s="8">
        <f t="shared" si="24"/>
        <v>2021</v>
      </c>
      <c r="AC156" s="31">
        <f>IF(AD156=0,"",IF(_Ijour=0,MIN(DATE(YEAR(_DebAmort),MONTH(_DebAmort)+_MoisD+(Z156-1)*_Imois,_Jour2),DATE(YEAR(_DebAmort),MONTH(_DebAmort)+_MoisD+1+(Z156-1)*_Imois,0)),DATE(YEAR(_DebAmort),MONTH(_DebAmort),_Jour1+(Z156-1)*_Ijour)))</f>
        <v>44348</v>
      </c>
      <c r="AD156" s="156">
        <f t="shared" si="30"/>
        <v>170055.81000000006</v>
      </c>
      <c r="AE156" s="153">
        <f>IF(Z156&lt;=_NoEchMaxi,ROUND(AD156*'Données Projet 1'!A165,_NbDeci),0)</f>
        <v>263.58999999999997</v>
      </c>
      <c r="AF156" s="152">
        <f>IF(OR(Z156&lt;=_Différé,Z156&gt;_NoEchMaxi),IF(_DiffTotal,-AE156,0),IF(Z156&gt;=_NoEchRemb,AD156,IF('Données Projet 1'!B165-(AE156*_EchFIXE)&gt;AD156-2,AD156,'Données Projet 1'!B165-(AE156*_EchFIXE))))+U156</f>
        <v>505.39000000000004</v>
      </c>
      <c r="AG156" s="154">
        <f t="shared" si="31"/>
        <v>19.77</v>
      </c>
      <c r="AH156" s="157">
        <f t="shared" si="25"/>
        <v>788.75</v>
      </c>
      <c r="AI156"/>
      <c r="AJ156" s="3"/>
      <c r="AK156" s="164"/>
      <c r="AL156" s="22"/>
      <c r="AM156" s="21"/>
      <c r="AN156" s="23"/>
      <c r="AO156" s="10"/>
      <c r="AP156" s="5">
        <f t="shared" si="32"/>
        <v>150</v>
      </c>
      <c r="AQ156" s="7">
        <f t="shared" si="33"/>
        <v>31</v>
      </c>
      <c r="AR156" s="8">
        <f t="shared" si="26"/>
        <v>2021</v>
      </c>
      <c r="AS156" s="31">
        <f>IF(AT156=0,"",IF(_Ijour1=0,MIN(DATE(YEAR(_DebAmort1),MONTH(_DebAmort1)+_MoisD1+(AP156-1)*_Imois1,__Jou2),DATE(YEAR(_DebAmort1),MONTH(_DebAmort1)+_MoisD1+1+(AP156-1)*_Imois1,0)),DATE(YEAR(_DebAmort1),MONTH(_DebAmort1),__Jou1+(AP156-1)*_Ijour1)))</f>
        <v>44348</v>
      </c>
      <c r="AT156" s="156">
        <f t="shared" si="34"/>
        <v>187250</v>
      </c>
      <c r="AU156" s="153">
        <f>IF(AP156&lt;=_NoEchMaxi1,ROUND(AT156*'Données Projet 1'!H165,_NbDeci1),0)</f>
        <v>156.04</v>
      </c>
      <c r="AV156" s="152">
        <f>IF(OR(AP156&lt;=_Différé1,AP156&gt;_NoEchMaxi1),IF(_DiffTotal1,-AU156,0),IF(AP156&gt;=_NoEchRemb1,AT156,IF('Données Projet 1'!I165-(AU156*_EchFIXE1)&gt;AT156-2,AT156,'Données Projet 1'!I165-(AU156*_EchFIXE1))))+AK156</f>
        <v>0</v>
      </c>
      <c r="AW156" s="154">
        <f t="shared" si="35"/>
        <v>15.6</v>
      </c>
      <c r="AX156" s="157">
        <f t="shared" si="27"/>
        <v>171.64</v>
      </c>
    </row>
    <row r="157" spans="20:50" ht="15.75" customHeight="1" x14ac:dyDescent="0.3">
      <c r="T157" s="3"/>
      <c r="U157" s="164"/>
      <c r="V157" s="22"/>
      <c r="W157" s="21"/>
      <c r="X157" s="23"/>
      <c r="Y157" s="10"/>
      <c r="Z157" s="5">
        <f t="shared" si="28"/>
        <v>151</v>
      </c>
      <c r="AA157" s="7">
        <f t="shared" si="29"/>
        <v>270</v>
      </c>
      <c r="AB157" s="8">
        <f t="shared" si="24"/>
        <v>2021</v>
      </c>
      <c r="AC157" s="31">
        <f>IF(AD157=0,"",IF(_Ijour=0,MIN(DATE(YEAR(_DebAmort),MONTH(_DebAmort)+(Z157-1)*_Imois,_Jour1),DATE(YEAR(_DebAmort),MONTH(_DebAmort)+1+(Z157-1)*_Imois,0)),DATE(YEAR(_DebAmort),MONTH(_DebAmort),_Jour1+(Z157-1)*_Ijour)))</f>
        <v>44378</v>
      </c>
      <c r="AD157" s="156">
        <f t="shared" si="30"/>
        <v>169550.42000000004</v>
      </c>
      <c r="AE157" s="153">
        <f>IF(Z157&lt;=_NoEchMaxi,ROUND(AD157*'Données Projet 1'!A166,_NbDeci),0)</f>
        <v>262.8</v>
      </c>
      <c r="AF157" s="152">
        <f>IF(OR(Z157&lt;=_Différé,Z157&gt;_NoEchMaxi),IF(_DiffTotal,-AE157,0),IF(Z157&gt;=_NoEchRemb,AD157,IF('Données Projet 1'!B166-(AE157*_EchFIXE)&gt;AD157-2,AD157,'Données Projet 1'!B166-(AE157*_EchFIXE))))+U157</f>
        <v>506.18</v>
      </c>
      <c r="AG157" s="154">
        <f t="shared" si="31"/>
        <v>19.77</v>
      </c>
      <c r="AH157" s="157">
        <f t="shared" si="25"/>
        <v>788.75</v>
      </c>
      <c r="AI157"/>
      <c r="AJ157" s="3"/>
      <c r="AK157" s="164"/>
      <c r="AL157" s="22"/>
      <c r="AM157" s="21"/>
      <c r="AN157" s="23"/>
      <c r="AO157" s="10"/>
      <c r="AP157" s="5">
        <f t="shared" si="32"/>
        <v>151</v>
      </c>
      <c r="AQ157" s="7">
        <f t="shared" si="33"/>
        <v>30</v>
      </c>
      <c r="AR157" s="8">
        <f t="shared" si="26"/>
        <v>2021</v>
      </c>
      <c r="AS157" s="31">
        <f>IF(AT157=0,"",IF(_Ijour1=0,MIN(DATE(YEAR(_DebAmort1),MONTH(_DebAmort1)+(AP157-1)*_Imois1,__Jou1),DATE(YEAR(_DebAmort1),MONTH(_DebAmort1)+1+(AP157-1)*_Imois1,0)),DATE(YEAR(_DebAmort1),MONTH(_DebAmort1),__Jou1+(AP157-1)*_Ijour1)))</f>
        <v>44378</v>
      </c>
      <c r="AT157" s="156">
        <f t="shared" si="34"/>
        <v>187250</v>
      </c>
      <c r="AU157" s="153">
        <f>IF(AP157&lt;=_NoEchMaxi1,ROUND(AT157*'Données Projet 1'!H166,_NbDeci1),0)</f>
        <v>156.04</v>
      </c>
      <c r="AV157" s="152">
        <f>IF(OR(AP157&lt;=_Différé1,AP157&gt;_NoEchMaxi1),IF(_DiffTotal1,-AU157,0),IF(AP157&gt;=_NoEchRemb1,AT157,IF('Données Projet 1'!I166-(AU157*_EchFIXE1)&gt;AT157-2,AT157,'Données Projet 1'!I166-(AU157*_EchFIXE1))))+AK157</f>
        <v>0</v>
      </c>
      <c r="AW157" s="154">
        <f t="shared" si="35"/>
        <v>15.6</v>
      </c>
      <c r="AX157" s="157">
        <f t="shared" si="27"/>
        <v>171.64</v>
      </c>
    </row>
    <row r="158" spans="20:50" ht="15.75" customHeight="1" x14ac:dyDescent="0.3">
      <c r="T158" s="3"/>
      <c r="U158" s="164"/>
      <c r="V158" s="22"/>
      <c r="W158" s="21"/>
      <c r="X158" s="23"/>
      <c r="Y158" s="10"/>
      <c r="Z158" s="5">
        <f t="shared" si="28"/>
        <v>152</v>
      </c>
      <c r="AA158" s="7">
        <f t="shared" si="29"/>
        <v>269</v>
      </c>
      <c r="AB158" s="8">
        <f t="shared" si="24"/>
        <v>2021</v>
      </c>
      <c r="AC158" s="31">
        <f>IF(AD158=0,"",IF(_Ijour=0,MIN(DATE(YEAR(_DebAmort),MONTH(_DebAmort)+_MoisD+(Z158-1)*_Imois,_Jour2),DATE(YEAR(_DebAmort),MONTH(_DebAmort)+_MoisD+1+(Z158-1)*_Imois,0)),DATE(YEAR(_DebAmort),MONTH(_DebAmort),_Jour1+(Z158-1)*_Ijour)))</f>
        <v>44409</v>
      </c>
      <c r="AD158" s="156">
        <f t="shared" si="30"/>
        <v>169044.24000000005</v>
      </c>
      <c r="AE158" s="153">
        <f>IF(Z158&lt;=_NoEchMaxi,ROUND(AD158*'Données Projet 1'!A167,_NbDeci),0)</f>
        <v>262.02</v>
      </c>
      <c r="AF158" s="152">
        <f>IF(OR(Z158&lt;=_Différé,Z158&gt;_NoEchMaxi),IF(_DiffTotal,-AE158,0),IF(Z158&gt;=_NoEchRemb,AD158,IF('Données Projet 1'!B167-(AE158*_EchFIXE)&gt;AD158-2,AD158,'Données Projet 1'!B167-(AE158*_EchFIXE))))+U158</f>
        <v>506.96000000000004</v>
      </c>
      <c r="AG158" s="154">
        <f t="shared" si="31"/>
        <v>19.77</v>
      </c>
      <c r="AH158" s="157">
        <f t="shared" si="25"/>
        <v>788.75</v>
      </c>
      <c r="AI158"/>
      <c r="AJ158" s="3"/>
      <c r="AK158" s="164"/>
      <c r="AL158" s="22"/>
      <c r="AM158" s="21"/>
      <c r="AN158" s="23"/>
      <c r="AO158" s="10"/>
      <c r="AP158" s="5">
        <f t="shared" si="32"/>
        <v>152</v>
      </c>
      <c r="AQ158" s="7">
        <f t="shared" si="33"/>
        <v>29</v>
      </c>
      <c r="AR158" s="8">
        <f t="shared" si="26"/>
        <v>2021</v>
      </c>
      <c r="AS158" s="31">
        <f>IF(AT158=0,"",IF(_Ijour1=0,MIN(DATE(YEAR(_DebAmort1),MONTH(_DebAmort1)+_MoisD1+(AP158-1)*_Imois1,__Jou2),DATE(YEAR(_DebAmort1),MONTH(_DebAmort1)+_MoisD1+1+(AP158-1)*_Imois1,0)),DATE(YEAR(_DebAmort1),MONTH(_DebAmort1),__Jou1+(AP158-1)*_Ijour1)))</f>
        <v>44409</v>
      </c>
      <c r="AT158" s="156">
        <f t="shared" si="34"/>
        <v>187250</v>
      </c>
      <c r="AU158" s="153">
        <f>IF(AP158&lt;=_NoEchMaxi1,ROUND(AT158*'Données Projet 1'!H167,_NbDeci1),0)</f>
        <v>156.04</v>
      </c>
      <c r="AV158" s="152">
        <f>IF(OR(AP158&lt;=_Différé1,AP158&gt;_NoEchMaxi1),IF(_DiffTotal1,-AU158,0),IF(AP158&gt;=_NoEchRemb1,AT158,IF('Données Projet 1'!I167-(AU158*_EchFIXE1)&gt;AT158-2,AT158,'Données Projet 1'!I167-(AU158*_EchFIXE1))))+AK158</f>
        <v>0</v>
      </c>
      <c r="AW158" s="154">
        <f t="shared" si="35"/>
        <v>15.6</v>
      </c>
      <c r="AX158" s="157">
        <f t="shared" si="27"/>
        <v>171.64</v>
      </c>
    </row>
    <row r="159" spans="20:50" ht="15.75" customHeight="1" x14ac:dyDescent="0.3">
      <c r="T159" s="3"/>
      <c r="U159" s="164"/>
      <c r="V159" s="22"/>
      <c r="W159" s="21"/>
      <c r="X159" s="23"/>
      <c r="Y159" s="10"/>
      <c r="Z159" s="5">
        <f t="shared" si="28"/>
        <v>153</v>
      </c>
      <c r="AA159" s="7">
        <f t="shared" si="29"/>
        <v>268</v>
      </c>
      <c r="AB159" s="8">
        <f t="shared" si="24"/>
        <v>2021</v>
      </c>
      <c r="AC159" s="31">
        <f>IF(AD159=0,"",IF(_Ijour=0,MIN(DATE(YEAR(_DebAmort),MONTH(_DebAmort)+(Z159-1)*_Imois,_Jour1),DATE(YEAR(_DebAmort),MONTH(_DebAmort)+1+(Z159-1)*_Imois,0)),DATE(YEAR(_DebAmort),MONTH(_DebAmort),_Jour1+(Z159-1)*_Ijour)))</f>
        <v>44440</v>
      </c>
      <c r="AD159" s="156">
        <f t="shared" si="30"/>
        <v>168537.28000000006</v>
      </c>
      <c r="AE159" s="153">
        <f>IF(Z159&lt;=_NoEchMaxi,ROUND(AD159*'Données Projet 1'!A168,_NbDeci),0)</f>
        <v>261.23</v>
      </c>
      <c r="AF159" s="152">
        <f>IF(OR(Z159&lt;=_Différé,Z159&gt;_NoEchMaxi),IF(_DiffTotal,-AE159,0),IF(Z159&gt;=_NoEchRemb,AD159,IF('Données Projet 1'!B168-(AE159*_EchFIXE)&gt;AD159-2,AD159,'Données Projet 1'!B168-(AE159*_EchFIXE))))+U159</f>
        <v>507.75</v>
      </c>
      <c r="AG159" s="154">
        <f t="shared" si="31"/>
        <v>19.77</v>
      </c>
      <c r="AH159" s="157">
        <f t="shared" si="25"/>
        <v>788.75</v>
      </c>
      <c r="AI159"/>
      <c r="AJ159" s="3"/>
      <c r="AK159" s="164"/>
      <c r="AL159" s="22"/>
      <c r="AM159" s="21"/>
      <c r="AN159" s="23"/>
      <c r="AO159" s="10"/>
      <c r="AP159" s="5">
        <f t="shared" si="32"/>
        <v>153</v>
      </c>
      <c r="AQ159" s="7">
        <f t="shared" si="33"/>
        <v>28</v>
      </c>
      <c r="AR159" s="8">
        <f t="shared" si="26"/>
        <v>2021</v>
      </c>
      <c r="AS159" s="31">
        <f>IF(AT159=0,"",IF(_Ijour1=0,MIN(DATE(YEAR(_DebAmort1),MONTH(_DebAmort1)+(AP159-1)*_Imois1,__Jou1),DATE(YEAR(_DebAmort1),MONTH(_DebAmort1)+1+(AP159-1)*_Imois1,0)),DATE(YEAR(_DebAmort1),MONTH(_DebAmort1),__Jou1+(AP159-1)*_Ijour1)))</f>
        <v>44440</v>
      </c>
      <c r="AT159" s="156">
        <f t="shared" si="34"/>
        <v>187250</v>
      </c>
      <c r="AU159" s="153">
        <f>IF(AP159&lt;=_NoEchMaxi1,ROUND(AT159*'Données Projet 1'!H168,_NbDeci1),0)</f>
        <v>156.04</v>
      </c>
      <c r="AV159" s="152">
        <f>IF(OR(AP159&lt;=_Différé1,AP159&gt;_NoEchMaxi1),IF(_DiffTotal1,-AU159,0),IF(AP159&gt;=_NoEchRemb1,AT159,IF('Données Projet 1'!I168-(AU159*_EchFIXE1)&gt;AT159-2,AT159,'Données Projet 1'!I168-(AU159*_EchFIXE1))))+AK159</f>
        <v>0</v>
      </c>
      <c r="AW159" s="154">
        <f t="shared" si="35"/>
        <v>15.6</v>
      </c>
      <c r="AX159" s="157">
        <f t="shared" si="27"/>
        <v>171.64</v>
      </c>
    </row>
    <row r="160" spans="20:50" ht="15.75" customHeight="1" x14ac:dyDescent="0.3">
      <c r="T160" s="3"/>
      <c r="U160" s="164"/>
      <c r="V160" s="22"/>
      <c r="W160" s="21"/>
      <c r="X160" s="23"/>
      <c r="Y160" s="10"/>
      <c r="Z160" s="5">
        <f t="shared" si="28"/>
        <v>154</v>
      </c>
      <c r="AA160" s="7">
        <f t="shared" si="29"/>
        <v>267</v>
      </c>
      <c r="AB160" s="8">
        <f t="shared" si="24"/>
        <v>2021</v>
      </c>
      <c r="AC160" s="31">
        <f>IF(AD160=0,"",IF(_Ijour=0,MIN(DATE(YEAR(_DebAmort),MONTH(_DebAmort)+_MoisD+(Z160-1)*_Imois,_Jour2),DATE(YEAR(_DebAmort),MONTH(_DebAmort)+_MoisD+1+(Z160-1)*_Imois,0)),DATE(YEAR(_DebAmort),MONTH(_DebAmort),_Jour1+(Z160-1)*_Ijour)))</f>
        <v>44470</v>
      </c>
      <c r="AD160" s="156">
        <f t="shared" si="30"/>
        <v>168029.53000000006</v>
      </c>
      <c r="AE160" s="153">
        <f>IF(Z160&lt;=_NoEchMaxi,ROUND(AD160*'Données Projet 1'!A169,_NbDeci),0)</f>
        <v>260.45</v>
      </c>
      <c r="AF160" s="152">
        <f>IF(OR(Z160&lt;=_Différé,Z160&gt;_NoEchMaxi),IF(_DiffTotal,-AE160,0),IF(Z160&gt;=_NoEchRemb,AD160,IF('Données Projet 1'!B169-(AE160*_EchFIXE)&gt;AD160-2,AD160,'Données Projet 1'!B169-(AE160*_EchFIXE))))+U160</f>
        <v>508.53000000000003</v>
      </c>
      <c r="AG160" s="154">
        <f t="shared" si="31"/>
        <v>19.77</v>
      </c>
      <c r="AH160" s="157">
        <f t="shared" si="25"/>
        <v>788.75</v>
      </c>
      <c r="AI160"/>
      <c r="AJ160" s="3"/>
      <c r="AK160" s="164"/>
      <c r="AL160" s="22"/>
      <c r="AM160" s="21"/>
      <c r="AN160" s="23"/>
      <c r="AO160" s="10"/>
      <c r="AP160" s="5">
        <f t="shared" si="32"/>
        <v>154</v>
      </c>
      <c r="AQ160" s="7">
        <f t="shared" si="33"/>
        <v>27</v>
      </c>
      <c r="AR160" s="8">
        <f t="shared" si="26"/>
        <v>2021</v>
      </c>
      <c r="AS160" s="31">
        <f>IF(AT160=0,"",IF(_Ijour1=0,MIN(DATE(YEAR(_DebAmort1),MONTH(_DebAmort1)+_MoisD1+(AP160-1)*_Imois1,__Jou2),DATE(YEAR(_DebAmort1),MONTH(_DebAmort1)+_MoisD1+1+(AP160-1)*_Imois1,0)),DATE(YEAR(_DebAmort1),MONTH(_DebAmort1),__Jou1+(AP160-1)*_Ijour1)))</f>
        <v>44470</v>
      </c>
      <c r="AT160" s="156">
        <f t="shared" si="34"/>
        <v>187250</v>
      </c>
      <c r="AU160" s="153">
        <f>IF(AP160&lt;=_NoEchMaxi1,ROUND(AT160*'Données Projet 1'!H169,_NbDeci1),0)</f>
        <v>156.04</v>
      </c>
      <c r="AV160" s="152">
        <f>IF(OR(AP160&lt;=_Différé1,AP160&gt;_NoEchMaxi1),IF(_DiffTotal1,-AU160,0),IF(AP160&gt;=_NoEchRemb1,AT160,IF('Données Projet 1'!I169-(AU160*_EchFIXE1)&gt;AT160-2,AT160,'Données Projet 1'!I169-(AU160*_EchFIXE1))))+AK160</f>
        <v>0</v>
      </c>
      <c r="AW160" s="154">
        <f t="shared" si="35"/>
        <v>15.6</v>
      </c>
      <c r="AX160" s="157">
        <f t="shared" si="27"/>
        <v>171.64</v>
      </c>
    </row>
    <row r="161" spans="20:50" ht="15.75" customHeight="1" x14ac:dyDescent="0.3">
      <c r="T161" s="3"/>
      <c r="U161" s="164"/>
      <c r="V161" s="22"/>
      <c r="W161" s="21"/>
      <c r="X161" s="23"/>
      <c r="Y161" s="10"/>
      <c r="Z161" s="5">
        <f t="shared" si="28"/>
        <v>155</v>
      </c>
      <c r="AA161" s="7">
        <f t="shared" si="29"/>
        <v>266</v>
      </c>
      <c r="AB161" s="8">
        <f t="shared" si="24"/>
        <v>2021</v>
      </c>
      <c r="AC161" s="31">
        <f>IF(AD161=0,"",IF(_Ijour=0,MIN(DATE(YEAR(_DebAmort),MONTH(_DebAmort)+(Z161-1)*_Imois,_Jour1),DATE(YEAR(_DebAmort),MONTH(_DebAmort)+1+(Z161-1)*_Imois,0)),DATE(YEAR(_DebAmort),MONTH(_DebAmort),_Jour1+(Z161-1)*_Ijour)))</f>
        <v>44501</v>
      </c>
      <c r="AD161" s="156">
        <f t="shared" si="30"/>
        <v>167521.00000000006</v>
      </c>
      <c r="AE161" s="153">
        <f>IF(Z161&lt;=_NoEchMaxi,ROUND(AD161*'Données Projet 1'!A170,_NbDeci),0)</f>
        <v>259.66000000000003</v>
      </c>
      <c r="AF161" s="152">
        <f>IF(OR(Z161&lt;=_Différé,Z161&gt;_NoEchMaxi),IF(_DiffTotal,-AE161,0),IF(Z161&gt;=_NoEchRemb,AD161,IF('Données Projet 1'!B170-(AE161*_EchFIXE)&gt;AD161-2,AD161,'Données Projet 1'!B170-(AE161*_EchFIXE))))+U161</f>
        <v>509.32</v>
      </c>
      <c r="AG161" s="154">
        <f t="shared" si="31"/>
        <v>19.77</v>
      </c>
      <c r="AH161" s="157">
        <f t="shared" si="25"/>
        <v>788.75</v>
      </c>
      <c r="AI161"/>
      <c r="AJ161" s="3"/>
      <c r="AK161" s="164"/>
      <c r="AL161" s="22"/>
      <c r="AM161" s="21"/>
      <c r="AN161" s="23"/>
      <c r="AO161" s="10"/>
      <c r="AP161" s="5">
        <f t="shared" si="32"/>
        <v>155</v>
      </c>
      <c r="AQ161" s="7">
        <f t="shared" si="33"/>
        <v>26</v>
      </c>
      <c r="AR161" s="8">
        <f t="shared" si="26"/>
        <v>2021</v>
      </c>
      <c r="AS161" s="31">
        <f>IF(AT161=0,"",IF(_Ijour1=0,MIN(DATE(YEAR(_DebAmort1),MONTH(_DebAmort1)+(AP161-1)*_Imois1,__Jou1),DATE(YEAR(_DebAmort1),MONTH(_DebAmort1)+1+(AP161-1)*_Imois1,0)),DATE(YEAR(_DebAmort1),MONTH(_DebAmort1),__Jou1+(AP161-1)*_Ijour1)))</f>
        <v>44501</v>
      </c>
      <c r="AT161" s="156">
        <f t="shared" si="34"/>
        <v>187250</v>
      </c>
      <c r="AU161" s="153">
        <f>IF(AP161&lt;=_NoEchMaxi1,ROUND(AT161*'Données Projet 1'!H170,_NbDeci1),0)</f>
        <v>156.04</v>
      </c>
      <c r="AV161" s="152">
        <f>IF(OR(AP161&lt;=_Différé1,AP161&gt;_NoEchMaxi1),IF(_DiffTotal1,-AU161,0),IF(AP161&gt;=_NoEchRemb1,AT161,IF('Données Projet 1'!I170-(AU161*_EchFIXE1)&gt;AT161-2,AT161,'Données Projet 1'!I170-(AU161*_EchFIXE1))))+AK161</f>
        <v>0</v>
      </c>
      <c r="AW161" s="154">
        <f t="shared" si="35"/>
        <v>15.6</v>
      </c>
      <c r="AX161" s="157">
        <f t="shared" si="27"/>
        <v>171.64</v>
      </c>
    </row>
    <row r="162" spans="20:50" ht="15.75" customHeight="1" x14ac:dyDescent="0.3">
      <c r="T162" s="3"/>
      <c r="U162" s="164"/>
      <c r="V162" s="22"/>
      <c r="W162" s="21"/>
      <c r="X162" s="23"/>
      <c r="Y162" s="10"/>
      <c r="Z162" s="5">
        <f t="shared" si="28"/>
        <v>156</v>
      </c>
      <c r="AA162" s="7">
        <f t="shared" si="29"/>
        <v>265</v>
      </c>
      <c r="AB162" s="8">
        <f t="shared" si="24"/>
        <v>2021</v>
      </c>
      <c r="AC162" s="31">
        <f>IF(AD162=0,"",IF(_Ijour=0,MIN(DATE(YEAR(_DebAmort),MONTH(_DebAmort)+_MoisD+(Z162-1)*_Imois,_Jour2),DATE(YEAR(_DebAmort),MONTH(_DebAmort)+_MoisD+1+(Z162-1)*_Imois,0)),DATE(YEAR(_DebAmort),MONTH(_DebAmort),_Jour1+(Z162-1)*_Ijour)))</f>
        <v>44531</v>
      </c>
      <c r="AD162" s="156">
        <f t="shared" si="30"/>
        <v>167011.68000000005</v>
      </c>
      <c r="AE162" s="153">
        <f>IF(Z162&lt;=_NoEchMaxi,ROUND(AD162*'Données Projet 1'!A171,_NbDeci),0)</f>
        <v>258.87</v>
      </c>
      <c r="AF162" s="152">
        <f>IF(OR(Z162&lt;=_Différé,Z162&gt;_NoEchMaxi),IF(_DiffTotal,-AE162,0),IF(Z162&gt;=_NoEchRemb,AD162,IF('Données Projet 1'!B171-(AE162*_EchFIXE)&gt;AD162-2,AD162,'Données Projet 1'!B171-(AE162*_EchFIXE))))+U162</f>
        <v>510.11</v>
      </c>
      <c r="AG162" s="154">
        <f t="shared" si="31"/>
        <v>19.77</v>
      </c>
      <c r="AH162" s="157">
        <f t="shared" si="25"/>
        <v>788.75</v>
      </c>
      <c r="AI162"/>
      <c r="AJ162" s="3"/>
      <c r="AK162" s="164"/>
      <c r="AL162" s="22"/>
      <c r="AM162" s="21"/>
      <c r="AN162" s="23"/>
      <c r="AO162" s="10"/>
      <c r="AP162" s="5">
        <f t="shared" si="32"/>
        <v>156</v>
      </c>
      <c r="AQ162" s="7">
        <f t="shared" si="33"/>
        <v>25</v>
      </c>
      <c r="AR162" s="8">
        <f t="shared" si="26"/>
        <v>2021</v>
      </c>
      <c r="AS162" s="31">
        <f>IF(AT162=0,"",IF(_Ijour1=0,MIN(DATE(YEAR(_DebAmort1),MONTH(_DebAmort1)+_MoisD1+(AP162-1)*_Imois1,__Jou2),DATE(YEAR(_DebAmort1),MONTH(_DebAmort1)+_MoisD1+1+(AP162-1)*_Imois1,0)),DATE(YEAR(_DebAmort1),MONTH(_DebAmort1),__Jou1+(AP162-1)*_Ijour1)))</f>
        <v>44531</v>
      </c>
      <c r="AT162" s="156">
        <f t="shared" si="34"/>
        <v>187250</v>
      </c>
      <c r="AU162" s="153">
        <f>IF(AP162&lt;=_NoEchMaxi1,ROUND(AT162*'Données Projet 1'!H171,_NbDeci1),0)</f>
        <v>156.04</v>
      </c>
      <c r="AV162" s="152">
        <f>IF(OR(AP162&lt;=_Différé1,AP162&gt;_NoEchMaxi1),IF(_DiffTotal1,-AU162,0),IF(AP162&gt;=_NoEchRemb1,AT162,IF('Données Projet 1'!I171-(AU162*_EchFIXE1)&gt;AT162-2,AT162,'Données Projet 1'!I171-(AU162*_EchFIXE1))))+AK162</f>
        <v>0</v>
      </c>
      <c r="AW162" s="154">
        <f t="shared" si="35"/>
        <v>15.6</v>
      </c>
      <c r="AX162" s="157">
        <f t="shared" si="27"/>
        <v>171.64</v>
      </c>
    </row>
    <row r="163" spans="20:50" ht="15.75" customHeight="1" x14ac:dyDescent="0.3">
      <c r="T163" s="3"/>
      <c r="U163" s="164"/>
      <c r="V163" s="22"/>
      <c r="W163" s="21"/>
      <c r="X163" s="23"/>
      <c r="Y163" s="10"/>
      <c r="Z163" s="5">
        <f t="shared" si="28"/>
        <v>157</v>
      </c>
      <c r="AA163" s="7">
        <f t="shared" si="29"/>
        <v>264</v>
      </c>
      <c r="AB163" s="8">
        <f t="shared" si="24"/>
        <v>2022</v>
      </c>
      <c r="AC163" s="31">
        <f>IF(AD163=0,"",IF(_Ijour=0,MIN(DATE(YEAR(_DebAmort),MONTH(_DebAmort)+(Z163-1)*_Imois,_Jour1),DATE(YEAR(_DebAmort),MONTH(_DebAmort)+1+(Z163-1)*_Imois,0)),DATE(YEAR(_DebAmort),MONTH(_DebAmort),_Jour1+(Z163-1)*_Ijour)))</f>
        <v>44562</v>
      </c>
      <c r="AD163" s="156">
        <f t="shared" si="30"/>
        <v>166501.57000000007</v>
      </c>
      <c r="AE163" s="153">
        <f>IF(Z163&lt;=_NoEchMaxi,ROUND(AD163*'Données Projet 1'!A172,_NbDeci),0)</f>
        <v>258.08</v>
      </c>
      <c r="AF163" s="152">
        <f>IF(OR(Z163&lt;=_Différé,Z163&gt;_NoEchMaxi),IF(_DiffTotal,-AE163,0),IF(Z163&gt;=_NoEchRemb,AD163,IF('Données Projet 1'!B172-(AE163*_EchFIXE)&gt;AD163-2,AD163,'Données Projet 1'!B172-(AE163*_EchFIXE))))+U163</f>
        <v>510.90000000000003</v>
      </c>
      <c r="AG163" s="154">
        <f t="shared" si="31"/>
        <v>19.77</v>
      </c>
      <c r="AH163" s="157">
        <f t="shared" si="25"/>
        <v>788.75</v>
      </c>
      <c r="AI163"/>
      <c r="AJ163" s="3"/>
      <c r="AK163" s="164"/>
      <c r="AL163" s="22"/>
      <c r="AM163" s="21"/>
      <c r="AN163" s="23"/>
      <c r="AO163" s="10"/>
      <c r="AP163" s="5">
        <f t="shared" si="32"/>
        <v>157</v>
      </c>
      <c r="AQ163" s="7">
        <f t="shared" si="33"/>
        <v>24</v>
      </c>
      <c r="AR163" s="8">
        <f t="shared" si="26"/>
        <v>2022</v>
      </c>
      <c r="AS163" s="31">
        <f>IF(AT163=0,"",IF(_Ijour1=0,MIN(DATE(YEAR(_DebAmort1),MONTH(_DebAmort1)+(AP163-1)*_Imois1,__Jou1),DATE(YEAR(_DebAmort1),MONTH(_DebAmort1)+1+(AP163-1)*_Imois1,0)),DATE(YEAR(_DebAmort1),MONTH(_DebAmort1),__Jou1+(AP163-1)*_Ijour1)))</f>
        <v>44562</v>
      </c>
      <c r="AT163" s="156">
        <f t="shared" si="34"/>
        <v>187250</v>
      </c>
      <c r="AU163" s="153">
        <f>IF(AP163&lt;=_NoEchMaxi1,ROUND(AT163*'Données Projet 1'!H172,_NbDeci1),0)</f>
        <v>156.04</v>
      </c>
      <c r="AV163" s="152">
        <f>IF(OR(AP163&lt;=_Différé1,AP163&gt;_NoEchMaxi1),IF(_DiffTotal1,-AU163,0),IF(AP163&gt;=_NoEchRemb1,AT163,IF('Données Projet 1'!I172-(AU163*_EchFIXE1)&gt;AT163-2,AT163,'Données Projet 1'!I172-(AU163*_EchFIXE1))))+AK163</f>
        <v>0</v>
      </c>
      <c r="AW163" s="154">
        <f t="shared" si="35"/>
        <v>15.6</v>
      </c>
      <c r="AX163" s="157">
        <f t="shared" si="27"/>
        <v>171.64</v>
      </c>
    </row>
    <row r="164" spans="20:50" ht="15.75" customHeight="1" x14ac:dyDescent="0.3">
      <c r="T164" s="3"/>
      <c r="U164" s="164"/>
      <c r="V164" s="22"/>
      <c r="W164" s="21"/>
      <c r="X164" s="23"/>
      <c r="Y164" s="10"/>
      <c r="Z164" s="5">
        <f t="shared" si="28"/>
        <v>158</v>
      </c>
      <c r="AA164" s="7">
        <f t="shared" si="29"/>
        <v>263</v>
      </c>
      <c r="AB164" s="8">
        <f t="shared" si="24"/>
        <v>2022</v>
      </c>
      <c r="AC164" s="31">
        <f>IF(AD164=0,"",IF(_Ijour=0,MIN(DATE(YEAR(_DebAmort),MONTH(_DebAmort)+_MoisD+(Z164-1)*_Imois,_Jour2),DATE(YEAR(_DebAmort),MONTH(_DebAmort)+_MoisD+1+(Z164-1)*_Imois,0)),DATE(YEAR(_DebAmort),MONTH(_DebAmort),_Jour1+(Z164-1)*_Ijour)))</f>
        <v>44593</v>
      </c>
      <c r="AD164" s="156">
        <f t="shared" si="30"/>
        <v>165990.67000000007</v>
      </c>
      <c r="AE164" s="153">
        <f>IF(Z164&lt;=_NoEchMaxi,ROUND(AD164*'Données Projet 1'!A173,_NbDeci),0)</f>
        <v>257.29000000000002</v>
      </c>
      <c r="AF164" s="152">
        <f>IF(OR(Z164&lt;=_Différé,Z164&gt;_NoEchMaxi),IF(_DiffTotal,-AE164,0),IF(Z164&gt;=_NoEchRemb,AD164,IF('Données Projet 1'!B173-(AE164*_EchFIXE)&gt;AD164-2,AD164,'Données Projet 1'!B173-(AE164*_EchFIXE))))+U164</f>
        <v>511.69</v>
      </c>
      <c r="AG164" s="154">
        <f t="shared" si="31"/>
        <v>19.77</v>
      </c>
      <c r="AH164" s="157">
        <f t="shared" si="25"/>
        <v>788.75</v>
      </c>
      <c r="AI164"/>
      <c r="AJ164" s="3"/>
      <c r="AK164" s="164"/>
      <c r="AL164" s="22"/>
      <c r="AM164" s="21"/>
      <c r="AN164" s="23"/>
      <c r="AO164" s="10"/>
      <c r="AP164" s="5">
        <f t="shared" si="32"/>
        <v>158</v>
      </c>
      <c r="AQ164" s="7">
        <f t="shared" si="33"/>
        <v>23</v>
      </c>
      <c r="AR164" s="8">
        <f t="shared" si="26"/>
        <v>2022</v>
      </c>
      <c r="AS164" s="31">
        <f>IF(AT164=0,"",IF(_Ijour1=0,MIN(DATE(YEAR(_DebAmort1),MONTH(_DebAmort1)+_MoisD1+(AP164-1)*_Imois1,__Jou2),DATE(YEAR(_DebAmort1),MONTH(_DebAmort1)+_MoisD1+1+(AP164-1)*_Imois1,0)),DATE(YEAR(_DebAmort1),MONTH(_DebAmort1),__Jou1+(AP164-1)*_Ijour1)))</f>
        <v>44593</v>
      </c>
      <c r="AT164" s="156">
        <f t="shared" si="34"/>
        <v>187250</v>
      </c>
      <c r="AU164" s="153">
        <f>IF(AP164&lt;=_NoEchMaxi1,ROUND(AT164*'Données Projet 1'!H173,_NbDeci1),0)</f>
        <v>156.04</v>
      </c>
      <c r="AV164" s="152">
        <f>IF(OR(AP164&lt;=_Différé1,AP164&gt;_NoEchMaxi1),IF(_DiffTotal1,-AU164,0),IF(AP164&gt;=_NoEchRemb1,AT164,IF('Données Projet 1'!I173-(AU164*_EchFIXE1)&gt;AT164-2,AT164,'Données Projet 1'!I173-(AU164*_EchFIXE1))))+AK164</f>
        <v>0</v>
      </c>
      <c r="AW164" s="154">
        <f t="shared" si="35"/>
        <v>15.6</v>
      </c>
      <c r="AX164" s="157">
        <f t="shared" si="27"/>
        <v>171.64</v>
      </c>
    </row>
    <row r="165" spans="20:50" ht="15.75" customHeight="1" x14ac:dyDescent="0.3">
      <c r="T165" s="3"/>
      <c r="U165" s="164"/>
      <c r="V165" s="22"/>
      <c r="W165" s="21"/>
      <c r="X165" s="23"/>
      <c r="Y165" s="10"/>
      <c r="Z165" s="5">
        <f t="shared" si="28"/>
        <v>159</v>
      </c>
      <c r="AA165" s="7">
        <f t="shared" si="29"/>
        <v>262</v>
      </c>
      <c r="AB165" s="8">
        <f t="shared" si="24"/>
        <v>2022</v>
      </c>
      <c r="AC165" s="31">
        <f>IF(AD165=0,"",IF(_Ijour=0,MIN(DATE(YEAR(_DebAmort),MONTH(_DebAmort)+(Z165-1)*_Imois,_Jour1),DATE(YEAR(_DebAmort),MONTH(_DebAmort)+1+(Z165-1)*_Imois,0)),DATE(YEAR(_DebAmort),MONTH(_DebAmort),_Jour1+(Z165-1)*_Ijour)))</f>
        <v>44621</v>
      </c>
      <c r="AD165" s="156">
        <f t="shared" si="30"/>
        <v>165478.98000000007</v>
      </c>
      <c r="AE165" s="153">
        <f>IF(Z165&lt;=_NoEchMaxi,ROUND(AD165*'Données Projet 1'!A174,_NbDeci),0)</f>
        <v>256.49</v>
      </c>
      <c r="AF165" s="152">
        <f>IF(OR(Z165&lt;=_Différé,Z165&gt;_NoEchMaxi),IF(_DiffTotal,-AE165,0),IF(Z165&gt;=_NoEchRemb,AD165,IF('Données Projet 1'!B174-(AE165*_EchFIXE)&gt;AD165-2,AD165,'Données Projet 1'!B174-(AE165*_EchFIXE))))+U165</f>
        <v>512.49</v>
      </c>
      <c r="AG165" s="154">
        <f t="shared" si="31"/>
        <v>19.77</v>
      </c>
      <c r="AH165" s="157">
        <f t="shared" si="25"/>
        <v>788.75</v>
      </c>
      <c r="AI165"/>
      <c r="AJ165" s="3"/>
      <c r="AK165" s="164"/>
      <c r="AL165" s="22"/>
      <c r="AM165" s="21"/>
      <c r="AN165" s="23"/>
      <c r="AO165" s="10"/>
      <c r="AP165" s="5">
        <f t="shared" si="32"/>
        <v>159</v>
      </c>
      <c r="AQ165" s="7">
        <f t="shared" si="33"/>
        <v>22</v>
      </c>
      <c r="AR165" s="8">
        <f t="shared" si="26"/>
        <v>2022</v>
      </c>
      <c r="AS165" s="31">
        <f>IF(AT165=0,"",IF(_Ijour1=0,MIN(DATE(YEAR(_DebAmort1),MONTH(_DebAmort1)+(AP165-1)*_Imois1,__Jou1),DATE(YEAR(_DebAmort1),MONTH(_DebAmort1)+1+(AP165-1)*_Imois1,0)),DATE(YEAR(_DebAmort1),MONTH(_DebAmort1),__Jou1+(AP165-1)*_Ijour1)))</f>
        <v>44621</v>
      </c>
      <c r="AT165" s="156">
        <f t="shared" si="34"/>
        <v>187250</v>
      </c>
      <c r="AU165" s="153">
        <f>IF(AP165&lt;=_NoEchMaxi1,ROUND(AT165*'Données Projet 1'!H174,_NbDeci1),0)</f>
        <v>156.04</v>
      </c>
      <c r="AV165" s="152">
        <f>IF(OR(AP165&lt;=_Différé1,AP165&gt;_NoEchMaxi1),IF(_DiffTotal1,-AU165,0),IF(AP165&gt;=_NoEchRemb1,AT165,IF('Données Projet 1'!I174-(AU165*_EchFIXE1)&gt;AT165-2,AT165,'Données Projet 1'!I174-(AU165*_EchFIXE1))))+AK165</f>
        <v>0</v>
      </c>
      <c r="AW165" s="154">
        <f t="shared" si="35"/>
        <v>15.6</v>
      </c>
      <c r="AX165" s="157">
        <f t="shared" si="27"/>
        <v>171.64</v>
      </c>
    </row>
    <row r="166" spans="20:50" ht="15.75" customHeight="1" x14ac:dyDescent="0.3">
      <c r="T166" s="3"/>
      <c r="U166" s="164"/>
      <c r="V166" s="22"/>
      <c r="W166" s="21"/>
      <c r="X166" s="23"/>
      <c r="Y166" s="10"/>
      <c r="Z166" s="5">
        <f t="shared" si="28"/>
        <v>160</v>
      </c>
      <c r="AA166" s="7">
        <f t="shared" si="29"/>
        <v>261</v>
      </c>
      <c r="AB166" s="8">
        <f t="shared" si="24"/>
        <v>2022</v>
      </c>
      <c r="AC166" s="31">
        <f>IF(AD166=0,"",IF(_Ijour=0,MIN(DATE(YEAR(_DebAmort),MONTH(_DebAmort)+_MoisD+(Z166-1)*_Imois,_Jour2),DATE(YEAR(_DebAmort),MONTH(_DebAmort)+_MoisD+1+(Z166-1)*_Imois,0)),DATE(YEAR(_DebAmort),MONTH(_DebAmort),_Jour1+(Z166-1)*_Ijour)))</f>
        <v>44652</v>
      </c>
      <c r="AD166" s="156">
        <f t="shared" si="30"/>
        <v>164966.49000000008</v>
      </c>
      <c r="AE166" s="153">
        <f>IF(Z166&lt;=_NoEchMaxi,ROUND(AD166*'Données Projet 1'!A175,_NbDeci),0)</f>
        <v>255.7</v>
      </c>
      <c r="AF166" s="152">
        <f>IF(OR(Z166&lt;=_Différé,Z166&gt;_NoEchMaxi),IF(_DiffTotal,-AE166,0),IF(Z166&gt;=_NoEchRemb,AD166,IF('Données Projet 1'!B175-(AE166*_EchFIXE)&gt;AD166-2,AD166,'Données Projet 1'!B175-(AE166*_EchFIXE))))+U166</f>
        <v>513.28</v>
      </c>
      <c r="AG166" s="154">
        <f t="shared" si="31"/>
        <v>19.77</v>
      </c>
      <c r="AH166" s="157">
        <f t="shared" si="25"/>
        <v>788.75</v>
      </c>
      <c r="AI166"/>
      <c r="AJ166" s="3"/>
      <c r="AK166" s="164"/>
      <c r="AL166" s="22"/>
      <c r="AM166" s="21"/>
      <c r="AN166" s="23"/>
      <c r="AO166" s="10"/>
      <c r="AP166" s="5">
        <f t="shared" si="32"/>
        <v>160</v>
      </c>
      <c r="AQ166" s="7">
        <f t="shared" si="33"/>
        <v>21</v>
      </c>
      <c r="AR166" s="8">
        <f t="shared" si="26"/>
        <v>2022</v>
      </c>
      <c r="AS166" s="31">
        <f>IF(AT166=0,"",IF(_Ijour1=0,MIN(DATE(YEAR(_DebAmort1),MONTH(_DebAmort1)+_MoisD1+(AP166-1)*_Imois1,__Jou2),DATE(YEAR(_DebAmort1),MONTH(_DebAmort1)+_MoisD1+1+(AP166-1)*_Imois1,0)),DATE(YEAR(_DebAmort1),MONTH(_DebAmort1),__Jou1+(AP166-1)*_Ijour1)))</f>
        <v>44652</v>
      </c>
      <c r="AT166" s="156">
        <f t="shared" si="34"/>
        <v>187250</v>
      </c>
      <c r="AU166" s="153">
        <f>IF(AP166&lt;=_NoEchMaxi1,ROUND(AT166*'Données Projet 1'!H175,_NbDeci1),0)</f>
        <v>156.04</v>
      </c>
      <c r="AV166" s="152">
        <f>IF(OR(AP166&lt;=_Différé1,AP166&gt;_NoEchMaxi1),IF(_DiffTotal1,-AU166,0),IF(AP166&gt;=_NoEchRemb1,AT166,IF('Données Projet 1'!I175-(AU166*_EchFIXE1)&gt;AT166-2,AT166,'Données Projet 1'!I175-(AU166*_EchFIXE1))))+AK166</f>
        <v>0</v>
      </c>
      <c r="AW166" s="154">
        <f t="shared" si="35"/>
        <v>15.6</v>
      </c>
      <c r="AX166" s="157">
        <f t="shared" si="27"/>
        <v>171.64</v>
      </c>
    </row>
    <row r="167" spans="20:50" ht="15.75" customHeight="1" x14ac:dyDescent="0.3">
      <c r="T167" s="3"/>
      <c r="U167" s="164"/>
      <c r="V167" s="22"/>
      <c r="W167" s="21"/>
      <c r="X167" s="23"/>
      <c r="Y167" s="10"/>
      <c r="Z167" s="5">
        <f t="shared" si="28"/>
        <v>161</v>
      </c>
      <c r="AA167" s="7">
        <f t="shared" si="29"/>
        <v>260</v>
      </c>
      <c r="AB167" s="8">
        <f t="shared" si="24"/>
        <v>2022</v>
      </c>
      <c r="AC167" s="31">
        <f>IF(AD167=0,"",IF(_Ijour=0,MIN(DATE(YEAR(_DebAmort),MONTH(_DebAmort)+(Z167-1)*_Imois,_Jour1),DATE(YEAR(_DebAmort),MONTH(_DebAmort)+1+(Z167-1)*_Imois,0)),DATE(YEAR(_DebAmort),MONTH(_DebAmort),_Jour1+(Z167-1)*_Ijour)))</f>
        <v>44682</v>
      </c>
      <c r="AD167" s="156">
        <f t="shared" si="30"/>
        <v>164453.21000000008</v>
      </c>
      <c r="AE167" s="153">
        <f>IF(Z167&lt;=_NoEchMaxi,ROUND(AD167*'Données Projet 1'!A176,_NbDeci),0)</f>
        <v>254.9</v>
      </c>
      <c r="AF167" s="152">
        <f>IF(OR(Z167&lt;=_Différé,Z167&gt;_NoEchMaxi),IF(_DiffTotal,-AE167,0),IF(Z167&gt;=_NoEchRemb,AD167,IF('Données Projet 1'!B176-(AE167*_EchFIXE)&gt;AD167-2,AD167,'Données Projet 1'!B176-(AE167*_EchFIXE))))+U167</f>
        <v>514.08000000000004</v>
      </c>
      <c r="AG167" s="154">
        <f t="shared" si="31"/>
        <v>19.77</v>
      </c>
      <c r="AH167" s="157">
        <f t="shared" si="25"/>
        <v>788.75</v>
      </c>
      <c r="AI167"/>
      <c r="AJ167" s="3"/>
      <c r="AK167" s="164"/>
      <c r="AL167" s="22"/>
      <c r="AM167" s="21"/>
      <c r="AN167" s="23"/>
      <c r="AO167" s="10"/>
      <c r="AP167" s="5">
        <f t="shared" si="32"/>
        <v>161</v>
      </c>
      <c r="AQ167" s="7">
        <f t="shared" si="33"/>
        <v>20</v>
      </c>
      <c r="AR167" s="8">
        <f t="shared" si="26"/>
        <v>2022</v>
      </c>
      <c r="AS167" s="31">
        <f>IF(AT167=0,"",IF(_Ijour1=0,MIN(DATE(YEAR(_DebAmort1),MONTH(_DebAmort1)+(AP167-1)*_Imois1,__Jou1),DATE(YEAR(_DebAmort1),MONTH(_DebAmort1)+1+(AP167-1)*_Imois1,0)),DATE(YEAR(_DebAmort1),MONTH(_DebAmort1),__Jou1+(AP167-1)*_Ijour1)))</f>
        <v>44682</v>
      </c>
      <c r="AT167" s="156">
        <f t="shared" si="34"/>
        <v>187250</v>
      </c>
      <c r="AU167" s="153">
        <f>IF(AP167&lt;=_NoEchMaxi1,ROUND(AT167*'Données Projet 1'!H176,_NbDeci1),0)</f>
        <v>156.04</v>
      </c>
      <c r="AV167" s="152">
        <f>IF(OR(AP167&lt;=_Différé1,AP167&gt;_NoEchMaxi1),IF(_DiffTotal1,-AU167,0),IF(AP167&gt;=_NoEchRemb1,AT167,IF('Données Projet 1'!I176-(AU167*_EchFIXE1)&gt;AT167-2,AT167,'Données Projet 1'!I176-(AU167*_EchFIXE1))))+AK167</f>
        <v>0</v>
      </c>
      <c r="AW167" s="154">
        <f t="shared" si="35"/>
        <v>15.6</v>
      </c>
      <c r="AX167" s="157">
        <f t="shared" si="27"/>
        <v>171.64</v>
      </c>
    </row>
    <row r="168" spans="20:50" ht="15.75" customHeight="1" x14ac:dyDescent="0.3">
      <c r="T168" s="3"/>
      <c r="U168" s="164"/>
      <c r="V168" s="22"/>
      <c r="W168" s="21"/>
      <c r="X168" s="23"/>
      <c r="Y168" s="10"/>
      <c r="Z168" s="5">
        <f t="shared" si="28"/>
        <v>162</v>
      </c>
      <c r="AA168" s="7">
        <f t="shared" si="29"/>
        <v>259</v>
      </c>
      <c r="AB168" s="8">
        <f t="shared" si="24"/>
        <v>2022</v>
      </c>
      <c r="AC168" s="31">
        <f>IF(AD168=0,"",IF(_Ijour=0,MIN(DATE(YEAR(_DebAmort),MONTH(_DebAmort)+_MoisD+(Z168-1)*_Imois,_Jour2),DATE(YEAR(_DebAmort),MONTH(_DebAmort)+_MoisD+1+(Z168-1)*_Imois,0)),DATE(YEAR(_DebAmort),MONTH(_DebAmort),_Jour1+(Z168-1)*_Ijour)))</f>
        <v>44713</v>
      </c>
      <c r="AD168" s="156">
        <f t="shared" si="30"/>
        <v>163939.13000000009</v>
      </c>
      <c r="AE168" s="153">
        <f>IF(Z168&lt;=_NoEchMaxi,ROUND(AD168*'Données Projet 1'!A177,_NbDeci),0)</f>
        <v>254.11</v>
      </c>
      <c r="AF168" s="152">
        <f>IF(OR(Z168&lt;=_Différé,Z168&gt;_NoEchMaxi),IF(_DiffTotal,-AE168,0),IF(Z168&gt;=_NoEchRemb,AD168,IF('Données Projet 1'!B177-(AE168*_EchFIXE)&gt;AD168-2,AD168,'Données Projet 1'!B177-(AE168*_EchFIXE))))+U168</f>
        <v>514.87</v>
      </c>
      <c r="AG168" s="154">
        <f t="shared" si="31"/>
        <v>19.77</v>
      </c>
      <c r="AH168" s="157">
        <f t="shared" si="25"/>
        <v>788.75</v>
      </c>
      <c r="AI168"/>
      <c r="AJ168" s="3"/>
      <c r="AK168" s="164"/>
      <c r="AL168" s="22"/>
      <c r="AM168" s="21"/>
      <c r="AN168" s="23"/>
      <c r="AO168" s="10"/>
      <c r="AP168" s="5">
        <f t="shared" si="32"/>
        <v>162</v>
      </c>
      <c r="AQ168" s="7">
        <f t="shared" si="33"/>
        <v>19</v>
      </c>
      <c r="AR168" s="8">
        <f t="shared" si="26"/>
        <v>2022</v>
      </c>
      <c r="AS168" s="31">
        <f>IF(AT168=0,"",IF(_Ijour1=0,MIN(DATE(YEAR(_DebAmort1),MONTH(_DebAmort1)+_MoisD1+(AP168-1)*_Imois1,__Jou2),DATE(YEAR(_DebAmort1),MONTH(_DebAmort1)+_MoisD1+1+(AP168-1)*_Imois1,0)),DATE(YEAR(_DebAmort1),MONTH(_DebAmort1),__Jou1+(AP168-1)*_Ijour1)))</f>
        <v>44713</v>
      </c>
      <c r="AT168" s="156">
        <f t="shared" si="34"/>
        <v>187250</v>
      </c>
      <c r="AU168" s="153">
        <f>IF(AP168&lt;=_NoEchMaxi1,ROUND(AT168*'Données Projet 1'!H177,_NbDeci1),0)</f>
        <v>156.04</v>
      </c>
      <c r="AV168" s="152">
        <f>IF(OR(AP168&lt;=_Différé1,AP168&gt;_NoEchMaxi1),IF(_DiffTotal1,-AU168,0),IF(AP168&gt;=_NoEchRemb1,AT168,IF('Données Projet 1'!I177-(AU168*_EchFIXE1)&gt;AT168-2,AT168,'Données Projet 1'!I177-(AU168*_EchFIXE1))))+AK168</f>
        <v>0</v>
      </c>
      <c r="AW168" s="154">
        <f t="shared" si="35"/>
        <v>15.6</v>
      </c>
      <c r="AX168" s="157">
        <f t="shared" si="27"/>
        <v>171.64</v>
      </c>
    </row>
    <row r="169" spans="20:50" ht="15.75" customHeight="1" x14ac:dyDescent="0.3">
      <c r="T169" s="3"/>
      <c r="U169" s="164"/>
      <c r="V169" s="22"/>
      <c r="W169" s="21"/>
      <c r="X169" s="23"/>
      <c r="Y169" s="10"/>
      <c r="Z169" s="5">
        <f t="shared" si="28"/>
        <v>163</v>
      </c>
      <c r="AA169" s="7">
        <f t="shared" si="29"/>
        <v>258</v>
      </c>
      <c r="AB169" s="8">
        <f t="shared" si="24"/>
        <v>2022</v>
      </c>
      <c r="AC169" s="31">
        <f>IF(AD169=0,"",IF(_Ijour=0,MIN(DATE(YEAR(_DebAmort),MONTH(_DebAmort)+(Z169-1)*_Imois,_Jour1),DATE(YEAR(_DebAmort),MONTH(_DebAmort)+1+(Z169-1)*_Imois,0)),DATE(YEAR(_DebAmort),MONTH(_DebAmort),_Jour1+(Z169-1)*_Ijour)))</f>
        <v>44743</v>
      </c>
      <c r="AD169" s="156">
        <f t="shared" si="30"/>
        <v>163424.2600000001</v>
      </c>
      <c r="AE169" s="153">
        <f>IF(Z169&lt;=_NoEchMaxi,ROUND(AD169*'Données Projet 1'!A178,_NbDeci),0)</f>
        <v>253.31</v>
      </c>
      <c r="AF169" s="152">
        <f>IF(OR(Z169&lt;=_Différé,Z169&gt;_NoEchMaxi),IF(_DiffTotal,-AE169,0),IF(Z169&gt;=_NoEchRemb,AD169,IF('Données Projet 1'!B178-(AE169*_EchFIXE)&gt;AD169-2,AD169,'Données Projet 1'!B178-(AE169*_EchFIXE))))+U169</f>
        <v>515.67000000000007</v>
      </c>
      <c r="AG169" s="154">
        <f t="shared" si="31"/>
        <v>19.77</v>
      </c>
      <c r="AH169" s="157">
        <f t="shared" si="25"/>
        <v>788.75</v>
      </c>
      <c r="AI169"/>
      <c r="AJ169" s="3"/>
      <c r="AK169" s="164"/>
      <c r="AL169" s="22"/>
      <c r="AM169" s="21"/>
      <c r="AN169" s="23"/>
      <c r="AO169" s="10"/>
      <c r="AP169" s="5">
        <f t="shared" si="32"/>
        <v>163</v>
      </c>
      <c r="AQ169" s="7">
        <f t="shared" si="33"/>
        <v>18</v>
      </c>
      <c r="AR169" s="8">
        <f t="shared" si="26"/>
        <v>2022</v>
      </c>
      <c r="AS169" s="31">
        <f>IF(AT169=0,"",IF(_Ijour1=0,MIN(DATE(YEAR(_DebAmort1),MONTH(_DebAmort1)+(AP169-1)*_Imois1,__Jou1),DATE(YEAR(_DebAmort1),MONTH(_DebAmort1)+1+(AP169-1)*_Imois1,0)),DATE(YEAR(_DebAmort1),MONTH(_DebAmort1),__Jou1+(AP169-1)*_Ijour1)))</f>
        <v>44743</v>
      </c>
      <c r="AT169" s="156">
        <f t="shared" si="34"/>
        <v>187250</v>
      </c>
      <c r="AU169" s="153">
        <f>IF(AP169&lt;=_NoEchMaxi1,ROUND(AT169*'Données Projet 1'!H178,_NbDeci1),0)</f>
        <v>156.04</v>
      </c>
      <c r="AV169" s="152">
        <f>IF(OR(AP169&lt;=_Différé1,AP169&gt;_NoEchMaxi1),IF(_DiffTotal1,-AU169,0),IF(AP169&gt;=_NoEchRemb1,AT169,IF('Données Projet 1'!I178-(AU169*_EchFIXE1)&gt;AT169-2,AT169,'Données Projet 1'!I178-(AU169*_EchFIXE1))))+AK169</f>
        <v>0</v>
      </c>
      <c r="AW169" s="154">
        <f t="shared" si="35"/>
        <v>15.6</v>
      </c>
      <c r="AX169" s="157">
        <f t="shared" si="27"/>
        <v>171.64</v>
      </c>
    </row>
    <row r="170" spans="20:50" ht="15.75" customHeight="1" x14ac:dyDescent="0.3">
      <c r="T170" s="3"/>
      <c r="U170" s="164"/>
      <c r="V170" s="22"/>
      <c r="W170" s="21"/>
      <c r="X170" s="23"/>
      <c r="Y170" s="10"/>
      <c r="Z170" s="5">
        <f t="shared" si="28"/>
        <v>164</v>
      </c>
      <c r="AA170" s="7">
        <f t="shared" si="29"/>
        <v>257</v>
      </c>
      <c r="AB170" s="8">
        <f t="shared" si="24"/>
        <v>2022</v>
      </c>
      <c r="AC170" s="31">
        <f>IF(AD170=0,"",IF(_Ijour=0,MIN(DATE(YEAR(_DebAmort),MONTH(_DebAmort)+_MoisD+(Z170-1)*_Imois,_Jour2),DATE(YEAR(_DebAmort),MONTH(_DebAmort)+_MoisD+1+(Z170-1)*_Imois,0)),DATE(YEAR(_DebAmort),MONTH(_DebAmort),_Jour1+(Z170-1)*_Ijour)))</f>
        <v>44774</v>
      </c>
      <c r="AD170" s="156">
        <f t="shared" si="30"/>
        <v>162908.59000000008</v>
      </c>
      <c r="AE170" s="153">
        <f>IF(Z170&lt;=_NoEchMaxi,ROUND(AD170*'Données Projet 1'!A179,_NbDeci),0)</f>
        <v>252.51</v>
      </c>
      <c r="AF170" s="152">
        <f>IF(OR(Z170&lt;=_Différé,Z170&gt;_NoEchMaxi),IF(_DiffTotal,-AE170,0),IF(Z170&gt;=_NoEchRemb,AD170,IF('Données Projet 1'!B179-(AE170*_EchFIXE)&gt;AD170-2,AD170,'Données Projet 1'!B179-(AE170*_EchFIXE))))+U170</f>
        <v>516.47</v>
      </c>
      <c r="AG170" s="154">
        <f t="shared" si="31"/>
        <v>19.77</v>
      </c>
      <c r="AH170" s="157">
        <f t="shared" si="25"/>
        <v>788.75</v>
      </c>
      <c r="AI170"/>
      <c r="AJ170" s="3"/>
      <c r="AK170" s="164"/>
      <c r="AL170" s="22"/>
      <c r="AM170" s="21"/>
      <c r="AN170" s="23"/>
      <c r="AO170" s="10"/>
      <c r="AP170" s="5">
        <f t="shared" si="32"/>
        <v>164</v>
      </c>
      <c r="AQ170" s="7">
        <f t="shared" si="33"/>
        <v>17</v>
      </c>
      <c r="AR170" s="8">
        <f t="shared" si="26"/>
        <v>2022</v>
      </c>
      <c r="AS170" s="31">
        <f>IF(AT170=0,"",IF(_Ijour1=0,MIN(DATE(YEAR(_DebAmort1),MONTH(_DebAmort1)+_MoisD1+(AP170-1)*_Imois1,__Jou2),DATE(YEAR(_DebAmort1),MONTH(_DebAmort1)+_MoisD1+1+(AP170-1)*_Imois1,0)),DATE(YEAR(_DebAmort1),MONTH(_DebAmort1),__Jou1+(AP170-1)*_Ijour1)))</f>
        <v>44774</v>
      </c>
      <c r="AT170" s="156">
        <f t="shared" si="34"/>
        <v>187250</v>
      </c>
      <c r="AU170" s="153">
        <f>IF(AP170&lt;=_NoEchMaxi1,ROUND(AT170*'Données Projet 1'!H179,_NbDeci1),0)</f>
        <v>156.04</v>
      </c>
      <c r="AV170" s="152">
        <f>IF(OR(AP170&lt;=_Différé1,AP170&gt;_NoEchMaxi1),IF(_DiffTotal1,-AU170,0),IF(AP170&gt;=_NoEchRemb1,AT170,IF('Données Projet 1'!I179-(AU170*_EchFIXE1)&gt;AT170-2,AT170,'Données Projet 1'!I179-(AU170*_EchFIXE1))))+AK170</f>
        <v>0</v>
      </c>
      <c r="AW170" s="154">
        <f t="shared" si="35"/>
        <v>15.6</v>
      </c>
      <c r="AX170" s="157">
        <f t="shared" si="27"/>
        <v>171.64</v>
      </c>
    </row>
    <row r="171" spans="20:50" ht="15.75" customHeight="1" x14ac:dyDescent="0.3">
      <c r="T171" s="3"/>
      <c r="U171" s="164"/>
      <c r="V171" s="22"/>
      <c r="W171" s="21"/>
      <c r="X171" s="23"/>
      <c r="Y171" s="10"/>
      <c r="Z171" s="5">
        <f t="shared" si="28"/>
        <v>165</v>
      </c>
      <c r="AA171" s="7">
        <f t="shared" si="29"/>
        <v>256</v>
      </c>
      <c r="AB171" s="8">
        <f t="shared" si="24"/>
        <v>2022</v>
      </c>
      <c r="AC171" s="31">
        <f>IF(AD171=0,"",IF(_Ijour=0,MIN(DATE(YEAR(_DebAmort),MONTH(_DebAmort)+(Z171-1)*_Imois,_Jour1),DATE(YEAR(_DebAmort),MONTH(_DebAmort)+1+(Z171-1)*_Imois,0)),DATE(YEAR(_DebAmort),MONTH(_DebAmort),_Jour1+(Z171-1)*_Ijour)))</f>
        <v>44805</v>
      </c>
      <c r="AD171" s="156">
        <f t="shared" si="30"/>
        <v>162392.12000000008</v>
      </c>
      <c r="AE171" s="153">
        <f>IF(Z171&lt;=_NoEchMaxi,ROUND(AD171*'Données Projet 1'!A180,_NbDeci),0)</f>
        <v>251.71</v>
      </c>
      <c r="AF171" s="152">
        <f>IF(OR(Z171&lt;=_Différé,Z171&gt;_NoEchMaxi),IF(_DiffTotal,-AE171,0),IF(Z171&gt;=_NoEchRemb,AD171,IF('Données Projet 1'!B180-(AE171*_EchFIXE)&gt;AD171-2,AD171,'Données Projet 1'!B180-(AE171*_EchFIXE))))+U171</f>
        <v>517.27</v>
      </c>
      <c r="AG171" s="154">
        <f t="shared" si="31"/>
        <v>19.77</v>
      </c>
      <c r="AH171" s="157">
        <f t="shared" si="25"/>
        <v>788.75</v>
      </c>
      <c r="AI171"/>
      <c r="AJ171" s="3"/>
      <c r="AK171" s="164"/>
      <c r="AL171" s="22"/>
      <c r="AM171" s="21"/>
      <c r="AN171" s="23"/>
      <c r="AO171" s="10"/>
      <c r="AP171" s="5">
        <f t="shared" si="32"/>
        <v>165</v>
      </c>
      <c r="AQ171" s="7">
        <f t="shared" si="33"/>
        <v>16</v>
      </c>
      <c r="AR171" s="8">
        <f t="shared" si="26"/>
        <v>2022</v>
      </c>
      <c r="AS171" s="31">
        <f>IF(AT171=0,"",IF(_Ijour1=0,MIN(DATE(YEAR(_DebAmort1),MONTH(_DebAmort1)+(AP171-1)*_Imois1,__Jou1),DATE(YEAR(_DebAmort1),MONTH(_DebAmort1)+1+(AP171-1)*_Imois1,0)),DATE(YEAR(_DebAmort1),MONTH(_DebAmort1),__Jou1+(AP171-1)*_Ijour1)))</f>
        <v>44805</v>
      </c>
      <c r="AT171" s="156">
        <f t="shared" si="34"/>
        <v>187250</v>
      </c>
      <c r="AU171" s="153">
        <f>IF(AP171&lt;=_NoEchMaxi1,ROUND(AT171*'Données Projet 1'!H180,_NbDeci1),0)</f>
        <v>156.04</v>
      </c>
      <c r="AV171" s="152">
        <f>IF(OR(AP171&lt;=_Différé1,AP171&gt;_NoEchMaxi1),IF(_DiffTotal1,-AU171,0),IF(AP171&gt;=_NoEchRemb1,AT171,IF('Données Projet 1'!I180-(AU171*_EchFIXE1)&gt;AT171-2,AT171,'Données Projet 1'!I180-(AU171*_EchFIXE1))))+AK171</f>
        <v>0</v>
      </c>
      <c r="AW171" s="154">
        <f t="shared" si="35"/>
        <v>15.6</v>
      </c>
      <c r="AX171" s="157">
        <f t="shared" si="27"/>
        <v>171.64</v>
      </c>
    </row>
    <row r="172" spans="20:50" ht="15.75" customHeight="1" x14ac:dyDescent="0.3">
      <c r="T172" s="3"/>
      <c r="U172" s="164"/>
      <c r="V172" s="22"/>
      <c r="W172" s="21"/>
      <c r="X172" s="23"/>
      <c r="Y172" s="10"/>
      <c r="Z172" s="5">
        <f t="shared" si="28"/>
        <v>166</v>
      </c>
      <c r="AA172" s="7">
        <f t="shared" si="29"/>
        <v>255</v>
      </c>
      <c r="AB172" s="8">
        <f t="shared" si="24"/>
        <v>2022</v>
      </c>
      <c r="AC172" s="31">
        <f>IF(AD172=0,"",IF(_Ijour=0,MIN(DATE(YEAR(_DebAmort),MONTH(_DebAmort)+_MoisD+(Z172-1)*_Imois,_Jour2),DATE(YEAR(_DebAmort),MONTH(_DebAmort)+_MoisD+1+(Z172-1)*_Imois,0)),DATE(YEAR(_DebAmort),MONTH(_DebAmort),_Jour1+(Z172-1)*_Ijour)))</f>
        <v>44835</v>
      </c>
      <c r="AD172" s="156">
        <f t="shared" si="30"/>
        <v>161874.85000000009</v>
      </c>
      <c r="AE172" s="153">
        <f>IF(Z172&lt;=_NoEchMaxi,ROUND(AD172*'Données Projet 1'!A181,_NbDeci),0)</f>
        <v>250.91</v>
      </c>
      <c r="AF172" s="152">
        <f>IF(OR(Z172&lt;=_Différé,Z172&gt;_NoEchMaxi),IF(_DiffTotal,-AE172,0),IF(Z172&gt;=_NoEchRemb,AD172,IF('Données Projet 1'!B181-(AE172*_EchFIXE)&gt;AD172-2,AD172,'Données Projet 1'!B181-(AE172*_EchFIXE))))+U172</f>
        <v>518.07000000000005</v>
      </c>
      <c r="AG172" s="154">
        <f t="shared" si="31"/>
        <v>19.77</v>
      </c>
      <c r="AH172" s="157">
        <f t="shared" si="25"/>
        <v>788.75</v>
      </c>
      <c r="AI172"/>
      <c r="AJ172" s="3"/>
      <c r="AK172" s="164"/>
      <c r="AL172" s="22"/>
      <c r="AM172" s="21"/>
      <c r="AN172" s="23"/>
      <c r="AO172" s="10"/>
      <c r="AP172" s="5">
        <f t="shared" si="32"/>
        <v>166</v>
      </c>
      <c r="AQ172" s="7">
        <f t="shared" si="33"/>
        <v>15</v>
      </c>
      <c r="AR172" s="8">
        <f t="shared" si="26"/>
        <v>2022</v>
      </c>
      <c r="AS172" s="31">
        <f>IF(AT172=0,"",IF(_Ijour1=0,MIN(DATE(YEAR(_DebAmort1),MONTH(_DebAmort1)+_MoisD1+(AP172-1)*_Imois1,__Jou2),DATE(YEAR(_DebAmort1),MONTH(_DebAmort1)+_MoisD1+1+(AP172-1)*_Imois1,0)),DATE(YEAR(_DebAmort1),MONTH(_DebAmort1),__Jou1+(AP172-1)*_Ijour1)))</f>
        <v>44835</v>
      </c>
      <c r="AT172" s="156">
        <f t="shared" si="34"/>
        <v>187250</v>
      </c>
      <c r="AU172" s="153">
        <f>IF(AP172&lt;=_NoEchMaxi1,ROUND(AT172*'Données Projet 1'!H181,_NbDeci1),0)</f>
        <v>156.04</v>
      </c>
      <c r="AV172" s="152">
        <f>IF(OR(AP172&lt;=_Différé1,AP172&gt;_NoEchMaxi1),IF(_DiffTotal1,-AU172,0),IF(AP172&gt;=_NoEchRemb1,AT172,IF('Données Projet 1'!I181-(AU172*_EchFIXE1)&gt;AT172-2,AT172,'Données Projet 1'!I181-(AU172*_EchFIXE1))))+AK172</f>
        <v>0</v>
      </c>
      <c r="AW172" s="154">
        <f t="shared" si="35"/>
        <v>15.6</v>
      </c>
      <c r="AX172" s="157">
        <f t="shared" si="27"/>
        <v>171.64</v>
      </c>
    </row>
    <row r="173" spans="20:50" ht="15.75" customHeight="1" x14ac:dyDescent="0.3">
      <c r="T173" s="3"/>
      <c r="U173" s="164"/>
      <c r="V173" s="22"/>
      <c r="W173" s="21"/>
      <c r="X173" s="23"/>
      <c r="Y173" s="10"/>
      <c r="Z173" s="5">
        <f t="shared" si="28"/>
        <v>167</v>
      </c>
      <c r="AA173" s="7">
        <f t="shared" si="29"/>
        <v>254</v>
      </c>
      <c r="AB173" s="8">
        <f t="shared" si="24"/>
        <v>2022</v>
      </c>
      <c r="AC173" s="31">
        <f>IF(AD173=0,"",IF(_Ijour=0,MIN(DATE(YEAR(_DebAmort),MONTH(_DebAmort)+(Z173-1)*_Imois,_Jour1),DATE(YEAR(_DebAmort),MONTH(_DebAmort)+1+(Z173-1)*_Imois,0)),DATE(YEAR(_DebAmort),MONTH(_DebAmort),_Jour1+(Z173-1)*_Ijour)))</f>
        <v>44866</v>
      </c>
      <c r="AD173" s="156">
        <f t="shared" si="30"/>
        <v>161356.78000000009</v>
      </c>
      <c r="AE173" s="153">
        <f>IF(Z173&lt;=_NoEchMaxi,ROUND(AD173*'Données Projet 1'!A182,_NbDeci),0)</f>
        <v>250.1</v>
      </c>
      <c r="AF173" s="152">
        <f>IF(OR(Z173&lt;=_Différé,Z173&gt;_NoEchMaxi),IF(_DiffTotal,-AE173,0),IF(Z173&gt;=_NoEchRemb,AD173,IF('Données Projet 1'!B182-(AE173*_EchFIXE)&gt;AD173-2,AD173,'Données Projet 1'!B182-(AE173*_EchFIXE))))+U173</f>
        <v>518.88</v>
      </c>
      <c r="AG173" s="154">
        <f t="shared" si="31"/>
        <v>19.77</v>
      </c>
      <c r="AH173" s="157">
        <f t="shared" si="25"/>
        <v>788.75</v>
      </c>
      <c r="AI173"/>
      <c r="AJ173" s="3"/>
      <c r="AK173" s="164"/>
      <c r="AL173" s="22"/>
      <c r="AM173" s="21"/>
      <c r="AN173" s="23"/>
      <c r="AO173" s="10"/>
      <c r="AP173" s="5">
        <f t="shared" si="32"/>
        <v>167</v>
      </c>
      <c r="AQ173" s="7">
        <f t="shared" si="33"/>
        <v>14</v>
      </c>
      <c r="AR173" s="8">
        <f t="shared" si="26"/>
        <v>2022</v>
      </c>
      <c r="AS173" s="31">
        <f>IF(AT173=0,"",IF(_Ijour1=0,MIN(DATE(YEAR(_DebAmort1),MONTH(_DebAmort1)+(AP173-1)*_Imois1,__Jou1),DATE(YEAR(_DebAmort1),MONTH(_DebAmort1)+1+(AP173-1)*_Imois1,0)),DATE(YEAR(_DebAmort1),MONTH(_DebAmort1),__Jou1+(AP173-1)*_Ijour1)))</f>
        <v>44866</v>
      </c>
      <c r="AT173" s="156">
        <f t="shared" si="34"/>
        <v>187250</v>
      </c>
      <c r="AU173" s="153">
        <f>IF(AP173&lt;=_NoEchMaxi1,ROUND(AT173*'Données Projet 1'!H182,_NbDeci1),0)</f>
        <v>156.04</v>
      </c>
      <c r="AV173" s="152">
        <f>IF(OR(AP173&lt;=_Différé1,AP173&gt;_NoEchMaxi1),IF(_DiffTotal1,-AU173,0),IF(AP173&gt;=_NoEchRemb1,AT173,IF('Données Projet 1'!I182-(AU173*_EchFIXE1)&gt;AT173-2,AT173,'Données Projet 1'!I182-(AU173*_EchFIXE1))))+AK173</f>
        <v>0</v>
      </c>
      <c r="AW173" s="154">
        <f t="shared" si="35"/>
        <v>15.6</v>
      </c>
      <c r="AX173" s="157">
        <f t="shared" si="27"/>
        <v>171.64</v>
      </c>
    </row>
    <row r="174" spans="20:50" ht="15.75" customHeight="1" x14ac:dyDescent="0.3">
      <c r="T174" s="3"/>
      <c r="U174" s="164"/>
      <c r="V174" s="22"/>
      <c r="W174" s="21"/>
      <c r="X174" s="23"/>
      <c r="Y174" s="10"/>
      <c r="Z174" s="5">
        <f t="shared" si="28"/>
        <v>168</v>
      </c>
      <c r="AA174" s="7">
        <f t="shared" si="29"/>
        <v>253</v>
      </c>
      <c r="AB174" s="8">
        <f t="shared" si="24"/>
        <v>2022</v>
      </c>
      <c r="AC174" s="31">
        <f>IF(AD174=0,"",IF(_Ijour=0,MIN(DATE(YEAR(_DebAmort),MONTH(_DebAmort)+_MoisD+(Z174-1)*_Imois,_Jour2),DATE(YEAR(_DebAmort),MONTH(_DebAmort)+_MoisD+1+(Z174-1)*_Imois,0)),DATE(YEAR(_DebAmort),MONTH(_DebAmort),_Jour1+(Z174-1)*_Ijour)))</f>
        <v>44896</v>
      </c>
      <c r="AD174" s="156">
        <f t="shared" si="30"/>
        <v>160837.90000000008</v>
      </c>
      <c r="AE174" s="153">
        <f>IF(Z174&lt;=_NoEchMaxi,ROUND(AD174*'Données Projet 1'!A183,_NbDeci),0)</f>
        <v>249.3</v>
      </c>
      <c r="AF174" s="152">
        <f>IF(OR(Z174&lt;=_Différé,Z174&gt;_NoEchMaxi),IF(_DiffTotal,-AE174,0),IF(Z174&gt;=_NoEchRemb,AD174,IF('Données Projet 1'!B183-(AE174*_EchFIXE)&gt;AD174-2,AD174,'Données Projet 1'!B183-(AE174*_EchFIXE))))+U174</f>
        <v>519.68000000000006</v>
      </c>
      <c r="AG174" s="154">
        <f t="shared" si="31"/>
        <v>19.77</v>
      </c>
      <c r="AH174" s="157">
        <f t="shared" si="25"/>
        <v>788.75</v>
      </c>
      <c r="AI174"/>
      <c r="AJ174" s="3"/>
      <c r="AK174" s="164"/>
      <c r="AL174" s="22"/>
      <c r="AM174" s="21"/>
      <c r="AN174" s="23"/>
      <c r="AO174" s="10"/>
      <c r="AP174" s="5">
        <f t="shared" si="32"/>
        <v>168</v>
      </c>
      <c r="AQ174" s="7">
        <f t="shared" si="33"/>
        <v>13</v>
      </c>
      <c r="AR174" s="8">
        <f t="shared" si="26"/>
        <v>2022</v>
      </c>
      <c r="AS174" s="31">
        <f>IF(AT174=0,"",IF(_Ijour1=0,MIN(DATE(YEAR(_DebAmort1),MONTH(_DebAmort1)+_MoisD1+(AP174-1)*_Imois1,__Jou2),DATE(YEAR(_DebAmort1),MONTH(_DebAmort1)+_MoisD1+1+(AP174-1)*_Imois1,0)),DATE(YEAR(_DebAmort1),MONTH(_DebAmort1),__Jou1+(AP174-1)*_Ijour1)))</f>
        <v>44896</v>
      </c>
      <c r="AT174" s="156">
        <f t="shared" si="34"/>
        <v>187250</v>
      </c>
      <c r="AU174" s="153">
        <f>IF(AP174&lt;=_NoEchMaxi1,ROUND(AT174*'Données Projet 1'!H183,_NbDeci1),0)</f>
        <v>156.04</v>
      </c>
      <c r="AV174" s="152">
        <f>IF(OR(AP174&lt;=_Différé1,AP174&gt;_NoEchMaxi1),IF(_DiffTotal1,-AU174,0),IF(AP174&gt;=_NoEchRemb1,AT174,IF('Données Projet 1'!I183-(AU174*_EchFIXE1)&gt;AT174-2,AT174,'Données Projet 1'!I183-(AU174*_EchFIXE1))))+AK174</f>
        <v>0</v>
      </c>
      <c r="AW174" s="154">
        <f t="shared" si="35"/>
        <v>15.6</v>
      </c>
      <c r="AX174" s="157">
        <f t="shared" si="27"/>
        <v>171.64</v>
      </c>
    </row>
    <row r="175" spans="20:50" ht="15.75" customHeight="1" x14ac:dyDescent="0.3">
      <c r="T175" s="3"/>
      <c r="U175" s="164"/>
      <c r="V175" s="22"/>
      <c r="W175" s="21"/>
      <c r="X175" s="23"/>
      <c r="Y175" s="10"/>
      <c r="Z175" s="5">
        <f t="shared" si="28"/>
        <v>169</v>
      </c>
      <c r="AA175" s="7">
        <f t="shared" si="29"/>
        <v>252</v>
      </c>
      <c r="AB175" s="8">
        <f t="shared" si="24"/>
        <v>2023</v>
      </c>
      <c r="AC175" s="31">
        <f>IF(AD175=0,"",IF(_Ijour=0,MIN(DATE(YEAR(_DebAmort),MONTH(_DebAmort)+(Z175-1)*_Imois,_Jour1),DATE(YEAR(_DebAmort),MONTH(_DebAmort)+1+(Z175-1)*_Imois,0)),DATE(YEAR(_DebAmort),MONTH(_DebAmort),_Jour1+(Z175-1)*_Ijour)))</f>
        <v>44927</v>
      </c>
      <c r="AD175" s="156">
        <f t="shared" si="30"/>
        <v>160318.22000000009</v>
      </c>
      <c r="AE175" s="153">
        <f>IF(Z175&lt;=_NoEchMaxi,ROUND(AD175*'Données Projet 1'!A184,_NbDeci),0)</f>
        <v>248.49</v>
      </c>
      <c r="AF175" s="152">
        <f>IF(OR(Z175&lt;=_Différé,Z175&gt;_NoEchMaxi),IF(_DiffTotal,-AE175,0),IF(Z175&gt;=_NoEchRemb,AD175,IF('Données Projet 1'!B184-(AE175*_EchFIXE)&gt;AD175-2,AD175,'Données Projet 1'!B184-(AE175*_EchFIXE))))+U175</f>
        <v>520.49</v>
      </c>
      <c r="AG175" s="154">
        <f t="shared" si="31"/>
        <v>19.77</v>
      </c>
      <c r="AH175" s="157">
        <f t="shared" si="25"/>
        <v>788.75</v>
      </c>
      <c r="AI175"/>
      <c r="AJ175" s="3"/>
      <c r="AK175" s="164"/>
      <c r="AL175" s="22"/>
      <c r="AM175" s="21"/>
      <c r="AN175" s="23"/>
      <c r="AO175" s="10"/>
      <c r="AP175" s="5">
        <f t="shared" si="32"/>
        <v>169</v>
      </c>
      <c r="AQ175" s="7">
        <f t="shared" si="33"/>
        <v>12</v>
      </c>
      <c r="AR175" s="8">
        <f t="shared" si="26"/>
        <v>2023</v>
      </c>
      <c r="AS175" s="31">
        <f>IF(AT175=0,"",IF(_Ijour1=0,MIN(DATE(YEAR(_DebAmort1),MONTH(_DebAmort1)+(AP175-1)*_Imois1,__Jou1),DATE(YEAR(_DebAmort1),MONTH(_DebAmort1)+1+(AP175-1)*_Imois1,0)),DATE(YEAR(_DebAmort1),MONTH(_DebAmort1),__Jou1+(AP175-1)*_Ijour1)))</f>
        <v>44927</v>
      </c>
      <c r="AT175" s="156">
        <f t="shared" si="34"/>
        <v>187250</v>
      </c>
      <c r="AU175" s="153">
        <f>IF(AP175&lt;=_NoEchMaxi1,ROUND(AT175*'Données Projet 1'!H184,_NbDeci1),0)</f>
        <v>156.04</v>
      </c>
      <c r="AV175" s="152">
        <f>IF(OR(AP175&lt;=_Différé1,AP175&gt;_NoEchMaxi1),IF(_DiffTotal1,-AU175,0),IF(AP175&gt;=_NoEchRemb1,AT175,IF('Données Projet 1'!I184-(AU175*_EchFIXE1)&gt;AT175-2,AT175,'Données Projet 1'!I184-(AU175*_EchFIXE1))))+AK175</f>
        <v>0</v>
      </c>
      <c r="AW175" s="154">
        <f t="shared" si="35"/>
        <v>15.6</v>
      </c>
      <c r="AX175" s="157">
        <f t="shared" si="27"/>
        <v>171.64</v>
      </c>
    </row>
    <row r="176" spans="20:50" ht="15.75" customHeight="1" x14ac:dyDescent="0.3">
      <c r="T176" s="3"/>
      <c r="U176" s="164"/>
      <c r="V176" s="22"/>
      <c r="W176" s="21"/>
      <c r="X176" s="23"/>
      <c r="Y176" s="10"/>
      <c r="Z176" s="5">
        <f t="shared" si="28"/>
        <v>170</v>
      </c>
      <c r="AA176" s="7">
        <f t="shared" si="29"/>
        <v>251</v>
      </c>
      <c r="AB176" s="8">
        <f t="shared" si="24"/>
        <v>2023</v>
      </c>
      <c r="AC176" s="31">
        <f>IF(AD176=0,"",IF(_Ijour=0,MIN(DATE(YEAR(_DebAmort),MONTH(_DebAmort)+_MoisD+(Z176-1)*_Imois,_Jour2),DATE(YEAR(_DebAmort),MONTH(_DebAmort)+_MoisD+1+(Z176-1)*_Imois,0)),DATE(YEAR(_DebAmort),MONTH(_DebAmort),_Jour1+(Z176-1)*_Ijour)))</f>
        <v>44958</v>
      </c>
      <c r="AD176" s="156">
        <f t="shared" si="30"/>
        <v>159797.7300000001</v>
      </c>
      <c r="AE176" s="153">
        <f>IF(Z176&lt;=_NoEchMaxi,ROUND(AD176*'Données Projet 1'!A185,_NbDeci),0)</f>
        <v>247.69</v>
      </c>
      <c r="AF176" s="152">
        <f>IF(OR(Z176&lt;=_Différé,Z176&gt;_NoEchMaxi),IF(_DiffTotal,-AE176,0),IF(Z176&gt;=_NoEchRemb,AD176,IF('Données Projet 1'!B185-(AE176*_EchFIXE)&gt;AD176-2,AD176,'Données Projet 1'!B185-(AE176*_EchFIXE))))+U176</f>
        <v>521.29</v>
      </c>
      <c r="AG176" s="154">
        <f t="shared" si="31"/>
        <v>19.77</v>
      </c>
      <c r="AH176" s="157">
        <f t="shared" si="25"/>
        <v>788.75</v>
      </c>
      <c r="AI176"/>
      <c r="AJ176" s="3"/>
      <c r="AK176" s="164"/>
      <c r="AL176" s="22"/>
      <c r="AM176" s="21"/>
      <c r="AN176" s="23"/>
      <c r="AO176" s="10"/>
      <c r="AP176" s="5">
        <f t="shared" si="32"/>
        <v>170</v>
      </c>
      <c r="AQ176" s="7">
        <f t="shared" si="33"/>
        <v>11</v>
      </c>
      <c r="AR176" s="8">
        <f t="shared" si="26"/>
        <v>2023</v>
      </c>
      <c r="AS176" s="31">
        <f>IF(AT176=0,"",IF(_Ijour1=0,MIN(DATE(YEAR(_DebAmort1),MONTH(_DebAmort1)+_MoisD1+(AP176-1)*_Imois1,__Jou2),DATE(YEAR(_DebAmort1),MONTH(_DebAmort1)+_MoisD1+1+(AP176-1)*_Imois1,0)),DATE(YEAR(_DebAmort1),MONTH(_DebAmort1),__Jou1+(AP176-1)*_Ijour1)))</f>
        <v>44958</v>
      </c>
      <c r="AT176" s="156">
        <f t="shared" si="34"/>
        <v>187250</v>
      </c>
      <c r="AU176" s="153">
        <f>IF(AP176&lt;=_NoEchMaxi1,ROUND(AT176*'Données Projet 1'!H185,_NbDeci1),0)</f>
        <v>156.04</v>
      </c>
      <c r="AV176" s="152">
        <f>IF(OR(AP176&lt;=_Différé1,AP176&gt;_NoEchMaxi1),IF(_DiffTotal1,-AU176,0),IF(AP176&gt;=_NoEchRemb1,AT176,IF('Données Projet 1'!I185-(AU176*_EchFIXE1)&gt;AT176-2,AT176,'Données Projet 1'!I185-(AU176*_EchFIXE1))))+AK176</f>
        <v>0</v>
      </c>
      <c r="AW176" s="154">
        <f t="shared" si="35"/>
        <v>15.6</v>
      </c>
      <c r="AX176" s="157">
        <f t="shared" si="27"/>
        <v>171.64</v>
      </c>
    </row>
    <row r="177" spans="20:50" ht="15.75" customHeight="1" x14ac:dyDescent="0.3">
      <c r="T177" s="3"/>
      <c r="U177" s="164"/>
      <c r="V177" s="22"/>
      <c r="W177" s="21"/>
      <c r="X177" s="23"/>
      <c r="Y177" s="10"/>
      <c r="Z177" s="5">
        <f t="shared" si="28"/>
        <v>171</v>
      </c>
      <c r="AA177" s="7">
        <f t="shared" si="29"/>
        <v>250</v>
      </c>
      <c r="AB177" s="8">
        <f t="shared" si="24"/>
        <v>2023</v>
      </c>
      <c r="AC177" s="31">
        <f>IF(AD177=0,"",IF(_Ijour=0,MIN(DATE(YEAR(_DebAmort),MONTH(_DebAmort)+(Z177-1)*_Imois,_Jour1),DATE(YEAR(_DebAmort),MONTH(_DebAmort)+1+(Z177-1)*_Imois,0)),DATE(YEAR(_DebAmort),MONTH(_DebAmort),_Jour1+(Z177-1)*_Ijour)))</f>
        <v>44986</v>
      </c>
      <c r="AD177" s="156">
        <f t="shared" si="30"/>
        <v>159276.44000000009</v>
      </c>
      <c r="AE177" s="153">
        <f>IF(Z177&lt;=_NoEchMaxi,ROUND(AD177*'Données Projet 1'!A186,_NbDeci),0)</f>
        <v>246.88</v>
      </c>
      <c r="AF177" s="152">
        <f>IF(OR(Z177&lt;=_Différé,Z177&gt;_NoEchMaxi),IF(_DiffTotal,-AE177,0),IF(Z177&gt;=_NoEchRemb,AD177,IF('Données Projet 1'!B186-(AE177*_EchFIXE)&gt;AD177-2,AD177,'Données Projet 1'!B186-(AE177*_EchFIXE))))+U177</f>
        <v>522.1</v>
      </c>
      <c r="AG177" s="154">
        <f t="shared" si="31"/>
        <v>19.77</v>
      </c>
      <c r="AH177" s="157">
        <f t="shared" si="25"/>
        <v>788.75</v>
      </c>
      <c r="AI177"/>
      <c r="AJ177" s="3"/>
      <c r="AK177" s="164"/>
      <c r="AL177" s="22"/>
      <c r="AM177" s="21"/>
      <c r="AN177" s="23"/>
      <c r="AO177" s="10"/>
      <c r="AP177" s="5">
        <f t="shared" si="32"/>
        <v>171</v>
      </c>
      <c r="AQ177" s="7">
        <f t="shared" si="33"/>
        <v>10</v>
      </c>
      <c r="AR177" s="8">
        <f t="shared" si="26"/>
        <v>2023</v>
      </c>
      <c r="AS177" s="31">
        <f>IF(AT177=0,"",IF(_Ijour1=0,MIN(DATE(YEAR(_DebAmort1),MONTH(_DebAmort1)+(AP177-1)*_Imois1,__Jou1),DATE(YEAR(_DebAmort1),MONTH(_DebAmort1)+1+(AP177-1)*_Imois1,0)),DATE(YEAR(_DebAmort1),MONTH(_DebAmort1),__Jou1+(AP177-1)*_Ijour1)))</f>
        <v>44986</v>
      </c>
      <c r="AT177" s="156">
        <f t="shared" si="34"/>
        <v>187250</v>
      </c>
      <c r="AU177" s="153">
        <f>IF(AP177&lt;=_NoEchMaxi1,ROUND(AT177*'Données Projet 1'!H186,_NbDeci1),0)</f>
        <v>156.04</v>
      </c>
      <c r="AV177" s="152">
        <f>IF(OR(AP177&lt;=_Différé1,AP177&gt;_NoEchMaxi1),IF(_DiffTotal1,-AU177,0),IF(AP177&gt;=_NoEchRemb1,AT177,IF('Données Projet 1'!I186-(AU177*_EchFIXE1)&gt;AT177-2,AT177,'Données Projet 1'!I186-(AU177*_EchFIXE1))))+AK177</f>
        <v>0</v>
      </c>
      <c r="AW177" s="154">
        <f t="shared" si="35"/>
        <v>15.6</v>
      </c>
      <c r="AX177" s="157">
        <f t="shared" si="27"/>
        <v>171.64</v>
      </c>
    </row>
    <row r="178" spans="20:50" ht="15.75" customHeight="1" x14ac:dyDescent="0.3">
      <c r="T178" s="3"/>
      <c r="U178" s="164"/>
      <c r="V178" s="22"/>
      <c r="W178" s="21"/>
      <c r="X178" s="23"/>
      <c r="Y178" s="10"/>
      <c r="Z178" s="5">
        <f t="shared" si="28"/>
        <v>172</v>
      </c>
      <c r="AA178" s="7">
        <f t="shared" si="29"/>
        <v>249</v>
      </c>
      <c r="AB178" s="8">
        <f t="shared" si="24"/>
        <v>2023</v>
      </c>
      <c r="AC178" s="31">
        <f>IF(AD178=0,"",IF(_Ijour=0,MIN(DATE(YEAR(_DebAmort),MONTH(_DebAmort)+_MoisD+(Z178-1)*_Imois,_Jour2),DATE(YEAR(_DebAmort),MONTH(_DebAmort)+_MoisD+1+(Z178-1)*_Imois,0)),DATE(YEAR(_DebAmort),MONTH(_DebAmort),_Jour1+(Z178-1)*_Ijour)))</f>
        <v>45017</v>
      </c>
      <c r="AD178" s="156">
        <f t="shared" si="30"/>
        <v>158754.34000000008</v>
      </c>
      <c r="AE178" s="153">
        <f>IF(Z178&lt;=_NoEchMaxi,ROUND(AD178*'Données Projet 1'!A187,_NbDeci),0)</f>
        <v>246.07</v>
      </c>
      <c r="AF178" s="152">
        <f>IF(OR(Z178&lt;=_Différé,Z178&gt;_NoEchMaxi),IF(_DiffTotal,-AE178,0),IF(Z178&gt;=_NoEchRemb,AD178,IF('Données Projet 1'!B187-(AE178*_EchFIXE)&gt;AD178-2,AD178,'Données Projet 1'!B187-(AE178*_EchFIXE))))+U178</f>
        <v>522.91000000000008</v>
      </c>
      <c r="AG178" s="154">
        <f t="shared" si="31"/>
        <v>19.77</v>
      </c>
      <c r="AH178" s="157">
        <f t="shared" si="25"/>
        <v>788.75</v>
      </c>
      <c r="AI178"/>
      <c r="AJ178" s="3"/>
      <c r="AK178" s="164"/>
      <c r="AL178" s="22"/>
      <c r="AM178" s="21"/>
      <c r="AN178" s="23"/>
      <c r="AO178" s="10"/>
      <c r="AP178" s="5">
        <f t="shared" si="32"/>
        <v>172</v>
      </c>
      <c r="AQ178" s="7">
        <f t="shared" si="33"/>
        <v>9</v>
      </c>
      <c r="AR178" s="8">
        <f t="shared" si="26"/>
        <v>2023</v>
      </c>
      <c r="AS178" s="31">
        <f>IF(AT178=0,"",IF(_Ijour1=0,MIN(DATE(YEAR(_DebAmort1),MONTH(_DebAmort1)+_MoisD1+(AP178-1)*_Imois1,__Jou2),DATE(YEAR(_DebAmort1),MONTH(_DebAmort1)+_MoisD1+1+(AP178-1)*_Imois1,0)),DATE(YEAR(_DebAmort1),MONTH(_DebAmort1),__Jou1+(AP178-1)*_Ijour1)))</f>
        <v>45017</v>
      </c>
      <c r="AT178" s="156">
        <f t="shared" si="34"/>
        <v>187250</v>
      </c>
      <c r="AU178" s="153">
        <f>IF(AP178&lt;=_NoEchMaxi1,ROUND(AT178*'Données Projet 1'!H187,_NbDeci1),0)</f>
        <v>156.04</v>
      </c>
      <c r="AV178" s="152">
        <f>IF(OR(AP178&lt;=_Différé1,AP178&gt;_NoEchMaxi1),IF(_DiffTotal1,-AU178,0),IF(AP178&gt;=_NoEchRemb1,AT178,IF('Données Projet 1'!I187-(AU178*_EchFIXE1)&gt;AT178-2,AT178,'Données Projet 1'!I187-(AU178*_EchFIXE1))))+AK178</f>
        <v>0</v>
      </c>
      <c r="AW178" s="154">
        <f t="shared" si="35"/>
        <v>15.6</v>
      </c>
      <c r="AX178" s="157">
        <f t="shared" si="27"/>
        <v>171.64</v>
      </c>
    </row>
    <row r="179" spans="20:50" ht="15.75" customHeight="1" x14ac:dyDescent="0.3">
      <c r="T179" s="3"/>
      <c r="U179" s="164"/>
      <c r="V179" s="22"/>
      <c r="W179" s="21"/>
      <c r="X179" s="23"/>
      <c r="Y179" s="10"/>
      <c r="Z179" s="5">
        <f t="shared" si="28"/>
        <v>173</v>
      </c>
      <c r="AA179" s="7">
        <f t="shared" si="29"/>
        <v>248</v>
      </c>
      <c r="AB179" s="8">
        <f t="shared" si="24"/>
        <v>2023</v>
      </c>
      <c r="AC179" s="31">
        <f>IF(AD179=0,"",IF(_Ijour=0,MIN(DATE(YEAR(_DebAmort),MONTH(_DebAmort)+(Z179-1)*_Imois,_Jour1),DATE(YEAR(_DebAmort),MONTH(_DebAmort)+1+(Z179-1)*_Imois,0)),DATE(YEAR(_DebAmort),MONTH(_DebAmort),_Jour1+(Z179-1)*_Ijour)))</f>
        <v>45047</v>
      </c>
      <c r="AD179" s="156">
        <f t="shared" si="30"/>
        <v>158231.43000000008</v>
      </c>
      <c r="AE179" s="153">
        <f>IF(Z179&lt;=_NoEchMaxi,ROUND(AD179*'Données Projet 1'!A188,_NbDeci),0)</f>
        <v>245.26</v>
      </c>
      <c r="AF179" s="152">
        <f>IF(OR(Z179&lt;=_Différé,Z179&gt;_NoEchMaxi),IF(_DiffTotal,-AE179,0),IF(Z179&gt;=_NoEchRemb,AD179,IF('Données Projet 1'!B188-(AE179*_EchFIXE)&gt;AD179-2,AD179,'Données Projet 1'!B188-(AE179*_EchFIXE))))+U179</f>
        <v>523.72</v>
      </c>
      <c r="AG179" s="154">
        <f t="shared" si="31"/>
        <v>19.77</v>
      </c>
      <c r="AH179" s="157">
        <f t="shared" si="25"/>
        <v>788.75</v>
      </c>
      <c r="AI179"/>
      <c r="AJ179" s="3"/>
      <c r="AK179" s="164"/>
      <c r="AL179" s="22"/>
      <c r="AM179" s="21"/>
      <c r="AN179" s="23"/>
      <c r="AO179" s="10"/>
      <c r="AP179" s="5">
        <f t="shared" si="32"/>
        <v>173</v>
      </c>
      <c r="AQ179" s="7">
        <f t="shared" si="33"/>
        <v>8</v>
      </c>
      <c r="AR179" s="8">
        <f t="shared" si="26"/>
        <v>2023</v>
      </c>
      <c r="AS179" s="31">
        <f>IF(AT179=0,"",IF(_Ijour1=0,MIN(DATE(YEAR(_DebAmort1),MONTH(_DebAmort1)+(AP179-1)*_Imois1,__Jou1),DATE(YEAR(_DebAmort1),MONTH(_DebAmort1)+1+(AP179-1)*_Imois1,0)),DATE(YEAR(_DebAmort1),MONTH(_DebAmort1),__Jou1+(AP179-1)*_Ijour1)))</f>
        <v>45047</v>
      </c>
      <c r="AT179" s="156">
        <f t="shared" si="34"/>
        <v>187250</v>
      </c>
      <c r="AU179" s="153">
        <f>IF(AP179&lt;=_NoEchMaxi1,ROUND(AT179*'Données Projet 1'!H188,_NbDeci1),0)</f>
        <v>156.04</v>
      </c>
      <c r="AV179" s="152">
        <f>IF(OR(AP179&lt;=_Différé1,AP179&gt;_NoEchMaxi1),IF(_DiffTotal1,-AU179,0),IF(AP179&gt;=_NoEchRemb1,AT179,IF('Données Projet 1'!I188-(AU179*_EchFIXE1)&gt;AT179-2,AT179,'Données Projet 1'!I188-(AU179*_EchFIXE1))))+AK179</f>
        <v>0</v>
      </c>
      <c r="AW179" s="154">
        <f t="shared" si="35"/>
        <v>15.6</v>
      </c>
      <c r="AX179" s="157">
        <f t="shared" si="27"/>
        <v>171.64</v>
      </c>
    </row>
    <row r="180" spans="20:50" ht="15.75" customHeight="1" x14ac:dyDescent="0.3">
      <c r="T180" s="3"/>
      <c r="U180" s="164"/>
      <c r="V180" s="22"/>
      <c r="W180" s="21"/>
      <c r="X180" s="23"/>
      <c r="Y180" s="10"/>
      <c r="Z180" s="5">
        <f t="shared" si="28"/>
        <v>174</v>
      </c>
      <c r="AA180" s="7">
        <f t="shared" si="29"/>
        <v>247</v>
      </c>
      <c r="AB180" s="8">
        <f t="shared" si="24"/>
        <v>2023</v>
      </c>
      <c r="AC180" s="31">
        <f>IF(AD180=0,"",IF(_Ijour=0,MIN(DATE(YEAR(_DebAmort),MONTH(_DebAmort)+_MoisD+(Z180-1)*_Imois,_Jour2),DATE(YEAR(_DebAmort),MONTH(_DebAmort)+_MoisD+1+(Z180-1)*_Imois,0)),DATE(YEAR(_DebAmort),MONTH(_DebAmort),_Jour1+(Z180-1)*_Ijour)))</f>
        <v>45078</v>
      </c>
      <c r="AD180" s="156">
        <f t="shared" si="30"/>
        <v>157707.71000000008</v>
      </c>
      <c r="AE180" s="153">
        <f>IF(Z180&lt;=_NoEchMaxi,ROUND(AD180*'Données Projet 1'!A189,_NbDeci),0)</f>
        <v>244.45</v>
      </c>
      <c r="AF180" s="152">
        <f>IF(OR(Z180&lt;=_Différé,Z180&gt;_NoEchMaxi),IF(_DiffTotal,-AE180,0),IF(Z180&gt;=_NoEchRemb,AD180,IF('Données Projet 1'!B189-(AE180*_EchFIXE)&gt;AD180-2,AD180,'Données Projet 1'!B189-(AE180*_EchFIXE))))+U180</f>
        <v>524.53</v>
      </c>
      <c r="AG180" s="154">
        <f t="shared" si="31"/>
        <v>19.77</v>
      </c>
      <c r="AH180" s="157">
        <f t="shared" si="25"/>
        <v>788.75</v>
      </c>
      <c r="AI180"/>
      <c r="AJ180" s="3"/>
      <c r="AK180" s="164"/>
      <c r="AL180" s="22"/>
      <c r="AM180" s="21"/>
      <c r="AN180" s="23"/>
      <c r="AO180" s="10"/>
      <c r="AP180" s="5">
        <f t="shared" si="32"/>
        <v>174</v>
      </c>
      <c r="AQ180" s="7">
        <f t="shared" si="33"/>
        <v>7</v>
      </c>
      <c r="AR180" s="8">
        <f t="shared" si="26"/>
        <v>2023</v>
      </c>
      <c r="AS180" s="31">
        <f>IF(AT180=0,"",IF(_Ijour1=0,MIN(DATE(YEAR(_DebAmort1),MONTH(_DebAmort1)+_MoisD1+(AP180-1)*_Imois1,__Jou2),DATE(YEAR(_DebAmort1),MONTH(_DebAmort1)+_MoisD1+1+(AP180-1)*_Imois1,0)),DATE(YEAR(_DebAmort1),MONTH(_DebAmort1),__Jou1+(AP180-1)*_Ijour1)))</f>
        <v>45078</v>
      </c>
      <c r="AT180" s="156">
        <f t="shared" si="34"/>
        <v>187250</v>
      </c>
      <c r="AU180" s="153">
        <f>IF(AP180&lt;=_NoEchMaxi1,ROUND(AT180*'Données Projet 1'!H189,_NbDeci1),0)</f>
        <v>156.04</v>
      </c>
      <c r="AV180" s="152">
        <f>IF(OR(AP180&lt;=_Différé1,AP180&gt;_NoEchMaxi1),IF(_DiffTotal1,-AU180,0),IF(AP180&gt;=_NoEchRemb1,AT180,IF('Données Projet 1'!I189-(AU180*_EchFIXE1)&gt;AT180-2,AT180,'Données Projet 1'!I189-(AU180*_EchFIXE1))))+AK180</f>
        <v>0</v>
      </c>
      <c r="AW180" s="154">
        <f t="shared" si="35"/>
        <v>15.6</v>
      </c>
      <c r="AX180" s="157">
        <f t="shared" si="27"/>
        <v>171.64</v>
      </c>
    </row>
    <row r="181" spans="20:50" ht="15.75" customHeight="1" x14ac:dyDescent="0.3">
      <c r="T181" s="3"/>
      <c r="U181" s="164"/>
      <c r="V181" s="22"/>
      <c r="W181" s="21"/>
      <c r="X181" s="23"/>
      <c r="Y181" s="10"/>
      <c r="Z181" s="5">
        <f t="shared" si="28"/>
        <v>175</v>
      </c>
      <c r="AA181" s="7">
        <f t="shared" si="29"/>
        <v>246</v>
      </c>
      <c r="AB181" s="8">
        <f t="shared" si="24"/>
        <v>2023</v>
      </c>
      <c r="AC181" s="31">
        <f>IF(AD181=0,"",IF(_Ijour=0,MIN(DATE(YEAR(_DebAmort),MONTH(_DebAmort)+(Z181-1)*_Imois,_Jour1),DATE(YEAR(_DebAmort),MONTH(_DebAmort)+1+(Z181-1)*_Imois,0)),DATE(YEAR(_DebAmort),MONTH(_DebAmort),_Jour1+(Z181-1)*_Ijour)))</f>
        <v>45108</v>
      </c>
      <c r="AD181" s="156">
        <f t="shared" si="30"/>
        <v>157183.18000000008</v>
      </c>
      <c r="AE181" s="153">
        <f>IF(Z181&lt;=_NoEchMaxi,ROUND(AD181*'Données Projet 1'!A190,_NbDeci),0)</f>
        <v>243.63</v>
      </c>
      <c r="AF181" s="152">
        <f>IF(OR(Z181&lt;=_Différé,Z181&gt;_NoEchMaxi),IF(_DiffTotal,-AE181,0),IF(Z181&gt;=_NoEchRemb,AD181,IF('Données Projet 1'!B190-(AE181*_EchFIXE)&gt;AD181-2,AD181,'Données Projet 1'!B190-(AE181*_EchFIXE))))+U181</f>
        <v>525.35</v>
      </c>
      <c r="AG181" s="154">
        <f t="shared" si="31"/>
        <v>19.77</v>
      </c>
      <c r="AH181" s="157">
        <f t="shared" si="25"/>
        <v>788.75</v>
      </c>
      <c r="AI181"/>
      <c r="AJ181" s="3"/>
      <c r="AK181" s="164"/>
      <c r="AL181" s="22"/>
      <c r="AM181" s="21"/>
      <c r="AN181" s="23"/>
      <c r="AO181" s="10"/>
      <c r="AP181" s="5">
        <f t="shared" si="32"/>
        <v>175</v>
      </c>
      <c r="AQ181" s="7">
        <f t="shared" si="33"/>
        <v>6</v>
      </c>
      <c r="AR181" s="8">
        <f t="shared" si="26"/>
        <v>2023</v>
      </c>
      <c r="AS181" s="31">
        <f>IF(AT181=0,"",IF(_Ijour1=0,MIN(DATE(YEAR(_DebAmort1),MONTH(_DebAmort1)+(AP181-1)*_Imois1,__Jou1),DATE(YEAR(_DebAmort1),MONTH(_DebAmort1)+1+(AP181-1)*_Imois1,0)),DATE(YEAR(_DebAmort1),MONTH(_DebAmort1),__Jou1+(AP181-1)*_Ijour1)))</f>
        <v>45108</v>
      </c>
      <c r="AT181" s="156">
        <f t="shared" si="34"/>
        <v>187250</v>
      </c>
      <c r="AU181" s="153">
        <f>IF(AP181&lt;=_NoEchMaxi1,ROUND(AT181*'Données Projet 1'!H190,_NbDeci1),0)</f>
        <v>156.04</v>
      </c>
      <c r="AV181" s="152">
        <f>IF(OR(AP181&lt;=_Différé1,AP181&gt;_NoEchMaxi1),IF(_DiffTotal1,-AU181,0),IF(AP181&gt;=_NoEchRemb1,AT181,IF('Données Projet 1'!I190-(AU181*_EchFIXE1)&gt;AT181-2,AT181,'Données Projet 1'!I190-(AU181*_EchFIXE1))))+AK181</f>
        <v>0</v>
      </c>
      <c r="AW181" s="154">
        <f t="shared" si="35"/>
        <v>15.6</v>
      </c>
      <c r="AX181" s="157">
        <f t="shared" si="27"/>
        <v>171.64</v>
      </c>
    </row>
    <row r="182" spans="20:50" ht="15.75" customHeight="1" x14ac:dyDescent="0.3">
      <c r="T182" s="3"/>
      <c r="U182" s="164"/>
      <c r="V182" s="22"/>
      <c r="W182" s="21"/>
      <c r="X182" s="23"/>
      <c r="Y182" s="10"/>
      <c r="Z182" s="5">
        <f t="shared" si="28"/>
        <v>176</v>
      </c>
      <c r="AA182" s="7">
        <f t="shared" si="29"/>
        <v>245</v>
      </c>
      <c r="AB182" s="8">
        <f t="shared" si="24"/>
        <v>2023</v>
      </c>
      <c r="AC182" s="31">
        <f>IF(AD182=0,"",IF(_Ijour=0,MIN(DATE(YEAR(_DebAmort),MONTH(_DebAmort)+_MoisD+(Z182-1)*_Imois,_Jour2),DATE(YEAR(_DebAmort),MONTH(_DebAmort)+_MoisD+1+(Z182-1)*_Imois,0)),DATE(YEAR(_DebAmort),MONTH(_DebAmort),_Jour1+(Z182-1)*_Ijour)))</f>
        <v>45139</v>
      </c>
      <c r="AD182" s="156">
        <f t="shared" si="30"/>
        <v>156657.83000000007</v>
      </c>
      <c r="AE182" s="153">
        <f>IF(Z182&lt;=_NoEchMaxi,ROUND(AD182*'Données Projet 1'!A191,_NbDeci),0)</f>
        <v>242.82</v>
      </c>
      <c r="AF182" s="152">
        <f>IF(OR(Z182&lt;=_Différé,Z182&gt;_NoEchMaxi),IF(_DiffTotal,-AE182,0),IF(Z182&gt;=_NoEchRemb,AD182,IF('Données Projet 1'!B191-(AE182*_EchFIXE)&gt;AD182-2,AD182,'Données Projet 1'!B191-(AE182*_EchFIXE))))+U182</f>
        <v>526.16000000000008</v>
      </c>
      <c r="AG182" s="154">
        <f t="shared" si="31"/>
        <v>19.77</v>
      </c>
      <c r="AH182" s="157">
        <f t="shared" si="25"/>
        <v>788.75</v>
      </c>
      <c r="AI182"/>
      <c r="AJ182" s="3"/>
      <c r="AK182" s="164"/>
      <c r="AL182" s="22"/>
      <c r="AM182" s="21"/>
      <c r="AN182" s="23"/>
      <c r="AO182" s="10"/>
      <c r="AP182" s="5">
        <f t="shared" si="32"/>
        <v>176</v>
      </c>
      <c r="AQ182" s="7">
        <f t="shared" si="33"/>
        <v>5</v>
      </c>
      <c r="AR182" s="8">
        <f t="shared" si="26"/>
        <v>2023</v>
      </c>
      <c r="AS182" s="31">
        <f>IF(AT182=0,"",IF(_Ijour1=0,MIN(DATE(YEAR(_DebAmort1),MONTH(_DebAmort1)+_MoisD1+(AP182-1)*_Imois1,__Jou2),DATE(YEAR(_DebAmort1),MONTH(_DebAmort1)+_MoisD1+1+(AP182-1)*_Imois1,0)),DATE(YEAR(_DebAmort1),MONTH(_DebAmort1),__Jou1+(AP182-1)*_Ijour1)))</f>
        <v>45139</v>
      </c>
      <c r="AT182" s="156">
        <f t="shared" si="34"/>
        <v>187250</v>
      </c>
      <c r="AU182" s="153">
        <f>IF(AP182&lt;=_NoEchMaxi1,ROUND(AT182*'Données Projet 1'!H191,_NbDeci1),0)</f>
        <v>156.04</v>
      </c>
      <c r="AV182" s="152">
        <f>IF(OR(AP182&lt;=_Différé1,AP182&gt;_NoEchMaxi1),IF(_DiffTotal1,-AU182,0),IF(AP182&gt;=_NoEchRemb1,AT182,IF('Données Projet 1'!I191-(AU182*_EchFIXE1)&gt;AT182-2,AT182,'Données Projet 1'!I191-(AU182*_EchFIXE1))))+AK182</f>
        <v>0</v>
      </c>
      <c r="AW182" s="154">
        <f t="shared" si="35"/>
        <v>15.6</v>
      </c>
      <c r="AX182" s="157">
        <f t="shared" si="27"/>
        <v>171.64</v>
      </c>
    </row>
    <row r="183" spans="20:50" ht="15.75" customHeight="1" x14ac:dyDescent="0.3">
      <c r="T183" s="3"/>
      <c r="U183" s="164"/>
      <c r="V183" s="22"/>
      <c r="W183" s="21"/>
      <c r="X183" s="23"/>
      <c r="Y183" s="10"/>
      <c r="Z183" s="5">
        <f t="shared" si="28"/>
        <v>177</v>
      </c>
      <c r="AA183" s="7">
        <f t="shared" si="29"/>
        <v>244</v>
      </c>
      <c r="AB183" s="8">
        <f t="shared" si="24"/>
        <v>2023</v>
      </c>
      <c r="AC183" s="31">
        <f>IF(AD183=0,"",IF(_Ijour=0,MIN(DATE(YEAR(_DebAmort),MONTH(_DebAmort)+(Z183-1)*_Imois,_Jour1),DATE(YEAR(_DebAmort),MONTH(_DebAmort)+1+(Z183-1)*_Imois,0)),DATE(YEAR(_DebAmort),MONTH(_DebAmort),_Jour1+(Z183-1)*_Ijour)))</f>
        <v>45170</v>
      </c>
      <c r="AD183" s="156">
        <f t="shared" si="30"/>
        <v>156131.67000000007</v>
      </c>
      <c r="AE183" s="153">
        <f>IF(Z183&lt;=_NoEchMaxi,ROUND(AD183*'Données Projet 1'!A192,_NbDeci),0)</f>
        <v>242</v>
      </c>
      <c r="AF183" s="152">
        <f>IF(OR(Z183&lt;=_Différé,Z183&gt;_NoEchMaxi),IF(_DiffTotal,-AE183,0),IF(Z183&gt;=_NoEchRemb,AD183,IF('Données Projet 1'!B192-(AE183*_EchFIXE)&gt;AD183-2,AD183,'Données Projet 1'!B192-(AE183*_EchFIXE))))+U183</f>
        <v>526.98</v>
      </c>
      <c r="AG183" s="154">
        <f t="shared" si="31"/>
        <v>19.77</v>
      </c>
      <c r="AH183" s="157">
        <f t="shared" si="25"/>
        <v>788.75</v>
      </c>
      <c r="AI183"/>
      <c r="AJ183" s="3"/>
      <c r="AK183" s="164"/>
      <c r="AL183" s="22"/>
      <c r="AM183" s="21"/>
      <c r="AN183" s="23"/>
      <c r="AO183" s="10"/>
      <c r="AP183" s="5">
        <f t="shared" si="32"/>
        <v>177</v>
      </c>
      <c r="AQ183" s="7">
        <f t="shared" si="33"/>
        <v>4</v>
      </c>
      <c r="AR183" s="8">
        <f t="shared" si="26"/>
        <v>2023</v>
      </c>
      <c r="AS183" s="31">
        <f>IF(AT183=0,"",IF(_Ijour1=0,MIN(DATE(YEAR(_DebAmort1),MONTH(_DebAmort1)+(AP183-1)*_Imois1,__Jou1),DATE(YEAR(_DebAmort1),MONTH(_DebAmort1)+1+(AP183-1)*_Imois1,0)),DATE(YEAR(_DebAmort1),MONTH(_DebAmort1),__Jou1+(AP183-1)*_Ijour1)))</f>
        <v>45170</v>
      </c>
      <c r="AT183" s="156">
        <f t="shared" si="34"/>
        <v>187250</v>
      </c>
      <c r="AU183" s="153">
        <f>IF(AP183&lt;=_NoEchMaxi1,ROUND(AT183*'Données Projet 1'!H192,_NbDeci1),0)</f>
        <v>156.04</v>
      </c>
      <c r="AV183" s="152">
        <f>IF(OR(AP183&lt;=_Différé1,AP183&gt;_NoEchMaxi1),IF(_DiffTotal1,-AU183,0),IF(AP183&gt;=_NoEchRemb1,AT183,IF('Données Projet 1'!I192-(AU183*_EchFIXE1)&gt;AT183-2,AT183,'Données Projet 1'!I192-(AU183*_EchFIXE1))))+AK183</f>
        <v>0</v>
      </c>
      <c r="AW183" s="154">
        <f t="shared" si="35"/>
        <v>15.6</v>
      </c>
      <c r="AX183" s="157">
        <f t="shared" si="27"/>
        <v>171.64</v>
      </c>
    </row>
    <row r="184" spans="20:50" ht="15.75" customHeight="1" x14ac:dyDescent="0.3">
      <c r="T184" s="3"/>
      <c r="U184" s="164"/>
      <c r="V184" s="22"/>
      <c r="W184" s="21"/>
      <c r="X184" s="23"/>
      <c r="Y184" s="10"/>
      <c r="Z184" s="5">
        <f t="shared" si="28"/>
        <v>178</v>
      </c>
      <c r="AA184" s="7">
        <f t="shared" si="29"/>
        <v>243</v>
      </c>
      <c r="AB184" s="8">
        <f t="shared" si="24"/>
        <v>2023</v>
      </c>
      <c r="AC184" s="31">
        <f>IF(AD184=0,"",IF(_Ijour=0,MIN(DATE(YEAR(_DebAmort),MONTH(_DebAmort)+_MoisD+(Z184-1)*_Imois,_Jour2),DATE(YEAR(_DebAmort),MONTH(_DebAmort)+_MoisD+1+(Z184-1)*_Imois,0)),DATE(YEAR(_DebAmort),MONTH(_DebAmort),_Jour1+(Z184-1)*_Ijour)))</f>
        <v>45200</v>
      </c>
      <c r="AD184" s="156">
        <f t="shared" si="30"/>
        <v>155604.69000000006</v>
      </c>
      <c r="AE184" s="153">
        <f>IF(Z184&lt;=_NoEchMaxi,ROUND(AD184*'Données Projet 1'!A193,_NbDeci),0)</f>
        <v>241.19</v>
      </c>
      <c r="AF184" s="152">
        <f>IF(OR(Z184&lt;=_Différé,Z184&gt;_NoEchMaxi),IF(_DiffTotal,-AE184,0),IF(Z184&gt;=_NoEchRemb,AD184,IF('Données Projet 1'!B193-(AE184*_EchFIXE)&gt;AD184-2,AD184,'Données Projet 1'!B193-(AE184*_EchFIXE))))+U184</f>
        <v>527.79</v>
      </c>
      <c r="AG184" s="154">
        <f t="shared" si="31"/>
        <v>19.77</v>
      </c>
      <c r="AH184" s="157">
        <f t="shared" si="25"/>
        <v>788.75</v>
      </c>
      <c r="AI184"/>
      <c r="AJ184" s="3"/>
      <c r="AK184" s="164"/>
      <c r="AL184" s="22"/>
      <c r="AM184" s="21"/>
      <c r="AN184" s="23"/>
      <c r="AO184" s="10"/>
      <c r="AP184" s="5">
        <f t="shared" si="32"/>
        <v>178</v>
      </c>
      <c r="AQ184" s="7">
        <f t="shared" si="33"/>
        <v>3</v>
      </c>
      <c r="AR184" s="8">
        <f t="shared" si="26"/>
        <v>2023</v>
      </c>
      <c r="AS184" s="31">
        <f>IF(AT184=0,"",IF(_Ijour1=0,MIN(DATE(YEAR(_DebAmort1),MONTH(_DebAmort1)+_MoisD1+(AP184-1)*_Imois1,__Jou2),DATE(YEAR(_DebAmort1),MONTH(_DebAmort1)+_MoisD1+1+(AP184-1)*_Imois1,0)),DATE(YEAR(_DebAmort1),MONTH(_DebAmort1),__Jou1+(AP184-1)*_Ijour1)))</f>
        <v>45200</v>
      </c>
      <c r="AT184" s="156">
        <f t="shared" si="34"/>
        <v>187250</v>
      </c>
      <c r="AU184" s="153">
        <f>IF(AP184&lt;=_NoEchMaxi1,ROUND(AT184*'Données Projet 1'!H193,_NbDeci1),0)</f>
        <v>156.04</v>
      </c>
      <c r="AV184" s="152">
        <f>IF(OR(AP184&lt;=_Différé1,AP184&gt;_NoEchMaxi1),IF(_DiffTotal1,-AU184,0),IF(AP184&gt;=_NoEchRemb1,AT184,IF('Données Projet 1'!I193-(AU184*_EchFIXE1)&gt;AT184-2,AT184,'Données Projet 1'!I193-(AU184*_EchFIXE1))))+AK184</f>
        <v>0</v>
      </c>
      <c r="AW184" s="154">
        <f t="shared" si="35"/>
        <v>15.6</v>
      </c>
      <c r="AX184" s="157">
        <f t="shared" si="27"/>
        <v>171.64</v>
      </c>
    </row>
    <row r="185" spans="20:50" ht="15.75" customHeight="1" x14ac:dyDescent="0.3">
      <c r="T185" s="3"/>
      <c r="U185" s="164"/>
      <c r="V185" s="22"/>
      <c r="W185" s="21"/>
      <c r="X185" s="23"/>
      <c r="Y185" s="10"/>
      <c r="Z185" s="5">
        <f t="shared" si="28"/>
        <v>179</v>
      </c>
      <c r="AA185" s="7">
        <f t="shared" si="29"/>
        <v>242</v>
      </c>
      <c r="AB185" s="8">
        <f t="shared" si="24"/>
        <v>2023</v>
      </c>
      <c r="AC185" s="31">
        <f>IF(AD185=0,"",IF(_Ijour=0,MIN(DATE(YEAR(_DebAmort),MONTH(_DebAmort)+(Z185-1)*_Imois,_Jour1),DATE(YEAR(_DebAmort),MONTH(_DebAmort)+1+(Z185-1)*_Imois,0)),DATE(YEAR(_DebAmort),MONTH(_DebAmort),_Jour1+(Z185-1)*_Ijour)))</f>
        <v>45231</v>
      </c>
      <c r="AD185" s="156">
        <f t="shared" si="30"/>
        <v>155076.90000000005</v>
      </c>
      <c r="AE185" s="153">
        <f>IF(Z185&lt;=_NoEchMaxi,ROUND(AD185*'Données Projet 1'!A194,_NbDeci),0)</f>
        <v>240.37</v>
      </c>
      <c r="AF185" s="152">
        <f>IF(OR(Z185&lt;=_Différé,Z185&gt;_NoEchMaxi),IF(_DiffTotal,-AE185,0),IF(Z185&gt;=_NoEchRemb,AD185,IF('Données Projet 1'!B194-(AE185*_EchFIXE)&gt;AD185-2,AD185,'Données Projet 1'!B194-(AE185*_EchFIXE))))+U185</f>
        <v>528.61</v>
      </c>
      <c r="AG185" s="154">
        <f t="shared" si="31"/>
        <v>19.77</v>
      </c>
      <c r="AH185" s="157">
        <f t="shared" si="25"/>
        <v>788.75</v>
      </c>
      <c r="AI185"/>
      <c r="AJ185" s="3"/>
      <c r="AK185" s="164"/>
      <c r="AL185" s="22"/>
      <c r="AM185" s="21"/>
      <c r="AN185" s="23"/>
      <c r="AO185" s="10"/>
      <c r="AP185" s="5">
        <f t="shared" si="32"/>
        <v>179</v>
      </c>
      <c r="AQ185" s="7">
        <f t="shared" si="33"/>
        <v>2</v>
      </c>
      <c r="AR185" s="8">
        <f t="shared" si="26"/>
        <v>2023</v>
      </c>
      <c r="AS185" s="31">
        <f>IF(AT185=0,"",IF(_Ijour1=0,MIN(DATE(YEAR(_DebAmort1),MONTH(_DebAmort1)+(AP185-1)*_Imois1,__Jou1),DATE(YEAR(_DebAmort1),MONTH(_DebAmort1)+1+(AP185-1)*_Imois1,0)),DATE(YEAR(_DebAmort1),MONTH(_DebAmort1),__Jou1+(AP185-1)*_Ijour1)))</f>
        <v>45231</v>
      </c>
      <c r="AT185" s="156">
        <f t="shared" si="34"/>
        <v>187250</v>
      </c>
      <c r="AU185" s="153">
        <f>IF(AP185&lt;=_NoEchMaxi1,ROUND(AT185*'Données Projet 1'!H194,_NbDeci1),0)</f>
        <v>156.04</v>
      </c>
      <c r="AV185" s="152">
        <f>IF(OR(AP185&lt;=_Différé1,AP185&gt;_NoEchMaxi1),IF(_DiffTotal1,-AU185,0),IF(AP185&gt;=_NoEchRemb1,AT185,IF('Données Projet 1'!I194-(AU185*_EchFIXE1)&gt;AT185-2,AT185,'Données Projet 1'!I194-(AU185*_EchFIXE1))))+AK185</f>
        <v>0</v>
      </c>
      <c r="AW185" s="154">
        <f t="shared" si="35"/>
        <v>15.6</v>
      </c>
      <c r="AX185" s="157">
        <f t="shared" si="27"/>
        <v>171.64</v>
      </c>
    </row>
    <row r="186" spans="20:50" ht="15.75" customHeight="1" x14ac:dyDescent="0.3">
      <c r="T186" s="3"/>
      <c r="U186" s="164"/>
      <c r="V186" s="22"/>
      <c r="W186" s="21"/>
      <c r="X186" s="23"/>
      <c r="Y186" s="10"/>
      <c r="Z186" s="5">
        <f t="shared" si="28"/>
        <v>180</v>
      </c>
      <c r="AA186" s="7">
        <f t="shared" si="29"/>
        <v>241</v>
      </c>
      <c r="AB186" s="8">
        <f t="shared" si="24"/>
        <v>2023</v>
      </c>
      <c r="AC186" s="31">
        <f>IF(AD186=0,"",IF(_Ijour=0,MIN(DATE(YEAR(_DebAmort),MONTH(_DebAmort)+_MoisD+(Z186-1)*_Imois,_Jour2),DATE(YEAR(_DebAmort),MONTH(_DebAmort)+_MoisD+1+(Z186-1)*_Imois,0)),DATE(YEAR(_DebAmort),MONTH(_DebAmort),_Jour1+(Z186-1)*_Ijour)))</f>
        <v>45261</v>
      </c>
      <c r="AD186" s="156">
        <f t="shared" si="30"/>
        <v>154548.29000000007</v>
      </c>
      <c r="AE186" s="153">
        <f>IF(Z186&lt;=_NoEchMaxi,ROUND(AD186*'Données Projet 1'!A195,_NbDeci),0)</f>
        <v>239.55</v>
      </c>
      <c r="AF186" s="152">
        <f>IF(OR(Z186&lt;=_Différé,Z186&gt;_NoEchMaxi),IF(_DiffTotal,-AE186,0),IF(Z186&gt;=_NoEchRemb,AD186,IF('Données Projet 1'!B195-(AE186*_EchFIXE)&gt;AD186-2,AD186,'Données Projet 1'!B195-(AE186*_EchFIXE))))+U186</f>
        <v>529.43000000000006</v>
      </c>
      <c r="AG186" s="154">
        <f t="shared" si="31"/>
        <v>19.77</v>
      </c>
      <c r="AH186" s="157">
        <f t="shared" si="25"/>
        <v>788.75</v>
      </c>
      <c r="AI186"/>
      <c r="AJ186" s="3"/>
      <c r="AK186" s="164"/>
      <c r="AL186" s="22"/>
      <c r="AM186" s="21"/>
      <c r="AN186" s="23"/>
      <c r="AO186" s="10"/>
      <c r="AP186" s="5">
        <f t="shared" si="32"/>
        <v>180</v>
      </c>
      <c r="AQ186" s="7">
        <f t="shared" si="33"/>
        <v>1</v>
      </c>
      <c r="AR186" s="8">
        <f t="shared" si="26"/>
        <v>2023</v>
      </c>
      <c r="AS186" s="31">
        <f>IF(AT186=0,"",IF(_Ijour1=0,MIN(DATE(YEAR(_DebAmort1),MONTH(_DebAmort1)+_MoisD1+(AP186-1)*_Imois1,__Jou2),DATE(YEAR(_DebAmort1),MONTH(_DebAmort1)+_MoisD1+1+(AP186-1)*_Imois1,0)),DATE(YEAR(_DebAmort1),MONTH(_DebAmort1),__Jou1+(AP186-1)*_Ijour1)))</f>
        <v>45261</v>
      </c>
      <c r="AT186" s="156">
        <f t="shared" si="34"/>
        <v>187250</v>
      </c>
      <c r="AU186" s="153">
        <f>IF(AP186&lt;=_NoEchMaxi1,ROUND(AT186*'Données Projet 1'!H195,_NbDeci1),0)</f>
        <v>156.04</v>
      </c>
      <c r="AV186" s="152">
        <f>IF(OR(AP186&lt;=_Différé1,AP186&gt;_NoEchMaxi1),IF(_DiffTotal1,-AU186,0),IF(AP186&gt;=_NoEchRemb1,AT186,IF('Données Projet 1'!I195-(AU186*_EchFIXE1)&gt;AT186-2,AT186,'Données Projet 1'!I195-(AU186*_EchFIXE1))))+AK186</f>
        <v>187250</v>
      </c>
      <c r="AW186" s="154">
        <f t="shared" si="35"/>
        <v>15.6</v>
      </c>
      <c r="AX186" s="157">
        <f t="shared" si="27"/>
        <v>187421.64</v>
      </c>
    </row>
    <row r="187" spans="20:50" ht="15.75" customHeight="1" x14ac:dyDescent="0.3">
      <c r="T187" s="3"/>
      <c r="U187" s="164"/>
      <c r="V187" s="22"/>
      <c r="W187" s="21"/>
      <c r="X187" s="23"/>
      <c r="Y187" s="10"/>
      <c r="Z187" s="5">
        <f t="shared" si="28"/>
        <v>181</v>
      </c>
      <c r="AA187" s="7">
        <f t="shared" si="29"/>
        <v>240</v>
      </c>
      <c r="AB187" s="8">
        <f t="shared" si="24"/>
        <v>2024</v>
      </c>
      <c r="AC187" s="31">
        <f>IF(AD187=0,"",IF(_Ijour=0,MIN(DATE(YEAR(_DebAmort),MONTH(_DebAmort)+(Z187-1)*_Imois,_Jour1),DATE(YEAR(_DebAmort),MONTH(_DebAmort)+1+(Z187-1)*_Imois,0)),DATE(YEAR(_DebAmort),MONTH(_DebAmort),_Jour1+(Z187-1)*_Ijour)))</f>
        <v>45292</v>
      </c>
      <c r="AD187" s="156">
        <f t="shared" si="30"/>
        <v>154018.86000000007</v>
      </c>
      <c r="AE187" s="153">
        <f>IF(Z187&lt;=_NoEchMaxi,ROUND(AD187*'Données Projet 1'!A196,_NbDeci),0)</f>
        <v>238.73</v>
      </c>
      <c r="AF187" s="152">
        <f>IF(OR(Z187&lt;=_Différé,Z187&gt;_NoEchMaxi),IF(_DiffTotal,-AE187,0),IF(Z187&gt;=_NoEchRemb,AD187,IF('Données Projet 1'!B196-(AE187*_EchFIXE)&gt;AD187-2,AD187,'Données Projet 1'!B196-(AE187*_EchFIXE))))+U187</f>
        <v>530.25</v>
      </c>
      <c r="AG187" s="154">
        <f t="shared" si="31"/>
        <v>19.77</v>
      </c>
      <c r="AH187" s="157">
        <f t="shared" si="25"/>
        <v>788.75</v>
      </c>
      <c r="AI187"/>
      <c r="AJ187" s="3"/>
      <c r="AK187" s="164"/>
      <c r="AL187" s="22"/>
      <c r="AM187" s="21"/>
      <c r="AN187" s="23"/>
      <c r="AO187" s="10"/>
      <c r="AP187" s="5" t="str">
        <f t="shared" si="32"/>
        <v/>
      </c>
      <c r="AQ187" s="7" t="str">
        <f t="shared" si="33"/>
        <v/>
      </c>
      <c r="AR187" s="8" t="str">
        <f t="shared" si="26"/>
        <v/>
      </c>
      <c r="AS187" s="31" t="str">
        <f>IF(AT187=0,"",IF(_Ijour1=0,MIN(DATE(YEAR(_DebAmort1),MONTH(_DebAmort1)+(AP187-1)*_Imois1,__Jou1),DATE(YEAR(_DebAmort1),MONTH(_DebAmort1)+1+(AP187-1)*_Imois1,0)),DATE(YEAR(_DebAmort1),MONTH(_DebAmort1),__Jou1+(AP187-1)*_Ijour1)))</f>
        <v/>
      </c>
      <c r="AT187" s="156">
        <f t="shared" si="34"/>
        <v>0</v>
      </c>
      <c r="AU187" s="153">
        <f>IF(AP187&lt;=_NoEchMaxi1,ROUND(AT187*'Données Projet 1'!H196,_NbDeci1),0)</f>
        <v>0</v>
      </c>
      <c r="AV187" s="152">
        <f>IF(OR(AP187&lt;=_Différé1,AP187&gt;_NoEchMaxi1),IF(_DiffTotal1,-AU187,0),IF(AP187&gt;=_NoEchRemb1,AT187,IF('Données Projet 1'!I196-(AU187*_EchFIXE1)&gt;AT187-2,AT187,'Données Projet 1'!I196-(AU187*_EchFIXE1))))+AK187</f>
        <v>0</v>
      </c>
      <c r="AW187" s="154">
        <f t="shared" si="35"/>
        <v>0</v>
      </c>
      <c r="AX187" s="157">
        <f t="shared" si="27"/>
        <v>0</v>
      </c>
    </row>
    <row r="188" spans="20:50" ht="15.75" customHeight="1" x14ac:dyDescent="0.3">
      <c r="T188" s="3"/>
      <c r="U188" s="164"/>
      <c r="V188" s="22"/>
      <c r="W188" s="21"/>
      <c r="X188" s="23"/>
      <c r="Y188" s="10"/>
      <c r="Z188" s="5">
        <f t="shared" si="28"/>
        <v>182</v>
      </c>
      <c r="AA188" s="7">
        <f t="shared" si="29"/>
        <v>239</v>
      </c>
      <c r="AB188" s="8">
        <f t="shared" si="24"/>
        <v>2024</v>
      </c>
      <c r="AC188" s="31">
        <f>IF(AD188=0,"",IF(_Ijour=0,MIN(DATE(YEAR(_DebAmort),MONTH(_DebAmort)+_MoisD+(Z188-1)*_Imois,_Jour2),DATE(YEAR(_DebAmort),MONTH(_DebAmort)+_MoisD+1+(Z188-1)*_Imois,0)),DATE(YEAR(_DebAmort),MONTH(_DebAmort),_Jour1+(Z188-1)*_Ijour)))</f>
        <v>45323</v>
      </c>
      <c r="AD188" s="156">
        <f t="shared" si="30"/>
        <v>153488.61000000007</v>
      </c>
      <c r="AE188" s="153">
        <f>IF(Z188&lt;=_NoEchMaxi,ROUND(AD188*'Données Projet 1'!A197,_NbDeci),0)</f>
        <v>237.91</v>
      </c>
      <c r="AF188" s="152">
        <f>IF(OR(Z188&lt;=_Différé,Z188&gt;_NoEchMaxi),IF(_DiffTotal,-AE188,0),IF(Z188&gt;=_NoEchRemb,AD188,IF('Données Projet 1'!B197-(AE188*_EchFIXE)&gt;AD188-2,AD188,'Données Projet 1'!B197-(AE188*_EchFIXE))))+U188</f>
        <v>531.07000000000005</v>
      </c>
      <c r="AG188" s="154">
        <f t="shared" si="31"/>
        <v>19.77</v>
      </c>
      <c r="AH188" s="157">
        <f t="shared" si="25"/>
        <v>788.75</v>
      </c>
      <c r="AI188"/>
      <c r="AJ188" s="3"/>
      <c r="AK188" s="164"/>
      <c r="AL188" s="22"/>
      <c r="AM188" s="21"/>
      <c r="AN188" s="23"/>
      <c r="AO188" s="10"/>
      <c r="AP188" s="5" t="str">
        <f t="shared" si="32"/>
        <v/>
      </c>
      <c r="AQ188" s="7" t="str">
        <f t="shared" si="33"/>
        <v/>
      </c>
      <c r="AR188" s="8" t="str">
        <f t="shared" si="26"/>
        <v/>
      </c>
      <c r="AS188" s="31" t="str">
        <f>IF(AT188=0,"",IF(_Ijour1=0,MIN(DATE(YEAR(_DebAmort1),MONTH(_DebAmort1)+_MoisD1+(AP188-1)*_Imois1,__Jou2),DATE(YEAR(_DebAmort1),MONTH(_DebAmort1)+_MoisD1+1+(AP188-1)*_Imois1,0)),DATE(YEAR(_DebAmort1),MONTH(_DebAmort1),__Jou1+(AP188-1)*_Ijour1)))</f>
        <v/>
      </c>
      <c r="AT188" s="156">
        <f t="shared" si="34"/>
        <v>0</v>
      </c>
      <c r="AU188" s="153">
        <f>IF(AP188&lt;=_NoEchMaxi1,ROUND(AT188*'Données Projet 1'!H197,_NbDeci1),0)</f>
        <v>0</v>
      </c>
      <c r="AV188" s="152">
        <f>IF(OR(AP188&lt;=_Différé1,AP188&gt;_NoEchMaxi1),IF(_DiffTotal1,-AU188,0),IF(AP188&gt;=_NoEchRemb1,AT188,IF('Données Projet 1'!I197-(AU188*_EchFIXE1)&gt;AT188-2,AT188,'Données Projet 1'!I197-(AU188*_EchFIXE1))))+AK188</f>
        <v>0</v>
      </c>
      <c r="AW188" s="154">
        <f t="shared" si="35"/>
        <v>0</v>
      </c>
      <c r="AX188" s="157">
        <f t="shared" si="27"/>
        <v>0</v>
      </c>
    </row>
    <row r="189" spans="20:50" ht="15.75" customHeight="1" x14ac:dyDescent="0.3">
      <c r="T189" s="3"/>
      <c r="U189" s="164"/>
      <c r="V189" s="22"/>
      <c r="W189" s="21"/>
      <c r="X189" s="23"/>
      <c r="Y189" s="10"/>
      <c r="Z189" s="5">
        <f t="shared" si="28"/>
        <v>183</v>
      </c>
      <c r="AA189" s="7">
        <f t="shared" si="29"/>
        <v>238</v>
      </c>
      <c r="AB189" s="8">
        <f t="shared" si="24"/>
        <v>2024</v>
      </c>
      <c r="AC189" s="31">
        <f>IF(AD189=0,"",IF(_Ijour=0,MIN(DATE(YEAR(_DebAmort),MONTH(_DebAmort)+(Z189-1)*_Imois,_Jour1),DATE(YEAR(_DebAmort),MONTH(_DebAmort)+1+(Z189-1)*_Imois,0)),DATE(YEAR(_DebAmort),MONTH(_DebAmort),_Jour1+(Z189-1)*_Ijour)))</f>
        <v>45352</v>
      </c>
      <c r="AD189" s="156">
        <f t="shared" si="30"/>
        <v>152957.54000000007</v>
      </c>
      <c r="AE189" s="153">
        <f>IF(Z189&lt;=_NoEchMaxi,ROUND(AD189*'Données Projet 1'!A198,_NbDeci),0)</f>
        <v>237.08</v>
      </c>
      <c r="AF189" s="152">
        <f>IF(OR(Z189&lt;=_Différé,Z189&gt;_NoEchMaxi),IF(_DiffTotal,-AE189,0),IF(Z189&gt;=_NoEchRemb,AD189,IF('Données Projet 1'!B198-(AE189*_EchFIXE)&gt;AD189-2,AD189,'Données Projet 1'!B198-(AE189*_EchFIXE))))+U189</f>
        <v>531.9</v>
      </c>
      <c r="AG189" s="154">
        <f t="shared" si="31"/>
        <v>19.77</v>
      </c>
      <c r="AH189" s="157">
        <f t="shared" si="25"/>
        <v>788.75</v>
      </c>
      <c r="AI189"/>
      <c r="AJ189" s="3"/>
      <c r="AK189" s="164"/>
      <c r="AL189" s="22"/>
      <c r="AM189" s="21"/>
      <c r="AN189" s="23"/>
      <c r="AO189" s="10"/>
      <c r="AP189" s="5" t="str">
        <f t="shared" si="32"/>
        <v/>
      </c>
      <c r="AQ189" s="7" t="str">
        <f t="shared" si="33"/>
        <v/>
      </c>
      <c r="AR189" s="8" t="str">
        <f t="shared" si="26"/>
        <v/>
      </c>
      <c r="AS189" s="31" t="str">
        <f>IF(AT189=0,"",IF(_Ijour1=0,MIN(DATE(YEAR(_DebAmort1),MONTH(_DebAmort1)+(AP189-1)*_Imois1,__Jou1),DATE(YEAR(_DebAmort1),MONTH(_DebAmort1)+1+(AP189-1)*_Imois1,0)),DATE(YEAR(_DebAmort1),MONTH(_DebAmort1),__Jou1+(AP189-1)*_Ijour1)))</f>
        <v/>
      </c>
      <c r="AT189" s="156">
        <f t="shared" si="34"/>
        <v>0</v>
      </c>
      <c r="AU189" s="153">
        <f>IF(AP189&lt;=_NoEchMaxi1,ROUND(AT189*'Données Projet 1'!H198,_NbDeci1),0)</f>
        <v>0</v>
      </c>
      <c r="AV189" s="152">
        <f>IF(OR(AP189&lt;=_Différé1,AP189&gt;_NoEchMaxi1),IF(_DiffTotal1,-AU189,0),IF(AP189&gt;=_NoEchRemb1,AT189,IF('Données Projet 1'!I198-(AU189*_EchFIXE1)&gt;AT189-2,AT189,'Données Projet 1'!I198-(AU189*_EchFIXE1))))+AK189</f>
        <v>0</v>
      </c>
      <c r="AW189" s="154">
        <f t="shared" si="35"/>
        <v>0</v>
      </c>
      <c r="AX189" s="157">
        <f t="shared" si="27"/>
        <v>0</v>
      </c>
    </row>
    <row r="190" spans="20:50" ht="15.75" customHeight="1" x14ac:dyDescent="0.3">
      <c r="T190" s="3"/>
      <c r="U190" s="164"/>
      <c r="V190" s="22"/>
      <c r="W190" s="21"/>
      <c r="X190" s="23"/>
      <c r="Y190" s="10"/>
      <c r="Z190" s="5">
        <f t="shared" si="28"/>
        <v>184</v>
      </c>
      <c r="AA190" s="7">
        <f t="shared" si="29"/>
        <v>237</v>
      </c>
      <c r="AB190" s="8">
        <f t="shared" si="24"/>
        <v>2024</v>
      </c>
      <c r="AC190" s="31">
        <f>IF(AD190=0,"",IF(_Ijour=0,MIN(DATE(YEAR(_DebAmort),MONTH(_DebAmort)+_MoisD+(Z190-1)*_Imois,_Jour2),DATE(YEAR(_DebAmort),MONTH(_DebAmort)+_MoisD+1+(Z190-1)*_Imois,0)),DATE(YEAR(_DebAmort),MONTH(_DebAmort),_Jour1+(Z190-1)*_Ijour)))</f>
        <v>45383</v>
      </c>
      <c r="AD190" s="156">
        <f t="shared" si="30"/>
        <v>152425.64000000007</v>
      </c>
      <c r="AE190" s="153">
        <f>IF(Z190&lt;=_NoEchMaxi,ROUND(AD190*'Données Projet 1'!A199,_NbDeci),0)</f>
        <v>236.26</v>
      </c>
      <c r="AF190" s="152">
        <f>IF(OR(Z190&lt;=_Différé,Z190&gt;_NoEchMaxi),IF(_DiffTotal,-AE190,0),IF(Z190&gt;=_NoEchRemb,AD190,IF('Données Projet 1'!B199-(AE190*_EchFIXE)&gt;AD190-2,AD190,'Données Projet 1'!B199-(AE190*_EchFIXE))))+U190</f>
        <v>532.72</v>
      </c>
      <c r="AG190" s="154">
        <f t="shared" si="31"/>
        <v>19.77</v>
      </c>
      <c r="AH190" s="157">
        <f t="shared" si="25"/>
        <v>788.75</v>
      </c>
      <c r="AI190"/>
      <c r="AJ190" s="3"/>
      <c r="AK190" s="164"/>
      <c r="AL190" s="22"/>
      <c r="AM190" s="21"/>
      <c r="AN190" s="23"/>
      <c r="AO190" s="10"/>
      <c r="AP190" s="5" t="str">
        <f t="shared" si="32"/>
        <v/>
      </c>
      <c r="AQ190" s="7" t="str">
        <f t="shared" si="33"/>
        <v/>
      </c>
      <c r="AR190" s="8" t="str">
        <f t="shared" si="26"/>
        <v/>
      </c>
      <c r="AS190" s="31" t="str">
        <f>IF(AT190=0,"",IF(_Ijour1=0,MIN(DATE(YEAR(_DebAmort1),MONTH(_DebAmort1)+_MoisD1+(AP190-1)*_Imois1,__Jou2),DATE(YEAR(_DebAmort1),MONTH(_DebAmort1)+_MoisD1+1+(AP190-1)*_Imois1,0)),DATE(YEAR(_DebAmort1),MONTH(_DebAmort1),__Jou1+(AP190-1)*_Ijour1)))</f>
        <v/>
      </c>
      <c r="AT190" s="156">
        <f t="shared" si="34"/>
        <v>0</v>
      </c>
      <c r="AU190" s="153">
        <f>IF(AP190&lt;=_NoEchMaxi1,ROUND(AT190*'Données Projet 1'!H199,_NbDeci1),0)</f>
        <v>0</v>
      </c>
      <c r="AV190" s="152">
        <f>IF(OR(AP190&lt;=_Différé1,AP190&gt;_NoEchMaxi1),IF(_DiffTotal1,-AU190,0),IF(AP190&gt;=_NoEchRemb1,AT190,IF('Données Projet 1'!I199-(AU190*_EchFIXE1)&gt;AT190-2,AT190,'Données Projet 1'!I199-(AU190*_EchFIXE1))))+AK190</f>
        <v>0</v>
      </c>
      <c r="AW190" s="154">
        <f t="shared" si="35"/>
        <v>0</v>
      </c>
      <c r="AX190" s="157">
        <f t="shared" si="27"/>
        <v>0</v>
      </c>
    </row>
    <row r="191" spans="20:50" ht="15.75" customHeight="1" x14ac:dyDescent="0.3">
      <c r="T191" s="3"/>
      <c r="U191" s="164"/>
      <c r="V191" s="22"/>
      <c r="W191" s="21"/>
      <c r="X191" s="23"/>
      <c r="Y191" s="10"/>
      <c r="Z191" s="5">
        <f t="shared" si="28"/>
        <v>185</v>
      </c>
      <c r="AA191" s="7">
        <f t="shared" si="29"/>
        <v>236</v>
      </c>
      <c r="AB191" s="8">
        <f t="shared" si="24"/>
        <v>2024</v>
      </c>
      <c r="AC191" s="31">
        <f>IF(AD191=0,"",IF(_Ijour=0,MIN(DATE(YEAR(_DebAmort),MONTH(_DebAmort)+(Z191-1)*_Imois,_Jour1),DATE(YEAR(_DebAmort),MONTH(_DebAmort)+1+(Z191-1)*_Imois,0)),DATE(YEAR(_DebAmort),MONTH(_DebAmort),_Jour1+(Z191-1)*_Ijour)))</f>
        <v>45413</v>
      </c>
      <c r="AD191" s="156">
        <f t="shared" si="30"/>
        <v>151892.92000000007</v>
      </c>
      <c r="AE191" s="153">
        <f>IF(Z191&lt;=_NoEchMaxi,ROUND(AD191*'Données Projet 1'!A200,_NbDeci),0)</f>
        <v>235.43</v>
      </c>
      <c r="AF191" s="152">
        <f>IF(OR(Z191&lt;=_Différé,Z191&gt;_NoEchMaxi),IF(_DiffTotal,-AE191,0),IF(Z191&gt;=_NoEchRemb,AD191,IF('Données Projet 1'!B200-(AE191*_EchFIXE)&gt;AD191-2,AD191,'Données Projet 1'!B200-(AE191*_EchFIXE))))+U191</f>
        <v>533.54999999999995</v>
      </c>
      <c r="AG191" s="154">
        <f t="shared" si="31"/>
        <v>19.77</v>
      </c>
      <c r="AH191" s="157">
        <f t="shared" si="25"/>
        <v>788.75</v>
      </c>
      <c r="AI191"/>
      <c r="AJ191" s="3"/>
      <c r="AK191" s="164"/>
      <c r="AL191" s="22"/>
      <c r="AM191" s="21"/>
      <c r="AN191" s="23"/>
      <c r="AO191" s="10"/>
      <c r="AP191" s="5" t="str">
        <f t="shared" si="32"/>
        <v/>
      </c>
      <c r="AQ191" s="7" t="str">
        <f t="shared" si="33"/>
        <v/>
      </c>
      <c r="AR191" s="8" t="str">
        <f t="shared" si="26"/>
        <v/>
      </c>
      <c r="AS191" s="31" t="str">
        <f>IF(AT191=0,"",IF(_Ijour1=0,MIN(DATE(YEAR(_DebAmort1),MONTH(_DebAmort1)+(AP191-1)*_Imois1,__Jou1),DATE(YEAR(_DebAmort1),MONTH(_DebAmort1)+1+(AP191-1)*_Imois1,0)),DATE(YEAR(_DebAmort1),MONTH(_DebAmort1),__Jou1+(AP191-1)*_Ijour1)))</f>
        <v/>
      </c>
      <c r="AT191" s="156">
        <f t="shared" si="34"/>
        <v>0</v>
      </c>
      <c r="AU191" s="153">
        <f>IF(AP191&lt;=_NoEchMaxi1,ROUND(AT191*'Données Projet 1'!H200,_NbDeci1),0)</f>
        <v>0</v>
      </c>
      <c r="AV191" s="152">
        <f>IF(OR(AP191&lt;=_Différé1,AP191&gt;_NoEchMaxi1),IF(_DiffTotal1,-AU191,0),IF(AP191&gt;=_NoEchRemb1,AT191,IF('Données Projet 1'!I200-(AU191*_EchFIXE1)&gt;AT191-2,AT191,'Données Projet 1'!I200-(AU191*_EchFIXE1))))+AK191</f>
        <v>0</v>
      </c>
      <c r="AW191" s="154">
        <f t="shared" si="35"/>
        <v>0</v>
      </c>
      <c r="AX191" s="157">
        <f t="shared" si="27"/>
        <v>0</v>
      </c>
    </row>
    <row r="192" spans="20:50" ht="15.75" customHeight="1" x14ac:dyDescent="0.3">
      <c r="T192" s="3"/>
      <c r="U192" s="164"/>
      <c r="V192" s="22"/>
      <c r="W192" s="21"/>
      <c r="X192" s="23"/>
      <c r="Y192" s="10"/>
      <c r="Z192" s="5">
        <f t="shared" si="28"/>
        <v>186</v>
      </c>
      <c r="AA192" s="7">
        <f t="shared" si="29"/>
        <v>235</v>
      </c>
      <c r="AB192" s="8">
        <f t="shared" si="24"/>
        <v>2024</v>
      </c>
      <c r="AC192" s="31">
        <f>IF(AD192=0,"",IF(_Ijour=0,MIN(DATE(YEAR(_DebAmort),MONTH(_DebAmort)+_MoisD+(Z192-1)*_Imois,_Jour2),DATE(YEAR(_DebAmort),MONTH(_DebAmort)+_MoisD+1+(Z192-1)*_Imois,0)),DATE(YEAR(_DebAmort),MONTH(_DebAmort),_Jour1+(Z192-1)*_Ijour)))</f>
        <v>45444</v>
      </c>
      <c r="AD192" s="156">
        <f t="shared" si="30"/>
        <v>151359.37000000008</v>
      </c>
      <c r="AE192" s="153">
        <f>IF(Z192&lt;=_NoEchMaxi,ROUND(AD192*'Données Projet 1'!A201,_NbDeci),0)</f>
        <v>234.61</v>
      </c>
      <c r="AF192" s="152">
        <f>IF(OR(Z192&lt;=_Différé,Z192&gt;_NoEchMaxi),IF(_DiffTotal,-AE192,0),IF(Z192&gt;=_NoEchRemb,AD192,IF('Données Projet 1'!B201-(AE192*_EchFIXE)&gt;AD192-2,AD192,'Données Projet 1'!B201-(AE192*_EchFIXE))))+U192</f>
        <v>534.37</v>
      </c>
      <c r="AG192" s="154">
        <f t="shared" si="31"/>
        <v>19.77</v>
      </c>
      <c r="AH192" s="157">
        <f t="shared" si="25"/>
        <v>788.75</v>
      </c>
      <c r="AI192"/>
      <c r="AJ192" s="3"/>
      <c r="AK192" s="164"/>
      <c r="AL192" s="22"/>
      <c r="AM192" s="21"/>
      <c r="AN192" s="23"/>
      <c r="AO192" s="10"/>
      <c r="AP192" s="5" t="str">
        <f t="shared" si="32"/>
        <v/>
      </c>
      <c r="AQ192" s="7" t="str">
        <f t="shared" si="33"/>
        <v/>
      </c>
      <c r="AR192" s="8" t="str">
        <f t="shared" si="26"/>
        <v/>
      </c>
      <c r="AS192" s="31" t="str">
        <f>IF(AT192=0,"",IF(_Ijour1=0,MIN(DATE(YEAR(_DebAmort1),MONTH(_DebAmort1)+_MoisD1+(AP192-1)*_Imois1,__Jou2),DATE(YEAR(_DebAmort1),MONTH(_DebAmort1)+_MoisD1+1+(AP192-1)*_Imois1,0)),DATE(YEAR(_DebAmort1),MONTH(_DebAmort1),__Jou1+(AP192-1)*_Ijour1)))</f>
        <v/>
      </c>
      <c r="AT192" s="156">
        <f t="shared" si="34"/>
        <v>0</v>
      </c>
      <c r="AU192" s="153">
        <f>IF(AP192&lt;=_NoEchMaxi1,ROUND(AT192*'Données Projet 1'!H201,_NbDeci1),0)</f>
        <v>0</v>
      </c>
      <c r="AV192" s="152">
        <f>IF(OR(AP192&lt;=_Différé1,AP192&gt;_NoEchMaxi1),IF(_DiffTotal1,-AU192,0),IF(AP192&gt;=_NoEchRemb1,AT192,IF('Données Projet 1'!I201-(AU192*_EchFIXE1)&gt;AT192-2,AT192,'Données Projet 1'!I201-(AU192*_EchFIXE1))))+AK192</f>
        <v>0</v>
      </c>
      <c r="AW192" s="154">
        <f t="shared" si="35"/>
        <v>0</v>
      </c>
      <c r="AX192" s="157">
        <f t="shared" si="27"/>
        <v>0</v>
      </c>
    </row>
    <row r="193" spans="20:50" ht="15.75" customHeight="1" x14ac:dyDescent="0.3">
      <c r="T193" s="3"/>
      <c r="U193" s="164"/>
      <c r="V193" s="22"/>
      <c r="W193" s="21"/>
      <c r="X193" s="23"/>
      <c r="Y193" s="10"/>
      <c r="Z193" s="5">
        <f t="shared" si="28"/>
        <v>187</v>
      </c>
      <c r="AA193" s="7">
        <f t="shared" si="29"/>
        <v>234</v>
      </c>
      <c r="AB193" s="8">
        <f t="shared" si="24"/>
        <v>2024</v>
      </c>
      <c r="AC193" s="31">
        <f>IF(AD193=0,"",IF(_Ijour=0,MIN(DATE(YEAR(_DebAmort),MONTH(_DebAmort)+(Z193-1)*_Imois,_Jour1),DATE(YEAR(_DebAmort),MONTH(_DebAmort)+1+(Z193-1)*_Imois,0)),DATE(YEAR(_DebAmort),MONTH(_DebAmort),_Jour1+(Z193-1)*_Ijour)))</f>
        <v>45474</v>
      </c>
      <c r="AD193" s="156">
        <f t="shared" si="30"/>
        <v>150825.00000000009</v>
      </c>
      <c r="AE193" s="153">
        <f>IF(Z193&lt;=_NoEchMaxi,ROUND(AD193*'Données Projet 1'!A202,_NbDeci),0)</f>
        <v>233.78</v>
      </c>
      <c r="AF193" s="152">
        <f>IF(OR(Z193&lt;=_Différé,Z193&gt;_NoEchMaxi),IF(_DiffTotal,-AE193,0),IF(Z193&gt;=_NoEchRemb,AD193,IF('Données Projet 1'!B202-(AE193*_EchFIXE)&gt;AD193-2,AD193,'Données Projet 1'!B202-(AE193*_EchFIXE))))+U193</f>
        <v>535.20000000000005</v>
      </c>
      <c r="AG193" s="154">
        <f t="shared" si="31"/>
        <v>19.77</v>
      </c>
      <c r="AH193" s="157">
        <f t="shared" si="25"/>
        <v>788.75</v>
      </c>
      <c r="AI193"/>
      <c r="AJ193" s="3"/>
      <c r="AK193" s="164"/>
      <c r="AL193" s="22"/>
      <c r="AM193" s="21"/>
      <c r="AN193" s="23"/>
      <c r="AO193" s="10"/>
      <c r="AP193" s="5" t="str">
        <f t="shared" si="32"/>
        <v/>
      </c>
      <c r="AQ193" s="7" t="str">
        <f t="shared" si="33"/>
        <v/>
      </c>
      <c r="AR193" s="8" t="str">
        <f t="shared" si="26"/>
        <v/>
      </c>
      <c r="AS193" s="31" t="str">
        <f>IF(AT193=0,"",IF(_Ijour1=0,MIN(DATE(YEAR(_DebAmort1),MONTH(_DebAmort1)+(AP193-1)*_Imois1,__Jou1),DATE(YEAR(_DebAmort1),MONTH(_DebAmort1)+1+(AP193-1)*_Imois1,0)),DATE(YEAR(_DebAmort1),MONTH(_DebAmort1),__Jou1+(AP193-1)*_Ijour1)))</f>
        <v/>
      </c>
      <c r="AT193" s="156">
        <f t="shared" si="34"/>
        <v>0</v>
      </c>
      <c r="AU193" s="153">
        <f>IF(AP193&lt;=_NoEchMaxi1,ROUND(AT193*'Données Projet 1'!H202,_NbDeci1),0)</f>
        <v>0</v>
      </c>
      <c r="AV193" s="152">
        <f>IF(OR(AP193&lt;=_Différé1,AP193&gt;_NoEchMaxi1),IF(_DiffTotal1,-AU193,0),IF(AP193&gt;=_NoEchRemb1,AT193,IF('Données Projet 1'!I202-(AU193*_EchFIXE1)&gt;AT193-2,AT193,'Données Projet 1'!I202-(AU193*_EchFIXE1))))+AK193</f>
        <v>0</v>
      </c>
      <c r="AW193" s="154">
        <f t="shared" si="35"/>
        <v>0</v>
      </c>
      <c r="AX193" s="157">
        <f t="shared" si="27"/>
        <v>0</v>
      </c>
    </row>
    <row r="194" spans="20:50" ht="15.75" customHeight="1" x14ac:dyDescent="0.3">
      <c r="T194" s="3"/>
      <c r="U194" s="164"/>
      <c r="V194" s="22"/>
      <c r="W194" s="21"/>
      <c r="X194" s="23"/>
      <c r="Y194" s="10"/>
      <c r="Z194" s="5">
        <f t="shared" si="28"/>
        <v>188</v>
      </c>
      <c r="AA194" s="7">
        <f t="shared" si="29"/>
        <v>233</v>
      </c>
      <c r="AB194" s="8">
        <f t="shared" si="24"/>
        <v>2024</v>
      </c>
      <c r="AC194" s="31">
        <f>IF(AD194=0,"",IF(_Ijour=0,MIN(DATE(YEAR(_DebAmort),MONTH(_DebAmort)+_MoisD+(Z194-1)*_Imois,_Jour2),DATE(YEAR(_DebAmort),MONTH(_DebAmort)+_MoisD+1+(Z194-1)*_Imois,0)),DATE(YEAR(_DebAmort),MONTH(_DebAmort),_Jour1+(Z194-1)*_Ijour)))</f>
        <v>45505</v>
      </c>
      <c r="AD194" s="156">
        <f t="shared" si="30"/>
        <v>150289.80000000008</v>
      </c>
      <c r="AE194" s="153">
        <f>IF(Z194&lt;=_NoEchMaxi,ROUND(AD194*'Données Projet 1'!A203,_NbDeci),0)</f>
        <v>232.95</v>
      </c>
      <c r="AF194" s="152">
        <f>IF(OR(Z194&lt;=_Différé,Z194&gt;_NoEchMaxi),IF(_DiffTotal,-AE194,0),IF(Z194&gt;=_NoEchRemb,AD194,IF('Données Projet 1'!B203-(AE194*_EchFIXE)&gt;AD194-2,AD194,'Données Projet 1'!B203-(AE194*_EchFIXE))))+U194</f>
        <v>536.03</v>
      </c>
      <c r="AG194" s="154">
        <f t="shared" si="31"/>
        <v>19.77</v>
      </c>
      <c r="AH194" s="157">
        <f t="shared" si="25"/>
        <v>788.75</v>
      </c>
      <c r="AI194"/>
      <c r="AJ194" s="3"/>
      <c r="AK194" s="164"/>
      <c r="AL194" s="22"/>
      <c r="AM194" s="21"/>
      <c r="AN194" s="23"/>
      <c r="AO194" s="10"/>
      <c r="AP194" s="5" t="str">
        <f t="shared" si="32"/>
        <v/>
      </c>
      <c r="AQ194" s="7" t="str">
        <f t="shared" si="33"/>
        <v/>
      </c>
      <c r="AR194" s="8" t="str">
        <f t="shared" si="26"/>
        <v/>
      </c>
      <c r="AS194" s="31" t="str">
        <f>IF(AT194=0,"",IF(_Ijour1=0,MIN(DATE(YEAR(_DebAmort1),MONTH(_DebAmort1)+_MoisD1+(AP194-1)*_Imois1,__Jou2),DATE(YEAR(_DebAmort1),MONTH(_DebAmort1)+_MoisD1+1+(AP194-1)*_Imois1,0)),DATE(YEAR(_DebAmort1),MONTH(_DebAmort1),__Jou1+(AP194-1)*_Ijour1)))</f>
        <v/>
      </c>
      <c r="AT194" s="156">
        <f t="shared" si="34"/>
        <v>0</v>
      </c>
      <c r="AU194" s="153">
        <f>IF(AP194&lt;=_NoEchMaxi1,ROUND(AT194*'Données Projet 1'!H203,_NbDeci1),0)</f>
        <v>0</v>
      </c>
      <c r="AV194" s="152">
        <f>IF(OR(AP194&lt;=_Différé1,AP194&gt;_NoEchMaxi1),IF(_DiffTotal1,-AU194,0),IF(AP194&gt;=_NoEchRemb1,AT194,IF('Données Projet 1'!I203-(AU194*_EchFIXE1)&gt;AT194-2,AT194,'Données Projet 1'!I203-(AU194*_EchFIXE1))))+AK194</f>
        <v>0</v>
      </c>
      <c r="AW194" s="154">
        <f t="shared" si="35"/>
        <v>0</v>
      </c>
      <c r="AX194" s="157">
        <f t="shared" si="27"/>
        <v>0</v>
      </c>
    </row>
    <row r="195" spans="20:50" ht="15.75" customHeight="1" x14ac:dyDescent="0.3">
      <c r="T195" s="3"/>
      <c r="U195" s="164"/>
      <c r="V195" s="22"/>
      <c r="W195" s="21"/>
      <c r="X195" s="23"/>
      <c r="Y195" s="10"/>
      <c r="Z195" s="5">
        <f t="shared" si="28"/>
        <v>189</v>
      </c>
      <c r="AA195" s="7">
        <f t="shared" si="29"/>
        <v>232</v>
      </c>
      <c r="AB195" s="8">
        <f t="shared" si="24"/>
        <v>2024</v>
      </c>
      <c r="AC195" s="31">
        <f>IF(AD195=0,"",IF(_Ijour=0,MIN(DATE(YEAR(_DebAmort),MONTH(_DebAmort)+(Z195-1)*_Imois,_Jour1),DATE(YEAR(_DebAmort),MONTH(_DebAmort)+1+(Z195-1)*_Imois,0)),DATE(YEAR(_DebAmort),MONTH(_DebAmort),_Jour1+(Z195-1)*_Ijour)))</f>
        <v>45536</v>
      </c>
      <c r="AD195" s="156">
        <f t="shared" si="30"/>
        <v>149753.77000000008</v>
      </c>
      <c r="AE195" s="153">
        <f>IF(Z195&lt;=_NoEchMaxi,ROUND(AD195*'Données Projet 1'!A204,_NbDeci),0)</f>
        <v>232.12</v>
      </c>
      <c r="AF195" s="152">
        <f>IF(OR(Z195&lt;=_Différé,Z195&gt;_NoEchMaxi),IF(_DiffTotal,-AE195,0),IF(Z195&gt;=_NoEchRemb,AD195,IF('Données Projet 1'!B204-(AE195*_EchFIXE)&gt;AD195-2,AD195,'Données Projet 1'!B204-(AE195*_EchFIXE))))+U195</f>
        <v>536.86</v>
      </c>
      <c r="AG195" s="154">
        <f t="shared" si="31"/>
        <v>19.77</v>
      </c>
      <c r="AH195" s="157">
        <f t="shared" si="25"/>
        <v>788.75</v>
      </c>
      <c r="AI195"/>
      <c r="AJ195" s="3"/>
      <c r="AK195" s="164"/>
      <c r="AL195" s="22"/>
      <c r="AM195" s="21"/>
      <c r="AN195" s="23"/>
      <c r="AO195" s="10"/>
      <c r="AP195" s="5" t="str">
        <f t="shared" si="32"/>
        <v/>
      </c>
      <c r="AQ195" s="7" t="str">
        <f t="shared" si="33"/>
        <v/>
      </c>
      <c r="AR195" s="8" t="str">
        <f t="shared" si="26"/>
        <v/>
      </c>
      <c r="AS195" s="31" t="str">
        <f>IF(AT195=0,"",IF(_Ijour1=0,MIN(DATE(YEAR(_DebAmort1),MONTH(_DebAmort1)+(AP195-1)*_Imois1,__Jou1),DATE(YEAR(_DebAmort1),MONTH(_DebAmort1)+1+(AP195-1)*_Imois1,0)),DATE(YEAR(_DebAmort1),MONTH(_DebAmort1),__Jou1+(AP195-1)*_Ijour1)))</f>
        <v/>
      </c>
      <c r="AT195" s="156">
        <f t="shared" si="34"/>
        <v>0</v>
      </c>
      <c r="AU195" s="153">
        <f>IF(AP195&lt;=_NoEchMaxi1,ROUND(AT195*'Données Projet 1'!H204,_NbDeci1),0)</f>
        <v>0</v>
      </c>
      <c r="AV195" s="152">
        <f>IF(OR(AP195&lt;=_Différé1,AP195&gt;_NoEchMaxi1),IF(_DiffTotal1,-AU195,0),IF(AP195&gt;=_NoEchRemb1,AT195,IF('Données Projet 1'!I204-(AU195*_EchFIXE1)&gt;AT195-2,AT195,'Données Projet 1'!I204-(AU195*_EchFIXE1))))+AK195</f>
        <v>0</v>
      </c>
      <c r="AW195" s="154">
        <f t="shared" si="35"/>
        <v>0</v>
      </c>
      <c r="AX195" s="157">
        <f t="shared" si="27"/>
        <v>0</v>
      </c>
    </row>
    <row r="196" spans="20:50" ht="15.75" customHeight="1" x14ac:dyDescent="0.3">
      <c r="T196" s="3"/>
      <c r="U196" s="164"/>
      <c r="V196" s="22"/>
      <c r="W196" s="21"/>
      <c r="X196" s="23"/>
      <c r="Y196" s="10"/>
      <c r="Z196" s="5">
        <f t="shared" si="28"/>
        <v>190</v>
      </c>
      <c r="AA196" s="7">
        <f t="shared" si="29"/>
        <v>231</v>
      </c>
      <c r="AB196" s="8">
        <f t="shared" si="24"/>
        <v>2024</v>
      </c>
      <c r="AC196" s="31">
        <f>IF(AD196=0,"",IF(_Ijour=0,MIN(DATE(YEAR(_DebAmort),MONTH(_DebAmort)+_MoisD+(Z196-1)*_Imois,_Jour2),DATE(YEAR(_DebAmort),MONTH(_DebAmort)+_MoisD+1+(Z196-1)*_Imois,0)),DATE(YEAR(_DebAmort),MONTH(_DebAmort),_Jour1+(Z196-1)*_Ijour)))</f>
        <v>45566</v>
      </c>
      <c r="AD196" s="156">
        <f t="shared" si="30"/>
        <v>149216.91000000009</v>
      </c>
      <c r="AE196" s="153">
        <f>IF(Z196&lt;=_NoEchMaxi,ROUND(AD196*'Données Projet 1'!A205,_NbDeci),0)</f>
        <v>231.29</v>
      </c>
      <c r="AF196" s="152">
        <f>IF(OR(Z196&lt;=_Différé,Z196&gt;_NoEchMaxi),IF(_DiffTotal,-AE196,0),IF(Z196&gt;=_NoEchRemb,AD196,IF('Données Projet 1'!B205-(AE196*_EchFIXE)&gt;AD196-2,AD196,'Données Projet 1'!B205-(AE196*_EchFIXE))))+U196</f>
        <v>537.69000000000005</v>
      </c>
      <c r="AG196" s="154">
        <f t="shared" si="31"/>
        <v>19.77</v>
      </c>
      <c r="AH196" s="157">
        <f t="shared" si="25"/>
        <v>788.75</v>
      </c>
      <c r="AI196"/>
      <c r="AJ196" s="3"/>
      <c r="AK196" s="164"/>
      <c r="AL196" s="22"/>
      <c r="AM196" s="21"/>
      <c r="AN196" s="23"/>
      <c r="AO196" s="10"/>
      <c r="AP196" s="5" t="str">
        <f t="shared" si="32"/>
        <v/>
      </c>
      <c r="AQ196" s="7" t="str">
        <f t="shared" si="33"/>
        <v/>
      </c>
      <c r="AR196" s="8" t="str">
        <f t="shared" si="26"/>
        <v/>
      </c>
      <c r="AS196" s="31" t="str">
        <f>IF(AT196=0,"",IF(_Ijour1=0,MIN(DATE(YEAR(_DebAmort1),MONTH(_DebAmort1)+_MoisD1+(AP196-1)*_Imois1,__Jou2),DATE(YEAR(_DebAmort1),MONTH(_DebAmort1)+_MoisD1+1+(AP196-1)*_Imois1,0)),DATE(YEAR(_DebAmort1),MONTH(_DebAmort1),__Jou1+(AP196-1)*_Ijour1)))</f>
        <v/>
      </c>
      <c r="AT196" s="156">
        <f t="shared" si="34"/>
        <v>0</v>
      </c>
      <c r="AU196" s="153">
        <f>IF(AP196&lt;=_NoEchMaxi1,ROUND(AT196*'Données Projet 1'!H205,_NbDeci1),0)</f>
        <v>0</v>
      </c>
      <c r="AV196" s="152">
        <f>IF(OR(AP196&lt;=_Différé1,AP196&gt;_NoEchMaxi1),IF(_DiffTotal1,-AU196,0),IF(AP196&gt;=_NoEchRemb1,AT196,IF('Données Projet 1'!I205-(AU196*_EchFIXE1)&gt;AT196-2,AT196,'Données Projet 1'!I205-(AU196*_EchFIXE1))))+AK196</f>
        <v>0</v>
      </c>
      <c r="AW196" s="154">
        <f t="shared" si="35"/>
        <v>0</v>
      </c>
      <c r="AX196" s="157">
        <f t="shared" si="27"/>
        <v>0</v>
      </c>
    </row>
    <row r="197" spans="20:50" ht="15.75" customHeight="1" x14ac:dyDescent="0.3">
      <c r="T197" s="3"/>
      <c r="U197" s="164"/>
      <c r="V197" s="22"/>
      <c r="W197" s="21"/>
      <c r="X197" s="23"/>
      <c r="Y197" s="10"/>
      <c r="Z197" s="5">
        <f t="shared" si="28"/>
        <v>191</v>
      </c>
      <c r="AA197" s="7">
        <f t="shared" si="29"/>
        <v>230</v>
      </c>
      <c r="AB197" s="8">
        <f t="shared" si="24"/>
        <v>2024</v>
      </c>
      <c r="AC197" s="31">
        <f>IF(AD197=0,"",IF(_Ijour=0,MIN(DATE(YEAR(_DebAmort),MONTH(_DebAmort)+(Z197-1)*_Imois,_Jour1),DATE(YEAR(_DebAmort),MONTH(_DebAmort)+1+(Z197-1)*_Imois,0)),DATE(YEAR(_DebAmort),MONTH(_DebAmort),_Jour1+(Z197-1)*_Ijour)))</f>
        <v>45597</v>
      </c>
      <c r="AD197" s="156">
        <f t="shared" si="30"/>
        <v>148679.22000000009</v>
      </c>
      <c r="AE197" s="153">
        <f>IF(Z197&lt;=_NoEchMaxi,ROUND(AD197*'Données Projet 1'!A206,_NbDeci),0)</f>
        <v>230.45</v>
      </c>
      <c r="AF197" s="152">
        <f>IF(OR(Z197&lt;=_Différé,Z197&gt;_NoEchMaxi),IF(_DiffTotal,-AE197,0),IF(Z197&gt;=_NoEchRemb,AD197,IF('Données Projet 1'!B206-(AE197*_EchFIXE)&gt;AD197-2,AD197,'Données Projet 1'!B206-(AE197*_EchFIXE))))+U197</f>
        <v>538.53</v>
      </c>
      <c r="AG197" s="154">
        <f t="shared" si="31"/>
        <v>19.77</v>
      </c>
      <c r="AH197" s="157">
        <f t="shared" si="25"/>
        <v>788.75</v>
      </c>
      <c r="AI197"/>
      <c r="AJ197" s="3"/>
      <c r="AK197" s="164"/>
      <c r="AL197" s="22"/>
      <c r="AM197" s="21"/>
      <c r="AN197" s="23"/>
      <c r="AO197" s="10"/>
      <c r="AP197" s="5" t="str">
        <f t="shared" si="32"/>
        <v/>
      </c>
      <c r="AQ197" s="7" t="str">
        <f t="shared" si="33"/>
        <v/>
      </c>
      <c r="AR197" s="8" t="str">
        <f t="shared" si="26"/>
        <v/>
      </c>
      <c r="AS197" s="31" t="str">
        <f>IF(AT197=0,"",IF(_Ijour1=0,MIN(DATE(YEAR(_DebAmort1),MONTH(_DebAmort1)+(AP197-1)*_Imois1,__Jou1),DATE(YEAR(_DebAmort1),MONTH(_DebAmort1)+1+(AP197-1)*_Imois1,0)),DATE(YEAR(_DebAmort1),MONTH(_DebAmort1),__Jou1+(AP197-1)*_Ijour1)))</f>
        <v/>
      </c>
      <c r="AT197" s="156">
        <f t="shared" si="34"/>
        <v>0</v>
      </c>
      <c r="AU197" s="153">
        <f>IF(AP197&lt;=_NoEchMaxi1,ROUND(AT197*'Données Projet 1'!H206,_NbDeci1),0)</f>
        <v>0</v>
      </c>
      <c r="AV197" s="152">
        <f>IF(OR(AP197&lt;=_Différé1,AP197&gt;_NoEchMaxi1),IF(_DiffTotal1,-AU197,0),IF(AP197&gt;=_NoEchRemb1,AT197,IF('Données Projet 1'!I206-(AU197*_EchFIXE1)&gt;AT197-2,AT197,'Données Projet 1'!I206-(AU197*_EchFIXE1))))+AK197</f>
        <v>0</v>
      </c>
      <c r="AW197" s="154">
        <f t="shared" si="35"/>
        <v>0</v>
      </c>
      <c r="AX197" s="157">
        <f t="shared" si="27"/>
        <v>0</v>
      </c>
    </row>
    <row r="198" spans="20:50" ht="15.75" customHeight="1" x14ac:dyDescent="0.3">
      <c r="T198" s="3"/>
      <c r="U198" s="164"/>
      <c r="V198" s="22"/>
      <c r="W198" s="21"/>
      <c r="X198" s="23"/>
      <c r="Y198" s="10"/>
      <c r="Z198" s="5">
        <f t="shared" si="28"/>
        <v>192</v>
      </c>
      <c r="AA198" s="7">
        <f t="shared" si="29"/>
        <v>229</v>
      </c>
      <c r="AB198" s="8">
        <f t="shared" ref="AB198:AB261" si="36">IF(ISNUMBER(AC198),YEAR(AC198),"")</f>
        <v>2024</v>
      </c>
      <c r="AC198" s="31">
        <f>IF(AD198=0,"",IF(_Ijour=0,MIN(DATE(YEAR(_DebAmort),MONTH(_DebAmort)+_MoisD+(Z198-1)*_Imois,_Jour2),DATE(YEAR(_DebAmort),MONTH(_DebAmort)+_MoisD+1+(Z198-1)*_Imois,0)),DATE(YEAR(_DebAmort),MONTH(_DebAmort),_Jour1+(Z198-1)*_Ijour)))</f>
        <v>45627</v>
      </c>
      <c r="AD198" s="156">
        <f t="shared" si="30"/>
        <v>148140.69000000009</v>
      </c>
      <c r="AE198" s="153">
        <f>IF(Z198&lt;=_NoEchMaxi,ROUND(AD198*'Données Projet 1'!A207,_NbDeci),0)</f>
        <v>229.62</v>
      </c>
      <c r="AF198" s="152">
        <f>IF(OR(Z198&lt;=_Différé,Z198&gt;_NoEchMaxi),IF(_DiffTotal,-AE198,0),IF(Z198&gt;=_NoEchRemb,AD198,IF('Données Projet 1'!B207-(AE198*_EchFIXE)&gt;AD198-2,AD198,'Données Projet 1'!B207-(AE198*_EchFIXE))))+U198</f>
        <v>539.36</v>
      </c>
      <c r="AG198" s="154">
        <f t="shared" si="31"/>
        <v>19.77</v>
      </c>
      <c r="AH198" s="157">
        <f t="shared" ref="AH198:AH261" si="37">SUM(AE198:AG198)</f>
        <v>788.75</v>
      </c>
      <c r="AI198"/>
      <c r="AJ198" s="3"/>
      <c r="AK198" s="164"/>
      <c r="AL198" s="22"/>
      <c r="AM198" s="21"/>
      <c r="AN198" s="23"/>
      <c r="AO198" s="10"/>
      <c r="AP198" s="5" t="str">
        <f t="shared" si="32"/>
        <v/>
      </c>
      <c r="AQ198" s="7" t="str">
        <f t="shared" si="33"/>
        <v/>
      </c>
      <c r="AR198" s="8" t="str">
        <f t="shared" ref="AR198:AR261" si="38">IF(ISNUMBER(AS198),YEAR(AS198),"")</f>
        <v/>
      </c>
      <c r="AS198" s="31" t="str">
        <f>IF(AT198=0,"",IF(_Ijour1=0,MIN(DATE(YEAR(_DebAmort1),MONTH(_DebAmort1)+_MoisD1+(AP198-1)*_Imois1,__Jou2),DATE(YEAR(_DebAmort1),MONTH(_DebAmort1)+_MoisD1+1+(AP198-1)*_Imois1,0)),DATE(YEAR(_DebAmort1),MONTH(_DebAmort1),__Jou1+(AP198-1)*_Ijour1)))</f>
        <v/>
      </c>
      <c r="AT198" s="156">
        <f t="shared" si="34"/>
        <v>0</v>
      </c>
      <c r="AU198" s="153">
        <f>IF(AP198&lt;=_NoEchMaxi1,ROUND(AT198*'Données Projet 1'!H207,_NbDeci1),0)</f>
        <v>0</v>
      </c>
      <c r="AV198" s="152">
        <f>IF(OR(AP198&lt;=_Différé1,AP198&gt;_NoEchMaxi1),IF(_DiffTotal1,-AU198,0),IF(AP198&gt;=_NoEchRemb1,AT198,IF('Données Projet 1'!I207-(AU198*_EchFIXE1)&gt;AT198-2,AT198,'Données Projet 1'!I207-(AU198*_EchFIXE1))))+AK198</f>
        <v>0</v>
      </c>
      <c r="AW198" s="154">
        <f t="shared" si="35"/>
        <v>0</v>
      </c>
      <c r="AX198" s="157">
        <f t="shared" ref="AX198:AX261" si="39">SUM(AU198:AW198)</f>
        <v>0</v>
      </c>
    </row>
    <row r="199" spans="20:50" ht="15.75" customHeight="1" x14ac:dyDescent="0.3">
      <c r="T199" s="3"/>
      <c r="U199" s="164"/>
      <c r="V199" s="22"/>
      <c r="W199" s="21"/>
      <c r="X199" s="23"/>
      <c r="Y199" s="10"/>
      <c r="Z199" s="5">
        <f t="shared" ref="Z199:Z262" si="40">IF(AD199=0,"",Z198+1)</f>
        <v>193</v>
      </c>
      <c r="AA199" s="7">
        <f t="shared" ref="AA199:AA262" si="41">IF(AD199&gt;0,_NbEch+_Différé+1-Z199,"")</f>
        <v>228</v>
      </c>
      <c r="AB199" s="8">
        <f t="shared" si="36"/>
        <v>2025</v>
      </c>
      <c r="AC199" s="31">
        <f>IF(AD199=0,"",IF(_Ijour=0,MIN(DATE(YEAR(_DebAmort),MONTH(_DebAmort)+(Z199-1)*_Imois,_Jour1),DATE(YEAR(_DebAmort),MONTH(_DebAmort)+1+(Z199-1)*_Imois,0)),DATE(YEAR(_DebAmort),MONTH(_DebAmort),_Jour1+(Z199-1)*_Ijour)))</f>
        <v>45658</v>
      </c>
      <c r="AD199" s="156">
        <f t="shared" ref="AD199:AD262" si="42">AD198-AF198</f>
        <v>147601.3300000001</v>
      </c>
      <c r="AE199" s="153">
        <f>IF(Z199&lt;=_NoEchMaxi,ROUND(AD199*'Données Projet 1'!A208,_NbDeci),0)</f>
        <v>228.78</v>
      </c>
      <c r="AF199" s="152">
        <f>IF(OR(Z199&lt;=_Différé,Z199&gt;_NoEchMaxi),IF(_DiffTotal,-AE199,0),IF(Z199&gt;=_NoEchRemb,AD199,IF('Données Projet 1'!B208-(AE199*_EchFIXE)&gt;AD199-2,AD199,'Données Projet 1'!B208-(AE199*_EchFIXE))))+U199</f>
        <v>540.20000000000005</v>
      </c>
      <c r="AG199" s="154">
        <f t="shared" ref="AG199:AG262" si="43">IF(OR(AD199=0,Z199&gt;_NoEchMaxi),0,ROUND(_FraisF+_FraisV*AD199,_NbDeci))+X199</f>
        <v>19.77</v>
      </c>
      <c r="AH199" s="157">
        <f t="shared" si="37"/>
        <v>788.75</v>
      </c>
      <c r="AI199"/>
      <c r="AJ199" s="3"/>
      <c r="AK199" s="164"/>
      <c r="AL199" s="22"/>
      <c r="AM199" s="21"/>
      <c r="AN199" s="23"/>
      <c r="AO199" s="10"/>
      <c r="AP199" s="5" t="str">
        <f t="shared" ref="AP199:AP262" si="44">IF(AT199=0,"",AP198+1)</f>
        <v/>
      </c>
      <c r="AQ199" s="7" t="str">
        <f t="shared" ref="AQ199:AQ262" si="45">IF(AT199&gt;0,_NbEch1+_Différé1+1-AP199,"")</f>
        <v/>
      </c>
      <c r="AR199" s="8" t="str">
        <f t="shared" si="38"/>
        <v/>
      </c>
      <c r="AS199" s="31" t="str">
        <f>IF(AT199=0,"",IF(_Ijour1=0,MIN(DATE(YEAR(_DebAmort1),MONTH(_DebAmort1)+(AP199-1)*_Imois1,__Jou1),DATE(YEAR(_DebAmort1),MONTH(_DebAmort1)+1+(AP199-1)*_Imois1,0)),DATE(YEAR(_DebAmort1),MONTH(_DebAmort1),__Jou1+(AP199-1)*_Ijour1)))</f>
        <v/>
      </c>
      <c r="AT199" s="156">
        <f t="shared" ref="AT199:AT262" si="46">AT198-AV198</f>
        <v>0</v>
      </c>
      <c r="AU199" s="153">
        <f>IF(AP199&lt;=_NoEchMaxi1,ROUND(AT199*'Données Projet 1'!H208,_NbDeci1),0)</f>
        <v>0</v>
      </c>
      <c r="AV199" s="152">
        <f>IF(OR(AP199&lt;=_Différé1,AP199&gt;_NoEchMaxi1),IF(_DiffTotal1,-AU199,0),IF(AP199&gt;=_NoEchRemb1,AT199,IF('Données Projet 1'!I208-(AU199*_EchFIXE1)&gt;AT199-2,AT199,'Données Projet 1'!I208-(AU199*_EchFIXE1))))+AK199</f>
        <v>0</v>
      </c>
      <c r="AW199" s="154">
        <f t="shared" ref="AW199:AW262" si="47">IF(OR(AT199=0,AP199&gt;_NoEchMaxi1),0,ROUND(_FraisF1+_FraisV1*AT199,_NbDeci1))+AN199</f>
        <v>0</v>
      </c>
      <c r="AX199" s="157">
        <f t="shared" si="39"/>
        <v>0</v>
      </c>
    </row>
    <row r="200" spans="20:50" ht="15.75" customHeight="1" x14ac:dyDescent="0.3">
      <c r="T200" s="3"/>
      <c r="U200" s="164"/>
      <c r="V200" s="22"/>
      <c r="W200" s="21"/>
      <c r="X200" s="23"/>
      <c r="Y200" s="10"/>
      <c r="Z200" s="5">
        <f t="shared" si="40"/>
        <v>194</v>
      </c>
      <c r="AA200" s="7">
        <f t="shared" si="41"/>
        <v>227</v>
      </c>
      <c r="AB200" s="8">
        <f t="shared" si="36"/>
        <v>2025</v>
      </c>
      <c r="AC200" s="31">
        <f>IF(AD200=0,"",IF(_Ijour=0,MIN(DATE(YEAR(_DebAmort),MONTH(_DebAmort)+_MoisD+(Z200-1)*_Imois,_Jour2),DATE(YEAR(_DebAmort),MONTH(_DebAmort)+_MoisD+1+(Z200-1)*_Imois,0)),DATE(YEAR(_DebAmort),MONTH(_DebAmort),_Jour1+(Z200-1)*_Ijour)))</f>
        <v>45689</v>
      </c>
      <c r="AD200" s="156">
        <f t="shared" si="42"/>
        <v>147061.13000000009</v>
      </c>
      <c r="AE200" s="153">
        <f>IF(Z200&lt;=_NoEchMaxi,ROUND(AD200*'Données Projet 1'!A209,_NbDeci),0)</f>
        <v>227.94</v>
      </c>
      <c r="AF200" s="152">
        <f>IF(OR(Z200&lt;=_Différé,Z200&gt;_NoEchMaxi),IF(_DiffTotal,-AE200,0),IF(Z200&gt;=_NoEchRemb,AD200,IF('Données Projet 1'!B209-(AE200*_EchFIXE)&gt;AD200-2,AD200,'Données Projet 1'!B209-(AE200*_EchFIXE))))+U200</f>
        <v>541.04</v>
      </c>
      <c r="AG200" s="154">
        <f t="shared" si="43"/>
        <v>19.77</v>
      </c>
      <c r="AH200" s="157">
        <f t="shared" si="37"/>
        <v>788.75</v>
      </c>
      <c r="AI200"/>
      <c r="AJ200" s="3"/>
      <c r="AK200" s="164"/>
      <c r="AL200" s="22"/>
      <c r="AM200" s="21"/>
      <c r="AN200" s="23"/>
      <c r="AO200" s="10"/>
      <c r="AP200" s="5" t="str">
        <f t="shared" si="44"/>
        <v/>
      </c>
      <c r="AQ200" s="7" t="str">
        <f t="shared" si="45"/>
        <v/>
      </c>
      <c r="AR200" s="8" t="str">
        <f t="shared" si="38"/>
        <v/>
      </c>
      <c r="AS200" s="31" t="str">
        <f>IF(AT200=0,"",IF(_Ijour1=0,MIN(DATE(YEAR(_DebAmort1),MONTH(_DebAmort1)+_MoisD1+(AP200-1)*_Imois1,__Jou2),DATE(YEAR(_DebAmort1),MONTH(_DebAmort1)+_MoisD1+1+(AP200-1)*_Imois1,0)),DATE(YEAR(_DebAmort1),MONTH(_DebAmort1),__Jou1+(AP200-1)*_Ijour1)))</f>
        <v/>
      </c>
      <c r="AT200" s="156">
        <f t="shared" si="46"/>
        <v>0</v>
      </c>
      <c r="AU200" s="153">
        <f>IF(AP200&lt;=_NoEchMaxi1,ROUND(AT200*'Données Projet 1'!H209,_NbDeci1),0)</f>
        <v>0</v>
      </c>
      <c r="AV200" s="152">
        <f>IF(OR(AP200&lt;=_Différé1,AP200&gt;_NoEchMaxi1),IF(_DiffTotal1,-AU200,0),IF(AP200&gt;=_NoEchRemb1,AT200,IF('Données Projet 1'!I209-(AU200*_EchFIXE1)&gt;AT200-2,AT200,'Données Projet 1'!I209-(AU200*_EchFIXE1))))+AK200</f>
        <v>0</v>
      </c>
      <c r="AW200" s="154">
        <f t="shared" si="47"/>
        <v>0</v>
      </c>
      <c r="AX200" s="157">
        <f t="shared" si="39"/>
        <v>0</v>
      </c>
    </row>
    <row r="201" spans="20:50" ht="15.75" customHeight="1" x14ac:dyDescent="0.3">
      <c r="T201" s="3"/>
      <c r="U201" s="164"/>
      <c r="V201" s="22"/>
      <c r="W201" s="21"/>
      <c r="X201" s="23"/>
      <c r="Y201" s="10"/>
      <c r="Z201" s="5">
        <f t="shared" si="40"/>
        <v>195</v>
      </c>
      <c r="AA201" s="7">
        <f t="shared" si="41"/>
        <v>226</v>
      </c>
      <c r="AB201" s="8">
        <f t="shared" si="36"/>
        <v>2025</v>
      </c>
      <c r="AC201" s="31">
        <f>IF(AD201=0,"",IF(_Ijour=0,MIN(DATE(YEAR(_DebAmort),MONTH(_DebAmort)+(Z201-1)*_Imois,_Jour1),DATE(YEAR(_DebAmort),MONTH(_DebAmort)+1+(Z201-1)*_Imois,0)),DATE(YEAR(_DebAmort),MONTH(_DebAmort),_Jour1+(Z201-1)*_Ijour)))</f>
        <v>45717</v>
      </c>
      <c r="AD201" s="156">
        <f t="shared" si="42"/>
        <v>146520.09000000008</v>
      </c>
      <c r="AE201" s="153">
        <f>IF(Z201&lt;=_NoEchMaxi,ROUND(AD201*'Données Projet 1'!A210,_NbDeci),0)</f>
        <v>227.11</v>
      </c>
      <c r="AF201" s="152">
        <f>IF(OR(Z201&lt;=_Différé,Z201&gt;_NoEchMaxi),IF(_DiffTotal,-AE201,0),IF(Z201&gt;=_NoEchRemb,AD201,IF('Données Projet 1'!B210-(AE201*_EchFIXE)&gt;AD201-2,AD201,'Données Projet 1'!B210-(AE201*_EchFIXE))))+U201</f>
        <v>541.87</v>
      </c>
      <c r="AG201" s="154">
        <f t="shared" si="43"/>
        <v>19.77</v>
      </c>
      <c r="AH201" s="157">
        <f t="shared" si="37"/>
        <v>788.75</v>
      </c>
      <c r="AI201"/>
      <c r="AJ201" s="3"/>
      <c r="AK201" s="164"/>
      <c r="AL201" s="22"/>
      <c r="AM201" s="21"/>
      <c r="AN201" s="23"/>
      <c r="AO201" s="10"/>
      <c r="AP201" s="5" t="str">
        <f t="shared" si="44"/>
        <v/>
      </c>
      <c r="AQ201" s="7" t="str">
        <f t="shared" si="45"/>
        <v/>
      </c>
      <c r="AR201" s="8" t="str">
        <f t="shared" si="38"/>
        <v/>
      </c>
      <c r="AS201" s="31" t="str">
        <f>IF(AT201=0,"",IF(_Ijour1=0,MIN(DATE(YEAR(_DebAmort1),MONTH(_DebAmort1)+(AP201-1)*_Imois1,__Jou1),DATE(YEAR(_DebAmort1),MONTH(_DebAmort1)+1+(AP201-1)*_Imois1,0)),DATE(YEAR(_DebAmort1),MONTH(_DebAmort1),__Jou1+(AP201-1)*_Ijour1)))</f>
        <v/>
      </c>
      <c r="AT201" s="156">
        <f t="shared" si="46"/>
        <v>0</v>
      </c>
      <c r="AU201" s="153">
        <f>IF(AP201&lt;=_NoEchMaxi1,ROUND(AT201*'Données Projet 1'!H210,_NbDeci1),0)</f>
        <v>0</v>
      </c>
      <c r="AV201" s="152">
        <f>IF(OR(AP201&lt;=_Différé1,AP201&gt;_NoEchMaxi1),IF(_DiffTotal1,-AU201,0),IF(AP201&gt;=_NoEchRemb1,AT201,IF('Données Projet 1'!I210-(AU201*_EchFIXE1)&gt;AT201-2,AT201,'Données Projet 1'!I210-(AU201*_EchFIXE1))))+AK201</f>
        <v>0</v>
      </c>
      <c r="AW201" s="154">
        <f t="shared" si="47"/>
        <v>0</v>
      </c>
      <c r="AX201" s="157">
        <f t="shared" si="39"/>
        <v>0</v>
      </c>
    </row>
    <row r="202" spans="20:50" ht="15.75" customHeight="1" x14ac:dyDescent="0.3">
      <c r="T202" s="3"/>
      <c r="U202" s="164"/>
      <c r="V202" s="22"/>
      <c r="W202" s="21"/>
      <c r="X202" s="23"/>
      <c r="Y202" s="10"/>
      <c r="Z202" s="5">
        <f t="shared" si="40"/>
        <v>196</v>
      </c>
      <c r="AA202" s="7">
        <f t="shared" si="41"/>
        <v>225</v>
      </c>
      <c r="AB202" s="8">
        <f t="shared" si="36"/>
        <v>2025</v>
      </c>
      <c r="AC202" s="31">
        <f>IF(AD202=0,"",IF(_Ijour=0,MIN(DATE(YEAR(_DebAmort),MONTH(_DebAmort)+_MoisD+(Z202-1)*_Imois,_Jour2),DATE(YEAR(_DebAmort),MONTH(_DebAmort)+_MoisD+1+(Z202-1)*_Imois,0)),DATE(YEAR(_DebAmort),MONTH(_DebAmort),_Jour1+(Z202-1)*_Ijour)))</f>
        <v>45748</v>
      </c>
      <c r="AD202" s="156">
        <f t="shared" si="42"/>
        <v>145978.22000000009</v>
      </c>
      <c r="AE202" s="153">
        <f>IF(Z202&lt;=_NoEchMaxi,ROUND(AD202*'Données Projet 1'!A211,_NbDeci),0)</f>
        <v>226.27</v>
      </c>
      <c r="AF202" s="152">
        <f>IF(OR(Z202&lt;=_Différé,Z202&gt;_NoEchMaxi),IF(_DiffTotal,-AE202,0),IF(Z202&gt;=_NoEchRemb,AD202,IF('Données Projet 1'!B211-(AE202*_EchFIXE)&gt;AD202-2,AD202,'Données Projet 1'!B211-(AE202*_EchFIXE))))+U202</f>
        <v>542.71</v>
      </c>
      <c r="AG202" s="154">
        <f t="shared" si="43"/>
        <v>19.77</v>
      </c>
      <c r="AH202" s="157">
        <f t="shared" si="37"/>
        <v>788.75</v>
      </c>
      <c r="AI202"/>
      <c r="AJ202" s="3"/>
      <c r="AK202" s="164"/>
      <c r="AL202" s="22"/>
      <c r="AM202" s="21"/>
      <c r="AN202" s="23"/>
      <c r="AO202" s="10"/>
      <c r="AP202" s="5" t="str">
        <f t="shared" si="44"/>
        <v/>
      </c>
      <c r="AQ202" s="7" t="str">
        <f t="shared" si="45"/>
        <v/>
      </c>
      <c r="AR202" s="8" t="str">
        <f t="shared" si="38"/>
        <v/>
      </c>
      <c r="AS202" s="31" t="str">
        <f>IF(AT202=0,"",IF(_Ijour1=0,MIN(DATE(YEAR(_DebAmort1),MONTH(_DebAmort1)+_MoisD1+(AP202-1)*_Imois1,__Jou2),DATE(YEAR(_DebAmort1),MONTH(_DebAmort1)+_MoisD1+1+(AP202-1)*_Imois1,0)),DATE(YEAR(_DebAmort1),MONTH(_DebAmort1),__Jou1+(AP202-1)*_Ijour1)))</f>
        <v/>
      </c>
      <c r="AT202" s="156">
        <f t="shared" si="46"/>
        <v>0</v>
      </c>
      <c r="AU202" s="153">
        <f>IF(AP202&lt;=_NoEchMaxi1,ROUND(AT202*'Données Projet 1'!H211,_NbDeci1),0)</f>
        <v>0</v>
      </c>
      <c r="AV202" s="152">
        <f>IF(OR(AP202&lt;=_Différé1,AP202&gt;_NoEchMaxi1),IF(_DiffTotal1,-AU202,0),IF(AP202&gt;=_NoEchRemb1,AT202,IF('Données Projet 1'!I211-(AU202*_EchFIXE1)&gt;AT202-2,AT202,'Données Projet 1'!I211-(AU202*_EchFIXE1))))+AK202</f>
        <v>0</v>
      </c>
      <c r="AW202" s="154">
        <f t="shared" si="47"/>
        <v>0</v>
      </c>
      <c r="AX202" s="157">
        <f t="shared" si="39"/>
        <v>0</v>
      </c>
    </row>
    <row r="203" spans="20:50" ht="15.75" customHeight="1" x14ac:dyDescent="0.3">
      <c r="T203" s="3"/>
      <c r="U203" s="164"/>
      <c r="V203" s="22"/>
      <c r="W203" s="21"/>
      <c r="X203" s="23"/>
      <c r="Y203" s="10"/>
      <c r="Z203" s="5">
        <f t="shared" si="40"/>
        <v>197</v>
      </c>
      <c r="AA203" s="7">
        <f t="shared" si="41"/>
        <v>224</v>
      </c>
      <c r="AB203" s="8">
        <f t="shared" si="36"/>
        <v>2025</v>
      </c>
      <c r="AC203" s="31">
        <f>IF(AD203=0,"",IF(_Ijour=0,MIN(DATE(YEAR(_DebAmort),MONTH(_DebAmort)+(Z203-1)*_Imois,_Jour1),DATE(YEAR(_DebAmort),MONTH(_DebAmort)+1+(Z203-1)*_Imois,0)),DATE(YEAR(_DebAmort),MONTH(_DebAmort),_Jour1+(Z203-1)*_Ijour)))</f>
        <v>45778</v>
      </c>
      <c r="AD203" s="156">
        <f t="shared" si="42"/>
        <v>145435.5100000001</v>
      </c>
      <c r="AE203" s="153">
        <f>IF(Z203&lt;=_NoEchMaxi,ROUND(AD203*'Données Projet 1'!A212,_NbDeci),0)</f>
        <v>225.43</v>
      </c>
      <c r="AF203" s="152">
        <f>IF(OR(Z203&lt;=_Différé,Z203&gt;_NoEchMaxi),IF(_DiffTotal,-AE203,0),IF(Z203&gt;=_NoEchRemb,AD203,IF('Données Projet 1'!B212-(AE203*_EchFIXE)&gt;AD203-2,AD203,'Données Projet 1'!B212-(AE203*_EchFIXE))))+U203</f>
        <v>543.54999999999995</v>
      </c>
      <c r="AG203" s="154">
        <f t="shared" si="43"/>
        <v>19.77</v>
      </c>
      <c r="AH203" s="157">
        <f t="shared" si="37"/>
        <v>788.75</v>
      </c>
      <c r="AI203"/>
      <c r="AJ203" s="3"/>
      <c r="AK203" s="164"/>
      <c r="AL203" s="22"/>
      <c r="AM203" s="21"/>
      <c r="AN203" s="23"/>
      <c r="AO203" s="10"/>
      <c r="AP203" s="5" t="str">
        <f t="shared" si="44"/>
        <v/>
      </c>
      <c r="AQ203" s="7" t="str">
        <f t="shared" si="45"/>
        <v/>
      </c>
      <c r="AR203" s="8" t="str">
        <f t="shared" si="38"/>
        <v/>
      </c>
      <c r="AS203" s="31" t="str">
        <f>IF(AT203=0,"",IF(_Ijour1=0,MIN(DATE(YEAR(_DebAmort1),MONTH(_DebAmort1)+(AP203-1)*_Imois1,__Jou1),DATE(YEAR(_DebAmort1),MONTH(_DebAmort1)+1+(AP203-1)*_Imois1,0)),DATE(YEAR(_DebAmort1),MONTH(_DebAmort1),__Jou1+(AP203-1)*_Ijour1)))</f>
        <v/>
      </c>
      <c r="AT203" s="156">
        <f t="shared" si="46"/>
        <v>0</v>
      </c>
      <c r="AU203" s="153">
        <f>IF(AP203&lt;=_NoEchMaxi1,ROUND(AT203*'Données Projet 1'!H212,_NbDeci1),0)</f>
        <v>0</v>
      </c>
      <c r="AV203" s="152">
        <f>IF(OR(AP203&lt;=_Différé1,AP203&gt;_NoEchMaxi1),IF(_DiffTotal1,-AU203,0),IF(AP203&gt;=_NoEchRemb1,AT203,IF('Données Projet 1'!I212-(AU203*_EchFIXE1)&gt;AT203-2,AT203,'Données Projet 1'!I212-(AU203*_EchFIXE1))))+AK203</f>
        <v>0</v>
      </c>
      <c r="AW203" s="154">
        <f t="shared" si="47"/>
        <v>0</v>
      </c>
      <c r="AX203" s="157">
        <f t="shared" si="39"/>
        <v>0</v>
      </c>
    </row>
    <row r="204" spans="20:50" ht="15.75" customHeight="1" x14ac:dyDescent="0.3">
      <c r="T204" s="3"/>
      <c r="U204" s="164"/>
      <c r="V204" s="22"/>
      <c r="W204" s="21"/>
      <c r="X204" s="23"/>
      <c r="Y204" s="10"/>
      <c r="Z204" s="5">
        <f t="shared" si="40"/>
        <v>198</v>
      </c>
      <c r="AA204" s="7">
        <f t="shared" si="41"/>
        <v>223</v>
      </c>
      <c r="AB204" s="8">
        <f t="shared" si="36"/>
        <v>2025</v>
      </c>
      <c r="AC204" s="31">
        <f>IF(AD204=0,"",IF(_Ijour=0,MIN(DATE(YEAR(_DebAmort),MONTH(_DebAmort)+_MoisD+(Z204-1)*_Imois,_Jour2),DATE(YEAR(_DebAmort),MONTH(_DebAmort)+_MoisD+1+(Z204-1)*_Imois,0)),DATE(YEAR(_DebAmort),MONTH(_DebAmort),_Jour1+(Z204-1)*_Ijour)))</f>
        <v>45809</v>
      </c>
      <c r="AD204" s="156">
        <f t="shared" si="42"/>
        <v>144891.96000000011</v>
      </c>
      <c r="AE204" s="153">
        <f>IF(Z204&lt;=_NoEchMaxi,ROUND(AD204*'Données Projet 1'!A213,_NbDeci),0)</f>
        <v>224.58</v>
      </c>
      <c r="AF204" s="152">
        <f>IF(OR(Z204&lt;=_Différé,Z204&gt;_NoEchMaxi),IF(_DiffTotal,-AE204,0),IF(Z204&gt;=_NoEchRemb,AD204,IF('Données Projet 1'!B213-(AE204*_EchFIXE)&gt;AD204-2,AD204,'Données Projet 1'!B213-(AE204*_EchFIXE))))+U204</f>
        <v>544.4</v>
      </c>
      <c r="AG204" s="154">
        <f t="shared" si="43"/>
        <v>19.77</v>
      </c>
      <c r="AH204" s="157">
        <f t="shared" si="37"/>
        <v>788.75</v>
      </c>
      <c r="AI204"/>
      <c r="AJ204" s="3"/>
      <c r="AK204" s="164"/>
      <c r="AL204" s="22"/>
      <c r="AM204" s="21"/>
      <c r="AN204" s="23"/>
      <c r="AO204" s="10"/>
      <c r="AP204" s="5" t="str">
        <f t="shared" si="44"/>
        <v/>
      </c>
      <c r="AQ204" s="7" t="str">
        <f t="shared" si="45"/>
        <v/>
      </c>
      <c r="AR204" s="8" t="str">
        <f t="shared" si="38"/>
        <v/>
      </c>
      <c r="AS204" s="31" t="str">
        <f>IF(AT204=0,"",IF(_Ijour1=0,MIN(DATE(YEAR(_DebAmort1),MONTH(_DebAmort1)+_MoisD1+(AP204-1)*_Imois1,__Jou2),DATE(YEAR(_DebAmort1),MONTH(_DebAmort1)+_MoisD1+1+(AP204-1)*_Imois1,0)),DATE(YEAR(_DebAmort1),MONTH(_DebAmort1),__Jou1+(AP204-1)*_Ijour1)))</f>
        <v/>
      </c>
      <c r="AT204" s="156">
        <f t="shared" si="46"/>
        <v>0</v>
      </c>
      <c r="AU204" s="153">
        <f>IF(AP204&lt;=_NoEchMaxi1,ROUND(AT204*'Données Projet 1'!H213,_NbDeci1),0)</f>
        <v>0</v>
      </c>
      <c r="AV204" s="152">
        <f>IF(OR(AP204&lt;=_Différé1,AP204&gt;_NoEchMaxi1),IF(_DiffTotal1,-AU204,0),IF(AP204&gt;=_NoEchRemb1,AT204,IF('Données Projet 1'!I213-(AU204*_EchFIXE1)&gt;AT204-2,AT204,'Données Projet 1'!I213-(AU204*_EchFIXE1))))+AK204</f>
        <v>0</v>
      </c>
      <c r="AW204" s="154">
        <f t="shared" si="47"/>
        <v>0</v>
      </c>
      <c r="AX204" s="157">
        <f t="shared" si="39"/>
        <v>0</v>
      </c>
    </row>
    <row r="205" spans="20:50" ht="15.75" customHeight="1" x14ac:dyDescent="0.3">
      <c r="T205" s="3"/>
      <c r="U205" s="164"/>
      <c r="V205" s="22"/>
      <c r="W205" s="21"/>
      <c r="X205" s="23"/>
      <c r="Y205" s="10"/>
      <c r="Z205" s="5">
        <f t="shared" si="40"/>
        <v>199</v>
      </c>
      <c r="AA205" s="7">
        <f t="shared" si="41"/>
        <v>222</v>
      </c>
      <c r="AB205" s="8">
        <f t="shared" si="36"/>
        <v>2025</v>
      </c>
      <c r="AC205" s="31">
        <f>IF(AD205=0,"",IF(_Ijour=0,MIN(DATE(YEAR(_DebAmort),MONTH(_DebAmort)+(Z205-1)*_Imois,_Jour1),DATE(YEAR(_DebAmort),MONTH(_DebAmort)+1+(Z205-1)*_Imois,0)),DATE(YEAR(_DebAmort),MONTH(_DebAmort),_Jour1+(Z205-1)*_Ijour)))</f>
        <v>45839</v>
      </c>
      <c r="AD205" s="156">
        <f t="shared" si="42"/>
        <v>144347.56000000011</v>
      </c>
      <c r="AE205" s="153">
        <f>IF(Z205&lt;=_NoEchMaxi,ROUND(AD205*'Données Projet 1'!A214,_NbDeci),0)</f>
        <v>223.74</v>
      </c>
      <c r="AF205" s="152">
        <f>IF(OR(Z205&lt;=_Différé,Z205&gt;_NoEchMaxi),IF(_DiffTotal,-AE205,0),IF(Z205&gt;=_NoEchRemb,AD205,IF('Données Projet 1'!B214-(AE205*_EchFIXE)&gt;AD205-2,AD205,'Données Projet 1'!B214-(AE205*_EchFIXE))))+U205</f>
        <v>545.24</v>
      </c>
      <c r="AG205" s="154">
        <f t="shared" si="43"/>
        <v>19.77</v>
      </c>
      <c r="AH205" s="157">
        <f t="shared" si="37"/>
        <v>788.75</v>
      </c>
      <c r="AI205"/>
      <c r="AJ205" s="3"/>
      <c r="AK205" s="164"/>
      <c r="AL205" s="22"/>
      <c r="AM205" s="21"/>
      <c r="AN205" s="23"/>
      <c r="AO205" s="10"/>
      <c r="AP205" s="5" t="str">
        <f t="shared" si="44"/>
        <v/>
      </c>
      <c r="AQ205" s="7" t="str">
        <f t="shared" si="45"/>
        <v/>
      </c>
      <c r="AR205" s="8" t="str">
        <f t="shared" si="38"/>
        <v/>
      </c>
      <c r="AS205" s="31" t="str">
        <f>IF(AT205=0,"",IF(_Ijour1=0,MIN(DATE(YEAR(_DebAmort1),MONTH(_DebAmort1)+(AP205-1)*_Imois1,__Jou1),DATE(YEAR(_DebAmort1),MONTH(_DebAmort1)+1+(AP205-1)*_Imois1,0)),DATE(YEAR(_DebAmort1),MONTH(_DebAmort1),__Jou1+(AP205-1)*_Ijour1)))</f>
        <v/>
      </c>
      <c r="AT205" s="156">
        <f t="shared" si="46"/>
        <v>0</v>
      </c>
      <c r="AU205" s="153">
        <f>IF(AP205&lt;=_NoEchMaxi1,ROUND(AT205*'Données Projet 1'!H214,_NbDeci1),0)</f>
        <v>0</v>
      </c>
      <c r="AV205" s="152">
        <f>IF(OR(AP205&lt;=_Différé1,AP205&gt;_NoEchMaxi1),IF(_DiffTotal1,-AU205,0),IF(AP205&gt;=_NoEchRemb1,AT205,IF('Données Projet 1'!I214-(AU205*_EchFIXE1)&gt;AT205-2,AT205,'Données Projet 1'!I214-(AU205*_EchFIXE1))))+AK205</f>
        <v>0</v>
      </c>
      <c r="AW205" s="154">
        <f t="shared" si="47"/>
        <v>0</v>
      </c>
      <c r="AX205" s="157">
        <f t="shared" si="39"/>
        <v>0</v>
      </c>
    </row>
    <row r="206" spans="20:50" ht="15.75" customHeight="1" x14ac:dyDescent="0.3">
      <c r="T206" s="3"/>
      <c r="U206" s="164"/>
      <c r="V206" s="22"/>
      <c r="W206" s="21"/>
      <c r="X206" s="23"/>
      <c r="Y206" s="10"/>
      <c r="Z206" s="5">
        <f t="shared" si="40"/>
        <v>200</v>
      </c>
      <c r="AA206" s="7">
        <f t="shared" si="41"/>
        <v>221</v>
      </c>
      <c r="AB206" s="8">
        <f t="shared" si="36"/>
        <v>2025</v>
      </c>
      <c r="AC206" s="31">
        <f>IF(AD206=0,"",IF(_Ijour=0,MIN(DATE(YEAR(_DebAmort),MONTH(_DebAmort)+_MoisD+(Z206-1)*_Imois,_Jour2),DATE(YEAR(_DebAmort),MONTH(_DebAmort)+_MoisD+1+(Z206-1)*_Imois,0)),DATE(YEAR(_DebAmort),MONTH(_DebAmort),_Jour1+(Z206-1)*_Ijour)))</f>
        <v>45870</v>
      </c>
      <c r="AD206" s="156">
        <f t="shared" si="42"/>
        <v>143802.32000000012</v>
      </c>
      <c r="AE206" s="153">
        <f>IF(Z206&lt;=_NoEchMaxi,ROUND(AD206*'Données Projet 1'!A215,_NbDeci),0)</f>
        <v>222.89</v>
      </c>
      <c r="AF206" s="152">
        <f>IF(OR(Z206&lt;=_Différé,Z206&gt;_NoEchMaxi),IF(_DiffTotal,-AE206,0),IF(Z206&gt;=_NoEchRemb,AD206,IF('Données Projet 1'!B215-(AE206*_EchFIXE)&gt;AD206-2,AD206,'Données Projet 1'!B215-(AE206*_EchFIXE))))+U206</f>
        <v>546.09</v>
      </c>
      <c r="AG206" s="154">
        <f t="shared" si="43"/>
        <v>19.77</v>
      </c>
      <c r="AH206" s="157">
        <f t="shared" si="37"/>
        <v>788.75</v>
      </c>
      <c r="AI206"/>
      <c r="AJ206" s="3"/>
      <c r="AK206" s="164"/>
      <c r="AL206" s="22"/>
      <c r="AM206" s="21"/>
      <c r="AN206" s="23"/>
      <c r="AO206" s="10"/>
      <c r="AP206" s="5" t="str">
        <f t="shared" si="44"/>
        <v/>
      </c>
      <c r="AQ206" s="7" t="str">
        <f t="shared" si="45"/>
        <v/>
      </c>
      <c r="AR206" s="8" t="str">
        <f t="shared" si="38"/>
        <v/>
      </c>
      <c r="AS206" s="31" t="str">
        <f>IF(AT206=0,"",IF(_Ijour1=0,MIN(DATE(YEAR(_DebAmort1),MONTH(_DebAmort1)+_MoisD1+(AP206-1)*_Imois1,__Jou2),DATE(YEAR(_DebAmort1),MONTH(_DebAmort1)+_MoisD1+1+(AP206-1)*_Imois1,0)),DATE(YEAR(_DebAmort1),MONTH(_DebAmort1),__Jou1+(AP206-1)*_Ijour1)))</f>
        <v/>
      </c>
      <c r="AT206" s="156">
        <f t="shared" si="46"/>
        <v>0</v>
      </c>
      <c r="AU206" s="153">
        <f>IF(AP206&lt;=_NoEchMaxi1,ROUND(AT206*'Données Projet 1'!H215,_NbDeci1),0)</f>
        <v>0</v>
      </c>
      <c r="AV206" s="152">
        <f>IF(OR(AP206&lt;=_Différé1,AP206&gt;_NoEchMaxi1),IF(_DiffTotal1,-AU206,0),IF(AP206&gt;=_NoEchRemb1,AT206,IF('Données Projet 1'!I215-(AU206*_EchFIXE1)&gt;AT206-2,AT206,'Données Projet 1'!I215-(AU206*_EchFIXE1))))+AK206</f>
        <v>0</v>
      </c>
      <c r="AW206" s="154">
        <f t="shared" si="47"/>
        <v>0</v>
      </c>
      <c r="AX206" s="157">
        <f t="shared" si="39"/>
        <v>0</v>
      </c>
    </row>
    <row r="207" spans="20:50" ht="15.75" customHeight="1" x14ac:dyDescent="0.3">
      <c r="T207" s="3"/>
      <c r="U207" s="164"/>
      <c r="V207" s="22"/>
      <c r="W207" s="21"/>
      <c r="X207" s="23"/>
      <c r="Y207" s="10"/>
      <c r="Z207" s="5">
        <f t="shared" si="40"/>
        <v>201</v>
      </c>
      <c r="AA207" s="7">
        <f t="shared" si="41"/>
        <v>220</v>
      </c>
      <c r="AB207" s="8">
        <f t="shared" si="36"/>
        <v>2025</v>
      </c>
      <c r="AC207" s="31">
        <f>IF(AD207=0,"",IF(_Ijour=0,MIN(DATE(YEAR(_DebAmort),MONTH(_DebAmort)+(Z207-1)*_Imois,_Jour1),DATE(YEAR(_DebAmort),MONTH(_DebAmort)+1+(Z207-1)*_Imois,0)),DATE(YEAR(_DebAmort),MONTH(_DebAmort),_Jour1+(Z207-1)*_Ijour)))</f>
        <v>45901</v>
      </c>
      <c r="AD207" s="156">
        <f t="shared" si="42"/>
        <v>143256.23000000013</v>
      </c>
      <c r="AE207" s="153">
        <f>IF(Z207&lt;=_NoEchMaxi,ROUND(AD207*'Données Projet 1'!A216,_NbDeci),0)</f>
        <v>222.05</v>
      </c>
      <c r="AF207" s="152">
        <f>IF(OR(Z207&lt;=_Différé,Z207&gt;_NoEchMaxi),IF(_DiffTotal,-AE207,0),IF(Z207&gt;=_NoEchRemb,AD207,IF('Données Projet 1'!B216-(AE207*_EchFIXE)&gt;AD207-2,AD207,'Données Projet 1'!B216-(AE207*_EchFIXE))))+U207</f>
        <v>546.93000000000006</v>
      </c>
      <c r="AG207" s="154">
        <f t="shared" si="43"/>
        <v>19.77</v>
      </c>
      <c r="AH207" s="157">
        <f t="shared" si="37"/>
        <v>788.75</v>
      </c>
      <c r="AI207"/>
      <c r="AJ207" s="3"/>
      <c r="AK207" s="164"/>
      <c r="AL207" s="22"/>
      <c r="AM207" s="21"/>
      <c r="AN207" s="23"/>
      <c r="AO207" s="10"/>
      <c r="AP207" s="5" t="str">
        <f t="shared" si="44"/>
        <v/>
      </c>
      <c r="AQ207" s="7" t="str">
        <f t="shared" si="45"/>
        <v/>
      </c>
      <c r="AR207" s="8" t="str">
        <f t="shared" si="38"/>
        <v/>
      </c>
      <c r="AS207" s="31" t="str">
        <f>IF(AT207=0,"",IF(_Ijour1=0,MIN(DATE(YEAR(_DebAmort1),MONTH(_DebAmort1)+(AP207-1)*_Imois1,__Jou1),DATE(YEAR(_DebAmort1),MONTH(_DebAmort1)+1+(AP207-1)*_Imois1,0)),DATE(YEAR(_DebAmort1),MONTH(_DebAmort1),__Jou1+(AP207-1)*_Ijour1)))</f>
        <v/>
      </c>
      <c r="AT207" s="156">
        <f t="shared" si="46"/>
        <v>0</v>
      </c>
      <c r="AU207" s="153">
        <f>IF(AP207&lt;=_NoEchMaxi1,ROUND(AT207*'Données Projet 1'!H216,_NbDeci1),0)</f>
        <v>0</v>
      </c>
      <c r="AV207" s="152">
        <f>IF(OR(AP207&lt;=_Différé1,AP207&gt;_NoEchMaxi1),IF(_DiffTotal1,-AU207,0),IF(AP207&gt;=_NoEchRemb1,AT207,IF('Données Projet 1'!I216-(AU207*_EchFIXE1)&gt;AT207-2,AT207,'Données Projet 1'!I216-(AU207*_EchFIXE1))))+AK207</f>
        <v>0</v>
      </c>
      <c r="AW207" s="154">
        <f t="shared" si="47"/>
        <v>0</v>
      </c>
      <c r="AX207" s="157">
        <f t="shared" si="39"/>
        <v>0</v>
      </c>
    </row>
    <row r="208" spans="20:50" ht="15.75" customHeight="1" x14ac:dyDescent="0.3">
      <c r="T208" s="3"/>
      <c r="U208" s="164"/>
      <c r="V208" s="22"/>
      <c r="W208" s="21"/>
      <c r="X208" s="23"/>
      <c r="Y208" s="10"/>
      <c r="Z208" s="5">
        <f t="shared" si="40"/>
        <v>202</v>
      </c>
      <c r="AA208" s="7">
        <f t="shared" si="41"/>
        <v>219</v>
      </c>
      <c r="AB208" s="8">
        <f t="shared" si="36"/>
        <v>2025</v>
      </c>
      <c r="AC208" s="31">
        <f>IF(AD208=0,"",IF(_Ijour=0,MIN(DATE(YEAR(_DebAmort),MONTH(_DebAmort)+_MoisD+(Z208-1)*_Imois,_Jour2),DATE(YEAR(_DebAmort),MONTH(_DebAmort)+_MoisD+1+(Z208-1)*_Imois,0)),DATE(YEAR(_DebAmort),MONTH(_DebAmort),_Jour1+(Z208-1)*_Ijour)))</f>
        <v>45931</v>
      </c>
      <c r="AD208" s="156">
        <f t="shared" si="42"/>
        <v>142709.30000000013</v>
      </c>
      <c r="AE208" s="153">
        <f>IF(Z208&lt;=_NoEchMaxi,ROUND(AD208*'Données Projet 1'!A217,_NbDeci),0)</f>
        <v>221.2</v>
      </c>
      <c r="AF208" s="152">
        <f>IF(OR(Z208&lt;=_Différé,Z208&gt;_NoEchMaxi),IF(_DiffTotal,-AE208,0),IF(Z208&gt;=_NoEchRemb,AD208,IF('Données Projet 1'!B217-(AE208*_EchFIXE)&gt;AD208-2,AD208,'Données Projet 1'!B217-(AE208*_EchFIXE))))+U208</f>
        <v>547.78</v>
      </c>
      <c r="AG208" s="154">
        <f t="shared" si="43"/>
        <v>19.77</v>
      </c>
      <c r="AH208" s="157">
        <f t="shared" si="37"/>
        <v>788.75</v>
      </c>
      <c r="AI208"/>
      <c r="AJ208" s="3"/>
      <c r="AK208" s="164"/>
      <c r="AL208" s="22"/>
      <c r="AM208" s="21"/>
      <c r="AN208" s="23"/>
      <c r="AO208" s="10"/>
      <c r="AP208" s="5" t="str">
        <f t="shared" si="44"/>
        <v/>
      </c>
      <c r="AQ208" s="7" t="str">
        <f t="shared" si="45"/>
        <v/>
      </c>
      <c r="AR208" s="8" t="str">
        <f t="shared" si="38"/>
        <v/>
      </c>
      <c r="AS208" s="31" t="str">
        <f>IF(AT208=0,"",IF(_Ijour1=0,MIN(DATE(YEAR(_DebAmort1),MONTH(_DebAmort1)+_MoisD1+(AP208-1)*_Imois1,__Jou2),DATE(YEAR(_DebAmort1),MONTH(_DebAmort1)+_MoisD1+1+(AP208-1)*_Imois1,0)),DATE(YEAR(_DebAmort1),MONTH(_DebAmort1),__Jou1+(AP208-1)*_Ijour1)))</f>
        <v/>
      </c>
      <c r="AT208" s="156">
        <f t="shared" si="46"/>
        <v>0</v>
      </c>
      <c r="AU208" s="153">
        <f>IF(AP208&lt;=_NoEchMaxi1,ROUND(AT208*'Données Projet 1'!H217,_NbDeci1),0)</f>
        <v>0</v>
      </c>
      <c r="AV208" s="152">
        <f>IF(OR(AP208&lt;=_Différé1,AP208&gt;_NoEchMaxi1),IF(_DiffTotal1,-AU208,0),IF(AP208&gt;=_NoEchRemb1,AT208,IF('Données Projet 1'!I217-(AU208*_EchFIXE1)&gt;AT208-2,AT208,'Données Projet 1'!I217-(AU208*_EchFIXE1))))+AK208</f>
        <v>0</v>
      </c>
      <c r="AW208" s="154">
        <f t="shared" si="47"/>
        <v>0</v>
      </c>
      <c r="AX208" s="157">
        <f t="shared" si="39"/>
        <v>0</v>
      </c>
    </row>
    <row r="209" spans="20:50" ht="15.75" customHeight="1" x14ac:dyDescent="0.3">
      <c r="T209" s="3"/>
      <c r="U209" s="164"/>
      <c r="V209" s="22"/>
      <c r="W209" s="21"/>
      <c r="X209" s="23"/>
      <c r="Y209" s="10"/>
      <c r="Z209" s="5">
        <f t="shared" si="40"/>
        <v>203</v>
      </c>
      <c r="AA209" s="7">
        <f t="shared" si="41"/>
        <v>218</v>
      </c>
      <c r="AB209" s="8">
        <f t="shared" si="36"/>
        <v>2025</v>
      </c>
      <c r="AC209" s="31">
        <f>IF(AD209=0,"",IF(_Ijour=0,MIN(DATE(YEAR(_DebAmort),MONTH(_DebAmort)+(Z209-1)*_Imois,_Jour1),DATE(YEAR(_DebAmort),MONTH(_DebAmort)+1+(Z209-1)*_Imois,0)),DATE(YEAR(_DebAmort),MONTH(_DebAmort),_Jour1+(Z209-1)*_Ijour)))</f>
        <v>45962</v>
      </c>
      <c r="AD209" s="156">
        <f t="shared" si="42"/>
        <v>142161.52000000014</v>
      </c>
      <c r="AE209" s="153">
        <f>IF(Z209&lt;=_NoEchMaxi,ROUND(AD209*'Données Projet 1'!A218,_NbDeci),0)</f>
        <v>220.35</v>
      </c>
      <c r="AF209" s="152">
        <f>IF(OR(Z209&lt;=_Différé,Z209&gt;_NoEchMaxi),IF(_DiffTotal,-AE209,0),IF(Z209&gt;=_NoEchRemb,AD209,IF('Données Projet 1'!B218-(AE209*_EchFIXE)&gt;AD209-2,AD209,'Données Projet 1'!B218-(AE209*_EchFIXE))))+U209</f>
        <v>548.63</v>
      </c>
      <c r="AG209" s="154">
        <f t="shared" si="43"/>
        <v>19.77</v>
      </c>
      <c r="AH209" s="157">
        <f t="shared" si="37"/>
        <v>788.75</v>
      </c>
      <c r="AI209"/>
      <c r="AJ209" s="3"/>
      <c r="AK209" s="164"/>
      <c r="AL209" s="22"/>
      <c r="AM209" s="21"/>
      <c r="AN209" s="23"/>
      <c r="AO209" s="10"/>
      <c r="AP209" s="5" t="str">
        <f t="shared" si="44"/>
        <v/>
      </c>
      <c r="AQ209" s="7" t="str">
        <f t="shared" si="45"/>
        <v/>
      </c>
      <c r="AR209" s="8" t="str">
        <f t="shared" si="38"/>
        <v/>
      </c>
      <c r="AS209" s="31" t="str">
        <f>IF(AT209=0,"",IF(_Ijour1=0,MIN(DATE(YEAR(_DebAmort1),MONTH(_DebAmort1)+(AP209-1)*_Imois1,__Jou1),DATE(YEAR(_DebAmort1),MONTH(_DebAmort1)+1+(AP209-1)*_Imois1,0)),DATE(YEAR(_DebAmort1),MONTH(_DebAmort1),__Jou1+(AP209-1)*_Ijour1)))</f>
        <v/>
      </c>
      <c r="AT209" s="156">
        <f t="shared" si="46"/>
        <v>0</v>
      </c>
      <c r="AU209" s="153">
        <f>IF(AP209&lt;=_NoEchMaxi1,ROUND(AT209*'Données Projet 1'!H218,_NbDeci1),0)</f>
        <v>0</v>
      </c>
      <c r="AV209" s="152">
        <f>IF(OR(AP209&lt;=_Différé1,AP209&gt;_NoEchMaxi1),IF(_DiffTotal1,-AU209,0),IF(AP209&gt;=_NoEchRemb1,AT209,IF('Données Projet 1'!I218-(AU209*_EchFIXE1)&gt;AT209-2,AT209,'Données Projet 1'!I218-(AU209*_EchFIXE1))))+AK209</f>
        <v>0</v>
      </c>
      <c r="AW209" s="154">
        <f t="shared" si="47"/>
        <v>0</v>
      </c>
      <c r="AX209" s="157">
        <f t="shared" si="39"/>
        <v>0</v>
      </c>
    </row>
    <row r="210" spans="20:50" ht="15.75" customHeight="1" x14ac:dyDescent="0.3">
      <c r="T210" s="3"/>
      <c r="U210" s="164"/>
      <c r="V210" s="22"/>
      <c r="W210" s="21"/>
      <c r="X210" s="23"/>
      <c r="Y210" s="10"/>
      <c r="Z210" s="5">
        <f t="shared" si="40"/>
        <v>204</v>
      </c>
      <c r="AA210" s="7">
        <f t="shared" si="41"/>
        <v>217</v>
      </c>
      <c r="AB210" s="8">
        <f t="shared" si="36"/>
        <v>2025</v>
      </c>
      <c r="AC210" s="31">
        <f>IF(AD210=0,"",IF(_Ijour=0,MIN(DATE(YEAR(_DebAmort),MONTH(_DebAmort)+_MoisD+(Z210-1)*_Imois,_Jour2),DATE(YEAR(_DebAmort),MONTH(_DebAmort)+_MoisD+1+(Z210-1)*_Imois,0)),DATE(YEAR(_DebAmort),MONTH(_DebAmort),_Jour1+(Z210-1)*_Ijour)))</f>
        <v>45992</v>
      </c>
      <c r="AD210" s="156">
        <f t="shared" si="42"/>
        <v>141612.89000000013</v>
      </c>
      <c r="AE210" s="153">
        <f>IF(Z210&lt;=_NoEchMaxi,ROUND(AD210*'Données Projet 1'!A219,_NbDeci),0)</f>
        <v>219.5</v>
      </c>
      <c r="AF210" s="152">
        <f>IF(OR(Z210&lt;=_Différé,Z210&gt;_NoEchMaxi),IF(_DiffTotal,-AE210,0),IF(Z210&gt;=_NoEchRemb,AD210,IF('Données Projet 1'!B219-(AE210*_EchFIXE)&gt;AD210-2,AD210,'Données Projet 1'!B219-(AE210*_EchFIXE))))+U210</f>
        <v>549.48</v>
      </c>
      <c r="AG210" s="154">
        <f t="shared" si="43"/>
        <v>19.77</v>
      </c>
      <c r="AH210" s="157">
        <f t="shared" si="37"/>
        <v>788.75</v>
      </c>
      <c r="AI210"/>
      <c r="AJ210" s="3"/>
      <c r="AK210" s="164"/>
      <c r="AL210" s="22"/>
      <c r="AM210" s="21"/>
      <c r="AN210" s="23"/>
      <c r="AO210" s="10"/>
      <c r="AP210" s="5" t="str">
        <f t="shared" si="44"/>
        <v/>
      </c>
      <c r="AQ210" s="7" t="str">
        <f t="shared" si="45"/>
        <v/>
      </c>
      <c r="AR210" s="8" t="str">
        <f t="shared" si="38"/>
        <v/>
      </c>
      <c r="AS210" s="31" t="str">
        <f>IF(AT210=0,"",IF(_Ijour1=0,MIN(DATE(YEAR(_DebAmort1),MONTH(_DebAmort1)+_MoisD1+(AP210-1)*_Imois1,__Jou2),DATE(YEAR(_DebAmort1),MONTH(_DebAmort1)+_MoisD1+1+(AP210-1)*_Imois1,0)),DATE(YEAR(_DebAmort1),MONTH(_DebAmort1),__Jou1+(AP210-1)*_Ijour1)))</f>
        <v/>
      </c>
      <c r="AT210" s="156">
        <f t="shared" si="46"/>
        <v>0</v>
      </c>
      <c r="AU210" s="153">
        <f>IF(AP210&lt;=_NoEchMaxi1,ROUND(AT210*'Données Projet 1'!H219,_NbDeci1),0)</f>
        <v>0</v>
      </c>
      <c r="AV210" s="152">
        <f>IF(OR(AP210&lt;=_Différé1,AP210&gt;_NoEchMaxi1),IF(_DiffTotal1,-AU210,0),IF(AP210&gt;=_NoEchRemb1,AT210,IF('Données Projet 1'!I219-(AU210*_EchFIXE1)&gt;AT210-2,AT210,'Données Projet 1'!I219-(AU210*_EchFIXE1))))+AK210</f>
        <v>0</v>
      </c>
      <c r="AW210" s="154">
        <f t="shared" si="47"/>
        <v>0</v>
      </c>
      <c r="AX210" s="157">
        <f t="shared" si="39"/>
        <v>0</v>
      </c>
    </row>
    <row r="211" spans="20:50" ht="15.75" customHeight="1" x14ac:dyDescent="0.3">
      <c r="T211" s="3"/>
      <c r="U211" s="164"/>
      <c r="V211" s="22"/>
      <c r="W211" s="21"/>
      <c r="X211" s="23"/>
      <c r="Y211" s="10"/>
      <c r="Z211" s="5">
        <f t="shared" si="40"/>
        <v>205</v>
      </c>
      <c r="AA211" s="7">
        <f t="shared" si="41"/>
        <v>216</v>
      </c>
      <c r="AB211" s="8">
        <f t="shared" si="36"/>
        <v>2026</v>
      </c>
      <c r="AC211" s="31">
        <f>IF(AD211=0,"",IF(_Ijour=0,MIN(DATE(YEAR(_DebAmort),MONTH(_DebAmort)+(Z211-1)*_Imois,_Jour1),DATE(YEAR(_DebAmort),MONTH(_DebAmort)+1+(Z211-1)*_Imois,0)),DATE(YEAR(_DebAmort),MONTH(_DebAmort),_Jour1+(Z211-1)*_Ijour)))</f>
        <v>46023</v>
      </c>
      <c r="AD211" s="156">
        <f t="shared" si="42"/>
        <v>141063.41000000012</v>
      </c>
      <c r="AE211" s="153">
        <f>IF(Z211&lt;=_NoEchMaxi,ROUND(AD211*'Données Projet 1'!A220,_NbDeci),0)</f>
        <v>218.65</v>
      </c>
      <c r="AF211" s="152">
        <f>IF(OR(Z211&lt;=_Différé,Z211&gt;_NoEchMaxi),IF(_DiffTotal,-AE211,0),IF(Z211&gt;=_NoEchRemb,AD211,IF('Données Projet 1'!B220-(AE211*_EchFIXE)&gt;AD211-2,AD211,'Données Projet 1'!B220-(AE211*_EchFIXE))))+U211</f>
        <v>550.33000000000004</v>
      </c>
      <c r="AG211" s="154">
        <f t="shared" si="43"/>
        <v>19.77</v>
      </c>
      <c r="AH211" s="157">
        <f t="shared" si="37"/>
        <v>788.75</v>
      </c>
      <c r="AI211"/>
      <c r="AJ211" s="3"/>
      <c r="AK211" s="164"/>
      <c r="AL211" s="22"/>
      <c r="AM211" s="21"/>
      <c r="AN211" s="23"/>
      <c r="AO211" s="10"/>
      <c r="AP211" s="5" t="str">
        <f t="shared" si="44"/>
        <v/>
      </c>
      <c r="AQ211" s="7" t="str">
        <f t="shared" si="45"/>
        <v/>
      </c>
      <c r="AR211" s="8" t="str">
        <f t="shared" si="38"/>
        <v/>
      </c>
      <c r="AS211" s="31" t="str">
        <f>IF(AT211=0,"",IF(_Ijour1=0,MIN(DATE(YEAR(_DebAmort1),MONTH(_DebAmort1)+(AP211-1)*_Imois1,__Jou1),DATE(YEAR(_DebAmort1),MONTH(_DebAmort1)+1+(AP211-1)*_Imois1,0)),DATE(YEAR(_DebAmort1),MONTH(_DebAmort1),__Jou1+(AP211-1)*_Ijour1)))</f>
        <v/>
      </c>
      <c r="AT211" s="156">
        <f t="shared" si="46"/>
        <v>0</v>
      </c>
      <c r="AU211" s="153">
        <f>IF(AP211&lt;=_NoEchMaxi1,ROUND(AT211*'Données Projet 1'!H220,_NbDeci1),0)</f>
        <v>0</v>
      </c>
      <c r="AV211" s="152">
        <f>IF(OR(AP211&lt;=_Différé1,AP211&gt;_NoEchMaxi1),IF(_DiffTotal1,-AU211,0),IF(AP211&gt;=_NoEchRemb1,AT211,IF('Données Projet 1'!I220-(AU211*_EchFIXE1)&gt;AT211-2,AT211,'Données Projet 1'!I220-(AU211*_EchFIXE1))))+AK211</f>
        <v>0</v>
      </c>
      <c r="AW211" s="154">
        <f t="shared" si="47"/>
        <v>0</v>
      </c>
      <c r="AX211" s="157">
        <f t="shared" si="39"/>
        <v>0</v>
      </c>
    </row>
    <row r="212" spans="20:50" ht="15.75" customHeight="1" x14ac:dyDescent="0.3">
      <c r="T212" s="3"/>
      <c r="U212" s="164"/>
      <c r="V212" s="22"/>
      <c r="W212" s="21"/>
      <c r="X212" s="23"/>
      <c r="Y212" s="10"/>
      <c r="Z212" s="5">
        <f t="shared" si="40"/>
        <v>206</v>
      </c>
      <c r="AA212" s="7">
        <f t="shared" si="41"/>
        <v>215</v>
      </c>
      <c r="AB212" s="8">
        <f t="shared" si="36"/>
        <v>2026</v>
      </c>
      <c r="AC212" s="31">
        <f>IF(AD212=0,"",IF(_Ijour=0,MIN(DATE(YEAR(_DebAmort),MONTH(_DebAmort)+_MoisD+(Z212-1)*_Imois,_Jour2),DATE(YEAR(_DebAmort),MONTH(_DebAmort)+_MoisD+1+(Z212-1)*_Imois,0)),DATE(YEAR(_DebAmort),MONTH(_DebAmort),_Jour1+(Z212-1)*_Ijour)))</f>
        <v>46054</v>
      </c>
      <c r="AD212" s="156">
        <f t="shared" si="42"/>
        <v>140513.08000000013</v>
      </c>
      <c r="AE212" s="153">
        <f>IF(Z212&lt;=_NoEchMaxi,ROUND(AD212*'Données Projet 1'!A221,_NbDeci),0)</f>
        <v>217.8</v>
      </c>
      <c r="AF212" s="152">
        <f>IF(OR(Z212&lt;=_Différé,Z212&gt;_NoEchMaxi),IF(_DiffTotal,-AE212,0),IF(Z212&gt;=_NoEchRemb,AD212,IF('Données Projet 1'!B221-(AE212*_EchFIXE)&gt;AD212-2,AD212,'Données Projet 1'!B221-(AE212*_EchFIXE))))+U212</f>
        <v>551.18000000000006</v>
      </c>
      <c r="AG212" s="154">
        <f t="shared" si="43"/>
        <v>19.77</v>
      </c>
      <c r="AH212" s="157">
        <f t="shared" si="37"/>
        <v>788.75</v>
      </c>
      <c r="AI212"/>
      <c r="AJ212" s="3"/>
      <c r="AK212" s="164"/>
      <c r="AL212" s="22"/>
      <c r="AM212" s="21"/>
      <c r="AN212" s="23"/>
      <c r="AO212" s="10"/>
      <c r="AP212" s="5" t="str">
        <f t="shared" si="44"/>
        <v/>
      </c>
      <c r="AQ212" s="7" t="str">
        <f t="shared" si="45"/>
        <v/>
      </c>
      <c r="AR212" s="8" t="str">
        <f t="shared" si="38"/>
        <v/>
      </c>
      <c r="AS212" s="31" t="str">
        <f>IF(AT212=0,"",IF(_Ijour1=0,MIN(DATE(YEAR(_DebAmort1),MONTH(_DebAmort1)+_MoisD1+(AP212-1)*_Imois1,__Jou2),DATE(YEAR(_DebAmort1),MONTH(_DebAmort1)+_MoisD1+1+(AP212-1)*_Imois1,0)),DATE(YEAR(_DebAmort1),MONTH(_DebAmort1),__Jou1+(AP212-1)*_Ijour1)))</f>
        <v/>
      </c>
      <c r="AT212" s="156">
        <f t="shared" si="46"/>
        <v>0</v>
      </c>
      <c r="AU212" s="153">
        <f>IF(AP212&lt;=_NoEchMaxi1,ROUND(AT212*'Données Projet 1'!H221,_NbDeci1),0)</f>
        <v>0</v>
      </c>
      <c r="AV212" s="152">
        <f>IF(OR(AP212&lt;=_Différé1,AP212&gt;_NoEchMaxi1),IF(_DiffTotal1,-AU212,0),IF(AP212&gt;=_NoEchRemb1,AT212,IF('Données Projet 1'!I221-(AU212*_EchFIXE1)&gt;AT212-2,AT212,'Données Projet 1'!I221-(AU212*_EchFIXE1))))+AK212</f>
        <v>0</v>
      </c>
      <c r="AW212" s="154">
        <f t="shared" si="47"/>
        <v>0</v>
      </c>
      <c r="AX212" s="157">
        <f t="shared" si="39"/>
        <v>0</v>
      </c>
    </row>
    <row r="213" spans="20:50" ht="15.75" customHeight="1" x14ac:dyDescent="0.3">
      <c r="T213" s="3"/>
      <c r="U213" s="164"/>
      <c r="V213" s="22"/>
      <c r="W213" s="21"/>
      <c r="X213" s="23"/>
      <c r="Y213" s="10"/>
      <c r="Z213" s="5">
        <f t="shared" si="40"/>
        <v>207</v>
      </c>
      <c r="AA213" s="7">
        <f t="shared" si="41"/>
        <v>214</v>
      </c>
      <c r="AB213" s="8">
        <f t="shared" si="36"/>
        <v>2026</v>
      </c>
      <c r="AC213" s="31">
        <f>IF(AD213=0,"",IF(_Ijour=0,MIN(DATE(YEAR(_DebAmort),MONTH(_DebAmort)+(Z213-1)*_Imois,_Jour1),DATE(YEAR(_DebAmort),MONTH(_DebAmort)+1+(Z213-1)*_Imois,0)),DATE(YEAR(_DebAmort),MONTH(_DebAmort),_Jour1+(Z213-1)*_Ijour)))</f>
        <v>46082</v>
      </c>
      <c r="AD213" s="156">
        <f t="shared" si="42"/>
        <v>139961.90000000014</v>
      </c>
      <c r="AE213" s="153">
        <f>IF(Z213&lt;=_NoEchMaxi,ROUND(AD213*'Données Projet 1'!A222,_NbDeci),0)</f>
        <v>216.94</v>
      </c>
      <c r="AF213" s="152">
        <f>IF(OR(Z213&lt;=_Différé,Z213&gt;_NoEchMaxi),IF(_DiffTotal,-AE213,0),IF(Z213&gt;=_NoEchRemb,AD213,IF('Données Projet 1'!B222-(AE213*_EchFIXE)&gt;AD213-2,AD213,'Données Projet 1'!B222-(AE213*_EchFIXE))))+U213</f>
        <v>552.04</v>
      </c>
      <c r="AG213" s="154">
        <f t="shared" si="43"/>
        <v>19.77</v>
      </c>
      <c r="AH213" s="157">
        <f t="shared" si="37"/>
        <v>788.75</v>
      </c>
      <c r="AI213"/>
      <c r="AJ213" s="3"/>
      <c r="AK213" s="164"/>
      <c r="AL213" s="22"/>
      <c r="AM213" s="21"/>
      <c r="AN213" s="23"/>
      <c r="AO213" s="10"/>
      <c r="AP213" s="5" t="str">
        <f t="shared" si="44"/>
        <v/>
      </c>
      <c r="AQ213" s="7" t="str">
        <f t="shared" si="45"/>
        <v/>
      </c>
      <c r="AR213" s="8" t="str">
        <f t="shared" si="38"/>
        <v/>
      </c>
      <c r="AS213" s="31" t="str">
        <f>IF(AT213=0,"",IF(_Ijour1=0,MIN(DATE(YEAR(_DebAmort1),MONTH(_DebAmort1)+(AP213-1)*_Imois1,__Jou1),DATE(YEAR(_DebAmort1),MONTH(_DebAmort1)+1+(AP213-1)*_Imois1,0)),DATE(YEAR(_DebAmort1),MONTH(_DebAmort1),__Jou1+(AP213-1)*_Ijour1)))</f>
        <v/>
      </c>
      <c r="AT213" s="156">
        <f t="shared" si="46"/>
        <v>0</v>
      </c>
      <c r="AU213" s="153">
        <f>IF(AP213&lt;=_NoEchMaxi1,ROUND(AT213*'Données Projet 1'!H222,_NbDeci1),0)</f>
        <v>0</v>
      </c>
      <c r="AV213" s="152">
        <f>IF(OR(AP213&lt;=_Différé1,AP213&gt;_NoEchMaxi1),IF(_DiffTotal1,-AU213,0),IF(AP213&gt;=_NoEchRemb1,AT213,IF('Données Projet 1'!I222-(AU213*_EchFIXE1)&gt;AT213-2,AT213,'Données Projet 1'!I222-(AU213*_EchFIXE1))))+AK213</f>
        <v>0</v>
      </c>
      <c r="AW213" s="154">
        <f t="shared" si="47"/>
        <v>0</v>
      </c>
      <c r="AX213" s="157">
        <f t="shared" si="39"/>
        <v>0</v>
      </c>
    </row>
    <row r="214" spans="20:50" ht="15.75" customHeight="1" x14ac:dyDescent="0.3">
      <c r="T214" s="3"/>
      <c r="U214" s="164"/>
      <c r="V214" s="22"/>
      <c r="W214" s="21"/>
      <c r="X214" s="23"/>
      <c r="Y214" s="10"/>
      <c r="Z214" s="5">
        <f t="shared" si="40"/>
        <v>208</v>
      </c>
      <c r="AA214" s="7">
        <f t="shared" si="41"/>
        <v>213</v>
      </c>
      <c r="AB214" s="8">
        <f t="shared" si="36"/>
        <v>2026</v>
      </c>
      <c r="AC214" s="31">
        <f>IF(AD214=0,"",IF(_Ijour=0,MIN(DATE(YEAR(_DebAmort),MONTH(_DebAmort)+_MoisD+(Z214-1)*_Imois,_Jour2),DATE(YEAR(_DebAmort),MONTH(_DebAmort)+_MoisD+1+(Z214-1)*_Imois,0)),DATE(YEAR(_DebAmort),MONTH(_DebAmort),_Jour1+(Z214-1)*_Ijour)))</f>
        <v>46113</v>
      </c>
      <c r="AD214" s="156">
        <f t="shared" si="42"/>
        <v>139409.86000000013</v>
      </c>
      <c r="AE214" s="153">
        <f>IF(Z214&lt;=_NoEchMaxi,ROUND(AD214*'Données Projet 1'!A223,_NbDeci),0)</f>
        <v>216.09</v>
      </c>
      <c r="AF214" s="152">
        <f>IF(OR(Z214&lt;=_Différé,Z214&gt;_NoEchMaxi),IF(_DiffTotal,-AE214,0),IF(Z214&gt;=_NoEchRemb,AD214,IF('Données Projet 1'!B223-(AE214*_EchFIXE)&gt;AD214-2,AD214,'Données Projet 1'!B223-(AE214*_EchFIXE))))+U214</f>
        <v>552.89</v>
      </c>
      <c r="AG214" s="154">
        <f t="shared" si="43"/>
        <v>19.77</v>
      </c>
      <c r="AH214" s="157">
        <f t="shared" si="37"/>
        <v>788.75</v>
      </c>
      <c r="AI214"/>
      <c r="AJ214" s="3"/>
      <c r="AK214" s="164"/>
      <c r="AL214" s="22"/>
      <c r="AM214" s="21"/>
      <c r="AN214" s="23"/>
      <c r="AO214" s="10"/>
      <c r="AP214" s="5" t="str">
        <f t="shared" si="44"/>
        <v/>
      </c>
      <c r="AQ214" s="7" t="str">
        <f t="shared" si="45"/>
        <v/>
      </c>
      <c r="AR214" s="8" t="str">
        <f t="shared" si="38"/>
        <v/>
      </c>
      <c r="AS214" s="31" t="str">
        <f>IF(AT214=0,"",IF(_Ijour1=0,MIN(DATE(YEAR(_DebAmort1),MONTH(_DebAmort1)+_MoisD1+(AP214-1)*_Imois1,__Jou2),DATE(YEAR(_DebAmort1),MONTH(_DebAmort1)+_MoisD1+1+(AP214-1)*_Imois1,0)),DATE(YEAR(_DebAmort1),MONTH(_DebAmort1),__Jou1+(AP214-1)*_Ijour1)))</f>
        <v/>
      </c>
      <c r="AT214" s="156">
        <f t="shared" si="46"/>
        <v>0</v>
      </c>
      <c r="AU214" s="153">
        <f>IF(AP214&lt;=_NoEchMaxi1,ROUND(AT214*'Données Projet 1'!H223,_NbDeci1),0)</f>
        <v>0</v>
      </c>
      <c r="AV214" s="152">
        <f>IF(OR(AP214&lt;=_Différé1,AP214&gt;_NoEchMaxi1),IF(_DiffTotal1,-AU214,0),IF(AP214&gt;=_NoEchRemb1,AT214,IF('Données Projet 1'!I223-(AU214*_EchFIXE1)&gt;AT214-2,AT214,'Données Projet 1'!I223-(AU214*_EchFIXE1))))+AK214</f>
        <v>0</v>
      </c>
      <c r="AW214" s="154">
        <f t="shared" si="47"/>
        <v>0</v>
      </c>
      <c r="AX214" s="157">
        <f t="shared" si="39"/>
        <v>0</v>
      </c>
    </row>
    <row r="215" spans="20:50" ht="15.75" customHeight="1" x14ac:dyDescent="0.3">
      <c r="T215" s="3"/>
      <c r="U215" s="164"/>
      <c r="V215" s="22"/>
      <c r="W215" s="21"/>
      <c r="X215" s="23"/>
      <c r="Y215" s="10"/>
      <c r="Z215" s="5">
        <f t="shared" si="40"/>
        <v>209</v>
      </c>
      <c r="AA215" s="7">
        <f t="shared" si="41"/>
        <v>212</v>
      </c>
      <c r="AB215" s="8">
        <f t="shared" si="36"/>
        <v>2026</v>
      </c>
      <c r="AC215" s="31">
        <f>IF(AD215=0,"",IF(_Ijour=0,MIN(DATE(YEAR(_DebAmort),MONTH(_DebAmort)+(Z215-1)*_Imois,_Jour1),DATE(YEAR(_DebAmort),MONTH(_DebAmort)+1+(Z215-1)*_Imois,0)),DATE(YEAR(_DebAmort),MONTH(_DebAmort),_Jour1+(Z215-1)*_Ijour)))</f>
        <v>46143</v>
      </c>
      <c r="AD215" s="156">
        <f t="shared" si="42"/>
        <v>138856.97000000012</v>
      </c>
      <c r="AE215" s="153">
        <f>IF(Z215&lt;=_NoEchMaxi,ROUND(AD215*'Données Projet 1'!A224,_NbDeci),0)</f>
        <v>215.23</v>
      </c>
      <c r="AF215" s="152">
        <f>IF(OR(Z215&lt;=_Différé,Z215&gt;_NoEchMaxi),IF(_DiffTotal,-AE215,0),IF(Z215&gt;=_NoEchRemb,AD215,IF('Données Projet 1'!B224-(AE215*_EchFIXE)&gt;AD215-2,AD215,'Données Projet 1'!B224-(AE215*_EchFIXE))))+U215</f>
        <v>553.75</v>
      </c>
      <c r="AG215" s="154">
        <f t="shared" si="43"/>
        <v>19.77</v>
      </c>
      <c r="AH215" s="157">
        <f t="shared" si="37"/>
        <v>788.75</v>
      </c>
      <c r="AI215"/>
      <c r="AJ215" s="3"/>
      <c r="AK215" s="164"/>
      <c r="AL215" s="22"/>
      <c r="AM215" s="21"/>
      <c r="AN215" s="23"/>
      <c r="AO215" s="10"/>
      <c r="AP215" s="5" t="str">
        <f t="shared" si="44"/>
        <v/>
      </c>
      <c r="AQ215" s="7" t="str">
        <f t="shared" si="45"/>
        <v/>
      </c>
      <c r="AR215" s="8" t="str">
        <f t="shared" si="38"/>
        <v/>
      </c>
      <c r="AS215" s="31" t="str">
        <f>IF(AT215=0,"",IF(_Ijour1=0,MIN(DATE(YEAR(_DebAmort1),MONTH(_DebAmort1)+(AP215-1)*_Imois1,__Jou1),DATE(YEAR(_DebAmort1),MONTH(_DebAmort1)+1+(AP215-1)*_Imois1,0)),DATE(YEAR(_DebAmort1),MONTH(_DebAmort1),__Jou1+(AP215-1)*_Ijour1)))</f>
        <v/>
      </c>
      <c r="AT215" s="156">
        <f t="shared" si="46"/>
        <v>0</v>
      </c>
      <c r="AU215" s="153">
        <f>IF(AP215&lt;=_NoEchMaxi1,ROUND(AT215*'Données Projet 1'!H224,_NbDeci1),0)</f>
        <v>0</v>
      </c>
      <c r="AV215" s="152">
        <f>IF(OR(AP215&lt;=_Différé1,AP215&gt;_NoEchMaxi1),IF(_DiffTotal1,-AU215,0),IF(AP215&gt;=_NoEchRemb1,AT215,IF('Données Projet 1'!I224-(AU215*_EchFIXE1)&gt;AT215-2,AT215,'Données Projet 1'!I224-(AU215*_EchFIXE1))))+AK215</f>
        <v>0</v>
      </c>
      <c r="AW215" s="154">
        <f t="shared" si="47"/>
        <v>0</v>
      </c>
      <c r="AX215" s="157">
        <f t="shared" si="39"/>
        <v>0</v>
      </c>
    </row>
    <row r="216" spans="20:50" ht="15.75" customHeight="1" x14ac:dyDescent="0.3">
      <c r="T216" s="3"/>
      <c r="U216" s="164"/>
      <c r="V216" s="22"/>
      <c r="W216" s="21"/>
      <c r="X216" s="23"/>
      <c r="Y216" s="10"/>
      <c r="Z216" s="5">
        <f t="shared" si="40"/>
        <v>210</v>
      </c>
      <c r="AA216" s="7">
        <f t="shared" si="41"/>
        <v>211</v>
      </c>
      <c r="AB216" s="8">
        <f t="shared" si="36"/>
        <v>2026</v>
      </c>
      <c r="AC216" s="31">
        <f>IF(AD216=0,"",IF(_Ijour=0,MIN(DATE(YEAR(_DebAmort),MONTH(_DebAmort)+_MoisD+(Z216-1)*_Imois,_Jour2),DATE(YEAR(_DebAmort),MONTH(_DebAmort)+_MoisD+1+(Z216-1)*_Imois,0)),DATE(YEAR(_DebAmort),MONTH(_DebAmort),_Jour1+(Z216-1)*_Ijour)))</f>
        <v>46174</v>
      </c>
      <c r="AD216" s="156">
        <f t="shared" si="42"/>
        <v>138303.22000000012</v>
      </c>
      <c r="AE216" s="153">
        <f>IF(Z216&lt;=_NoEchMaxi,ROUND(AD216*'Données Projet 1'!A225,_NbDeci),0)</f>
        <v>214.37</v>
      </c>
      <c r="AF216" s="152">
        <f>IF(OR(Z216&lt;=_Différé,Z216&gt;_NoEchMaxi),IF(_DiffTotal,-AE216,0),IF(Z216&gt;=_NoEchRemb,AD216,IF('Données Projet 1'!B225-(AE216*_EchFIXE)&gt;AD216-2,AD216,'Données Projet 1'!B225-(AE216*_EchFIXE))))+U216</f>
        <v>554.61</v>
      </c>
      <c r="AG216" s="154">
        <f t="shared" si="43"/>
        <v>19.77</v>
      </c>
      <c r="AH216" s="157">
        <f t="shared" si="37"/>
        <v>788.75</v>
      </c>
      <c r="AI216"/>
      <c r="AJ216" s="3"/>
      <c r="AK216" s="164"/>
      <c r="AL216" s="22"/>
      <c r="AM216" s="21"/>
      <c r="AN216" s="23"/>
      <c r="AO216" s="10"/>
      <c r="AP216" s="5" t="str">
        <f t="shared" si="44"/>
        <v/>
      </c>
      <c r="AQ216" s="7" t="str">
        <f t="shared" si="45"/>
        <v/>
      </c>
      <c r="AR216" s="8" t="str">
        <f t="shared" si="38"/>
        <v/>
      </c>
      <c r="AS216" s="31" t="str">
        <f>IF(AT216=0,"",IF(_Ijour1=0,MIN(DATE(YEAR(_DebAmort1),MONTH(_DebAmort1)+_MoisD1+(AP216-1)*_Imois1,__Jou2),DATE(YEAR(_DebAmort1),MONTH(_DebAmort1)+_MoisD1+1+(AP216-1)*_Imois1,0)),DATE(YEAR(_DebAmort1),MONTH(_DebAmort1),__Jou1+(AP216-1)*_Ijour1)))</f>
        <v/>
      </c>
      <c r="AT216" s="156">
        <f t="shared" si="46"/>
        <v>0</v>
      </c>
      <c r="AU216" s="153">
        <f>IF(AP216&lt;=_NoEchMaxi1,ROUND(AT216*'Données Projet 1'!H225,_NbDeci1),0)</f>
        <v>0</v>
      </c>
      <c r="AV216" s="152">
        <f>IF(OR(AP216&lt;=_Différé1,AP216&gt;_NoEchMaxi1),IF(_DiffTotal1,-AU216,0),IF(AP216&gt;=_NoEchRemb1,AT216,IF('Données Projet 1'!I225-(AU216*_EchFIXE1)&gt;AT216-2,AT216,'Données Projet 1'!I225-(AU216*_EchFIXE1))))+AK216</f>
        <v>0</v>
      </c>
      <c r="AW216" s="154">
        <f t="shared" si="47"/>
        <v>0</v>
      </c>
      <c r="AX216" s="157">
        <f t="shared" si="39"/>
        <v>0</v>
      </c>
    </row>
    <row r="217" spans="20:50" ht="15.75" customHeight="1" x14ac:dyDescent="0.3">
      <c r="T217" s="3"/>
      <c r="U217" s="164"/>
      <c r="V217" s="22"/>
      <c r="W217" s="21"/>
      <c r="X217" s="23"/>
      <c r="Y217" s="10"/>
      <c r="Z217" s="5">
        <f t="shared" si="40"/>
        <v>211</v>
      </c>
      <c r="AA217" s="7">
        <f t="shared" si="41"/>
        <v>210</v>
      </c>
      <c r="AB217" s="8">
        <f t="shared" si="36"/>
        <v>2026</v>
      </c>
      <c r="AC217" s="31">
        <f>IF(AD217=0,"",IF(_Ijour=0,MIN(DATE(YEAR(_DebAmort),MONTH(_DebAmort)+(Z217-1)*_Imois,_Jour1),DATE(YEAR(_DebAmort),MONTH(_DebAmort)+1+(Z217-1)*_Imois,0)),DATE(YEAR(_DebAmort),MONTH(_DebAmort),_Jour1+(Z217-1)*_Ijour)))</f>
        <v>46204</v>
      </c>
      <c r="AD217" s="156">
        <f t="shared" si="42"/>
        <v>137748.61000000013</v>
      </c>
      <c r="AE217" s="153">
        <f>IF(Z217&lt;=_NoEchMaxi,ROUND(AD217*'Données Projet 1'!A226,_NbDeci),0)</f>
        <v>213.51</v>
      </c>
      <c r="AF217" s="152">
        <f>IF(OR(Z217&lt;=_Différé,Z217&gt;_NoEchMaxi),IF(_DiffTotal,-AE217,0),IF(Z217&gt;=_NoEchRemb,AD217,IF('Données Projet 1'!B226-(AE217*_EchFIXE)&gt;AD217-2,AD217,'Données Projet 1'!B226-(AE217*_EchFIXE))))+U217</f>
        <v>555.47</v>
      </c>
      <c r="AG217" s="154">
        <f t="shared" si="43"/>
        <v>19.77</v>
      </c>
      <c r="AH217" s="157">
        <f t="shared" si="37"/>
        <v>788.75</v>
      </c>
      <c r="AI217"/>
      <c r="AJ217" s="3"/>
      <c r="AK217" s="164"/>
      <c r="AL217" s="22"/>
      <c r="AM217" s="21"/>
      <c r="AN217" s="23"/>
      <c r="AO217" s="10"/>
      <c r="AP217" s="5" t="str">
        <f t="shared" si="44"/>
        <v/>
      </c>
      <c r="AQ217" s="7" t="str">
        <f t="shared" si="45"/>
        <v/>
      </c>
      <c r="AR217" s="8" t="str">
        <f t="shared" si="38"/>
        <v/>
      </c>
      <c r="AS217" s="31" t="str">
        <f>IF(AT217=0,"",IF(_Ijour1=0,MIN(DATE(YEAR(_DebAmort1),MONTH(_DebAmort1)+(AP217-1)*_Imois1,__Jou1),DATE(YEAR(_DebAmort1),MONTH(_DebAmort1)+1+(AP217-1)*_Imois1,0)),DATE(YEAR(_DebAmort1),MONTH(_DebAmort1),__Jou1+(AP217-1)*_Ijour1)))</f>
        <v/>
      </c>
      <c r="AT217" s="156">
        <f t="shared" si="46"/>
        <v>0</v>
      </c>
      <c r="AU217" s="153">
        <f>IF(AP217&lt;=_NoEchMaxi1,ROUND(AT217*'Données Projet 1'!H226,_NbDeci1),0)</f>
        <v>0</v>
      </c>
      <c r="AV217" s="152">
        <f>IF(OR(AP217&lt;=_Différé1,AP217&gt;_NoEchMaxi1),IF(_DiffTotal1,-AU217,0),IF(AP217&gt;=_NoEchRemb1,AT217,IF('Données Projet 1'!I226-(AU217*_EchFIXE1)&gt;AT217-2,AT217,'Données Projet 1'!I226-(AU217*_EchFIXE1))))+AK217</f>
        <v>0</v>
      </c>
      <c r="AW217" s="154">
        <f t="shared" si="47"/>
        <v>0</v>
      </c>
      <c r="AX217" s="157">
        <f t="shared" si="39"/>
        <v>0</v>
      </c>
    </row>
    <row r="218" spans="20:50" ht="15.75" customHeight="1" x14ac:dyDescent="0.3">
      <c r="T218" s="3"/>
      <c r="U218" s="164"/>
      <c r="V218" s="22"/>
      <c r="W218" s="21"/>
      <c r="X218" s="23"/>
      <c r="Y218" s="10"/>
      <c r="Z218" s="5">
        <f t="shared" si="40"/>
        <v>212</v>
      </c>
      <c r="AA218" s="7">
        <f t="shared" si="41"/>
        <v>209</v>
      </c>
      <c r="AB218" s="8">
        <f t="shared" si="36"/>
        <v>2026</v>
      </c>
      <c r="AC218" s="31">
        <f>IF(AD218=0,"",IF(_Ijour=0,MIN(DATE(YEAR(_DebAmort),MONTH(_DebAmort)+_MoisD+(Z218-1)*_Imois,_Jour2),DATE(YEAR(_DebAmort),MONTH(_DebAmort)+_MoisD+1+(Z218-1)*_Imois,0)),DATE(YEAR(_DebAmort),MONTH(_DebAmort),_Jour1+(Z218-1)*_Ijour)))</f>
        <v>46235</v>
      </c>
      <c r="AD218" s="156">
        <f t="shared" si="42"/>
        <v>137193.14000000013</v>
      </c>
      <c r="AE218" s="153">
        <f>IF(Z218&lt;=_NoEchMaxi,ROUND(AD218*'Données Projet 1'!A227,_NbDeci),0)</f>
        <v>212.65</v>
      </c>
      <c r="AF218" s="152">
        <f>IF(OR(Z218&lt;=_Différé,Z218&gt;_NoEchMaxi),IF(_DiffTotal,-AE218,0),IF(Z218&gt;=_NoEchRemb,AD218,IF('Données Projet 1'!B227-(AE218*_EchFIXE)&gt;AD218-2,AD218,'Données Projet 1'!B227-(AE218*_EchFIXE))))+U218</f>
        <v>556.33000000000004</v>
      </c>
      <c r="AG218" s="154">
        <f t="shared" si="43"/>
        <v>19.77</v>
      </c>
      <c r="AH218" s="157">
        <f t="shared" si="37"/>
        <v>788.75</v>
      </c>
      <c r="AI218"/>
      <c r="AJ218" s="3"/>
      <c r="AK218" s="164"/>
      <c r="AL218" s="22"/>
      <c r="AM218" s="21"/>
      <c r="AN218" s="23"/>
      <c r="AO218" s="10"/>
      <c r="AP218" s="5" t="str">
        <f t="shared" si="44"/>
        <v/>
      </c>
      <c r="AQ218" s="7" t="str">
        <f t="shared" si="45"/>
        <v/>
      </c>
      <c r="AR218" s="8" t="str">
        <f t="shared" si="38"/>
        <v/>
      </c>
      <c r="AS218" s="31" t="str">
        <f>IF(AT218=0,"",IF(_Ijour1=0,MIN(DATE(YEAR(_DebAmort1),MONTH(_DebAmort1)+_MoisD1+(AP218-1)*_Imois1,__Jou2),DATE(YEAR(_DebAmort1),MONTH(_DebAmort1)+_MoisD1+1+(AP218-1)*_Imois1,0)),DATE(YEAR(_DebAmort1),MONTH(_DebAmort1),__Jou1+(AP218-1)*_Ijour1)))</f>
        <v/>
      </c>
      <c r="AT218" s="156">
        <f t="shared" si="46"/>
        <v>0</v>
      </c>
      <c r="AU218" s="153">
        <f>IF(AP218&lt;=_NoEchMaxi1,ROUND(AT218*'Données Projet 1'!H227,_NbDeci1),0)</f>
        <v>0</v>
      </c>
      <c r="AV218" s="152">
        <f>IF(OR(AP218&lt;=_Différé1,AP218&gt;_NoEchMaxi1),IF(_DiffTotal1,-AU218,0),IF(AP218&gt;=_NoEchRemb1,AT218,IF('Données Projet 1'!I227-(AU218*_EchFIXE1)&gt;AT218-2,AT218,'Données Projet 1'!I227-(AU218*_EchFIXE1))))+AK218</f>
        <v>0</v>
      </c>
      <c r="AW218" s="154">
        <f t="shared" si="47"/>
        <v>0</v>
      </c>
      <c r="AX218" s="157">
        <f t="shared" si="39"/>
        <v>0</v>
      </c>
    </row>
    <row r="219" spans="20:50" ht="15.75" customHeight="1" x14ac:dyDescent="0.3">
      <c r="T219" s="3"/>
      <c r="U219" s="164"/>
      <c r="V219" s="22"/>
      <c r="W219" s="21"/>
      <c r="X219" s="23"/>
      <c r="Y219" s="10"/>
      <c r="Z219" s="5">
        <f t="shared" si="40"/>
        <v>213</v>
      </c>
      <c r="AA219" s="7">
        <f t="shared" si="41"/>
        <v>208</v>
      </c>
      <c r="AB219" s="8">
        <f t="shared" si="36"/>
        <v>2026</v>
      </c>
      <c r="AC219" s="31">
        <f>IF(AD219=0,"",IF(_Ijour=0,MIN(DATE(YEAR(_DebAmort),MONTH(_DebAmort)+(Z219-1)*_Imois,_Jour1),DATE(YEAR(_DebAmort),MONTH(_DebAmort)+1+(Z219-1)*_Imois,0)),DATE(YEAR(_DebAmort),MONTH(_DebAmort),_Jour1+(Z219-1)*_Ijour)))</f>
        <v>46266</v>
      </c>
      <c r="AD219" s="156">
        <f t="shared" si="42"/>
        <v>136636.81000000014</v>
      </c>
      <c r="AE219" s="153">
        <f>IF(Z219&lt;=_NoEchMaxi,ROUND(AD219*'Données Projet 1'!A228,_NbDeci),0)</f>
        <v>211.79</v>
      </c>
      <c r="AF219" s="152">
        <f>IF(OR(Z219&lt;=_Différé,Z219&gt;_NoEchMaxi),IF(_DiffTotal,-AE219,0),IF(Z219&gt;=_NoEchRemb,AD219,IF('Données Projet 1'!B228-(AE219*_EchFIXE)&gt;AD219-2,AD219,'Données Projet 1'!B228-(AE219*_EchFIXE))))+U219</f>
        <v>557.19000000000005</v>
      </c>
      <c r="AG219" s="154">
        <f t="shared" si="43"/>
        <v>19.77</v>
      </c>
      <c r="AH219" s="157">
        <f t="shared" si="37"/>
        <v>788.75</v>
      </c>
      <c r="AI219"/>
      <c r="AJ219" s="3"/>
      <c r="AK219" s="164"/>
      <c r="AL219" s="22"/>
      <c r="AM219" s="21"/>
      <c r="AN219" s="23"/>
      <c r="AO219" s="10"/>
      <c r="AP219" s="5" t="str">
        <f t="shared" si="44"/>
        <v/>
      </c>
      <c r="AQ219" s="7" t="str">
        <f t="shared" si="45"/>
        <v/>
      </c>
      <c r="AR219" s="8" t="str">
        <f t="shared" si="38"/>
        <v/>
      </c>
      <c r="AS219" s="31" t="str">
        <f>IF(AT219=0,"",IF(_Ijour1=0,MIN(DATE(YEAR(_DebAmort1),MONTH(_DebAmort1)+(AP219-1)*_Imois1,__Jou1),DATE(YEAR(_DebAmort1),MONTH(_DebAmort1)+1+(AP219-1)*_Imois1,0)),DATE(YEAR(_DebAmort1),MONTH(_DebAmort1),__Jou1+(AP219-1)*_Ijour1)))</f>
        <v/>
      </c>
      <c r="AT219" s="156">
        <f t="shared" si="46"/>
        <v>0</v>
      </c>
      <c r="AU219" s="153">
        <f>IF(AP219&lt;=_NoEchMaxi1,ROUND(AT219*'Données Projet 1'!H228,_NbDeci1),0)</f>
        <v>0</v>
      </c>
      <c r="AV219" s="152">
        <f>IF(OR(AP219&lt;=_Différé1,AP219&gt;_NoEchMaxi1),IF(_DiffTotal1,-AU219,0),IF(AP219&gt;=_NoEchRemb1,AT219,IF('Données Projet 1'!I228-(AU219*_EchFIXE1)&gt;AT219-2,AT219,'Données Projet 1'!I228-(AU219*_EchFIXE1))))+AK219</f>
        <v>0</v>
      </c>
      <c r="AW219" s="154">
        <f t="shared" si="47"/>
        <v>0</v>
      </c>
      <c r="AX219" s="157">
        <f t="shared" si="39"/>
        <v>0</v>
      </c>
    </row>
    <row r="220" spans="20:50" ht="15.75" customHeight="1" x14ac:dyDescent="0.3">
      <c r="T220" s="3"/>
      <c r="U220" s="164"/>
      <c r="V220" s="22"/>
      <c r="W220" s="21"/>
      <c r="X220" s="23"/>
      <c r="Y220" s="10"/>
      <c r="Z220" s="5">
        <f t="shared" si="40"/>
        <v>214</v>
      </c>
      <c r="AA220" s="7">
        <f t="shared" si="41"/>
        <v>207</v>
      </c>
      <c r="AB220" s="8">
        <f t="shared" si="36"/>
        <v>2026</v>
      </c>
      <c r="AC220" s="31">
        <f>IF(AD220=0,"",IF(_Ijour=0,MIN(DATE(YEAR(_DebAmort),MONTH(_DebAmort)+_MoisD+(Z220-1)*_Imois,_Jour2),DATE(YEAR(_DebAmort),MONTH(_DebAmort)+_MoisD+1+(Z220-1)*_Imois,0)),DATE(YEAR(_DebAmort),MONTH(_DebAmort),_Jour1+(Z220-1)*_Ijour)))</f>
        <v>46296</v>
      </c>
      <c r="AD220" s="156">
        <f t="shared" si="42"/>
        <v>136079.62000000014</v>
      </c>
      <c r="AE220" s="153">
        <f>IF(Z220&lt;=_NoEchMaxi,ROUND(AD220*'Données Projet 1'!A229,_NbDeci),0)</f>
        <v>210.92</v>
      </c>
      <c r="AF220" s="152">
        <f>IF(OR(Z220&lt;=_Différé,Z220&gt;_NoEchMaxi),IF(_DiffTotal,-AE220,0),IF(Z220&gt;=_NoEchRemb,AD220,IF('Données Projet 1'!B229-(AE220*_EchFIXE)&gt;AD220-2,AD220,'Données Projet 1'!B229-(AE220*_EchFIXE))))+U220</f>
        <v>558.06000000000006</v>
      </c>
      <c r="AG220" s="154">
        <f t="shared" si="43"/>
        <v>19.77</v>
      </c>
      <c r="AH220" s="157">
        <f t="shared" si="37"/>
        <v>788.75</v>
      </c>
      <c r="AI220"/>
      <c r="AJ220" s="3"/>
      <c r="AK220" s="164"/>
      <c r="AL220" s="22"/>
      <c r="AM220" s="21"/>
      <c r="AN220" s="23"/>
      <c r="AO220" s="10"/>
      <c r="AP220" s="5" t="str">
        <f t="shared" si="44"/>
        <v/>
      </c>
      <c r="AQ220" s="7" t="str">
        <f t="shared" si="45"/>
        <v/>
      </c>
      <c r="AR220" s="8" t="str">
        <f t="shared" si="38"/>
        <v/>
      </c>
      <c r="AS220" s="31" t="str">
        <f>IF(AT220=0,"",IF(_Ijour1=0,MIN(DATE(YEAR(_DebAmort1),MONTH(_DebAmort1)+_MoisD1+(AP220-1)*_Imois1,__Jou2),DATE(YEAR(_DebAmort1),MONTH(_DebAmort1)+_MoisD1+1+(AP220-1)*_Imois1,0)),DATE(YEAR(_DebAmort1),MONTH(_DebAmort1),__Jou1+(AP220-1)*_Ijour1)))</f>
        <v/>
      </c>
      <c r="AT220" s="156">
        <f t="shared" si="46"/>
        <v>0</v>
      </c>
      <c r="AU220" s="153">
        <f>IF(AP220&lt;=_NoEchMaxi1,ROUND(AT220*'Données Projet 1'!H229,_NbDeci1),0)</f>
        <v>0</v>
      </c>
      <c r="AV220" s="152">
        <f>IF(OR(AP220&lt;=_Différé1,AP220&gt;_NoEchMaxi1),IF(_DiffTotal1,-AU220,0),IF(AP220&gt;=_NoEchRemb1,AT220,IF('Données Projet 1'!I229-(AU220*_EchFIXE1)&gt;AT220-2,AT220,'Données Projet 1'!I229-(AU220*_EchFIXE1))))+AK220</f>
        <v>0</v>
      </c>
      <c r="AW220" s="154">
        <f t="shared" si="47"/>
        <v>0</v>
      </c>
      <c r="AX220" s="157">
        <f t="shared" si="39"/>
        <v>0</v>
      </c>
    </row>
    <row r="221" spans="20:50" ht="15.75" customHeight="1" x14ac:dyDescent="0.3">
      <c r="T221" s="3"/>
      <c r="U221" s="164"/>
      <c r="V221" s="22"/>
      <c r="W221" s="21"/>
      <c r="X221" s="23"/>
      <c r="Y221" s="10"/>
      <c r="Z221" s="5">
        <f t="shared" si="40"/>
        <v>215</v>
      </c>
      <c r="AA221" s="7">
        <f t="shared" si="41"/>
        <v>206</v>
      </c>
      <c r="AB221" s="8">
        <f t="shared" si="36"/>
        <v>2026</v>
      </c>
      <c r="AC221" s="31">
        <f>IF(AD221=0,"",IF(_Ijour=0,MIN(DATE(YEAR(_DebAmort),MONTH(_DebAmort)+(Z221-1)*_Imois,_Jour1),DATE(YEAR(_DebAmort),MONTH(_DebAmort)+1+(Z221-1)*_Imois,0)),DATE(YEAR(_DebAmort),MONTH(_DebAmort),_Jour1+(Z221-1)*_Ijour)))</f>
        <v>46327</v>
      </c>
      <c r="AD221" s="156">
        <f t="shared" si="42"/>
        <v>135521.56000000014</v>
      </c>
      <c r="AE221" s="153">
        <f>IF(Z221&lt;=_NoEchMaxi,ROUND(AD221*'Données Projet 1'!A230,_NbDeci),0)</f>
        <v>210.06</v>
      </c>
      <c r="AF221" s="152">
        <f>IF(OR(Z221&lt;=_Différé,Z221&gt;_NoEchMaxi),IF(_DiffTotal,-AE221,0),IF(Z221&gt;=_NoEchRemb,AD221,IF('Données Projet 1'!B230-(AE221*_EchFIXE)&gt;AD221-2,AD221,'Données Projet 1'!B230-(AE221*_EchFIXE))))+U221</f>
        <v>558.92000000000007</v>
      </c>
      <c r="AG221" s="154">
        <f t="shared" si="43"/>
        <v>19.77</v>
      </c>
      <c r="AH221" s="157">
        <f t="shared" si="37"/>
        <v>788.75</v>
      </c>
      <c r="AI221"/>
      <c r="AJ221" s="3"/>
      <c r="AK221" s="164"/>
      <c r="AL221" s="22"/>
      <c r="AM221" s="21"/>
      <c r="AN221" s="23"/>
      <c r="AO221" s="10"/>
      <c r="AP221" s="5" t="str">
        <f t="shared" si="44"/>
        <v/>
      </c>
      <c r="AQ221" s="7" t="str">
        <f t="shared" si="45"/>
        <v/>
      </c>
      <c r="AR221" s="8" t="str">
        <f t="shared" si="38"/>
        <v/>
      </c>
      <c r="AS221" s="31" t="str">
        <f>IF(AT221=0,"",IF(_Ijour1=0,MIN(DATE(YEAR(_DebAmort1),MONTH(_DebAmort1)+(AP221-1)*_Imois1,__Jou1),DATE(YEAR(_DebAmort1),MONTH(_DebAmort1)+1+(AP221-1)*_Imois1,0)),DATE(YEAR(_DebAmort1),MONTH(_DebAmort1),__Jou1+(AP221-1)*_Ijour1)))</f>
        <v/>
      </c>
      <c r="AT221" s="156">
        <f t="shared" si="46"/>
        <v>0</v>
      </c>
      <c r="AU221" s="153">
        <f>IF(AP221&lt;=_NoEchMaxi1,ROUND(AT221*'Données Projet 1'!H230,_NbDeci1),0)</f>
        <v>0</v>
      </c>
      <c r="AV221" s="152">
        <f>IF(OR(AP221&lt;=_Différé1,AP221&gt;_NoEchMaxi1),IF(_DiffTotal1,-AU221,0),IF(AP221&gt;=_NoEchRemb1,AT221,IF('Données Projet 1'!I230-(AU221*_EchFIXE1)&gt;AT221-2,AT221,'Données Projet 1'!I230-(AU221*_EchFIXE1))))+AK221</f>
        <v>0</v>
      </c>
      <c r="AW221" s="154">
        <f t="shared" si="47"/>
        <v>0</v>
      </c>
      <c r="AX221" s="157">
        <f t="shared" si="39"/>
        <v>0</v>
      </c>
    </row>
    <row r="222" spans="20:50" ht="15.75" customHeight="1" x14ac:dyDescent="0.3">
      <c r="T222" s="3"/>
      <c r="U222" s="164"/>
      <c r="V222" s="22"/>
      <c r="W222" s="21"/>
      <c r="X222" s="23"/>
      <c r="Y222" s="10"/>
      <c r="Z222" s="5">
        <f t="shared" si="40"/>
        <v>216</v>
      </c>
      <c r="AA222" s="7">
        <f t="shared" si="41"/>
        <v>205</v>
      </c>
      <c r="AB222" s="8">
        <f t="shared" si="36"/>
        <v>2026</v>
      </c>
      <c r="AC222" s="31">
        <f>IF(AD222=0,"",IF(_Ijour=0,MIN(DATE(YEAR(_DebAmort),MONTH(_DebAmort)+_MoisD+(Z222-1)*_Imois,_Jour2),DATE(YEAR(_DebAmort),MONTH(_DebAmort)+_MoisD+1+(Z222-1)*_Imois,0)),DATE(YEAR(_DebAmort),MONTH(_DebAmort),_Jour1+(Z222-1)*_Ijour)))</f>
        <v>46357</v>
      </c>
      <c r="AD222" s="156">
        <f t="shared" si="42"/>
        <v>134962.64000000013</v>
      </c>
      <c r="AE222" s="153">
        <f>IF(Z222&lt;=_NoEchMaxi,ROUND(AD222*'Données Projet 1'!A231,_NbDeci),0)</f>
        <v>209.19</v>
      </c>
      <c r="AF222" s="152">
        <f>IF(OR(Z222&lt;=_Différé,Z222&gt;_NoEchMaxi),IF(_DiffTotal,-AE222,0),IF(Z222&gt;=_NoEchRemb,AD222,IF('Données Projet 1'!B231-(AE222*_EchFIXE)&gt;AD222-2,AD222,'Données Projet 1'!B231-(AE222*_EchFIXE))))+U222</f>
        <v>559.79</v>
      </c>
      <c r="AG222" s="154">
        <f t="shared" si="43"/>
        <v>19.77</v>
      </c>
      <c r="AH222" s="157">
        <f t="shared" si="37"/>
        <v>788.75</v>
      </c>
      <c r="AI222"/>
      <c r="AJ222" s="3"/>
      <c r="AK222" s="164"/>
      <c r="AL222" s="22"/>
      <c r="AM222" s="21"/>
      <c r="AN222" s="23"/>
      <c r="AO222" s="10"/>
      <c r="AP222" s="5" t="str">
        <f t="shared" si="44"/>
        <v/>
      </c>
      <c r="AQ222" s="7" t="str">
        <f t="shared" si="45"/>
        <v/>
      </c>
      <c r="AR222" s="8" t="str">
        <f t="shared" si="38"/>
        <v/>
      </c>
      <c r="AS222" s="31" t="str">
        <f>IF(AT222=0,"",IF(_Ijour1=0,MIN(DATE(YEAR(_DebAmort1),MONTH(_DebAmort1)+_MoisD1+(AP222-1)*_Imois1,__Jou2),DATE(YEAR(_DebAmort1),MONTH(_DebAmort1)+_MoisD1+1+(AP222-1)*_Imois1,0)),DATE(YEAR(_DebAmort1),MONTH(_DebAmort1),__Jou1+(AP222-1)*_Ijour1)))</f>
        <v/>
      </c>
      <c r="AT222" s="156">
        <f t="shared" si="46"/>
        <v>0</v>
      </c>
      <c r="AU222" s="153">
        <f>IF(AP222&lt;=_NoEchMaxi1,ROUND(AT222*'Données Projet 1'!H231,_NbDeci1),0)</f>
        <v>0</v>
      </c>
      <c r="AV222" s="152">
        <f>IF(OR(AP222&lt;=_Différé1,AP222&gt;_NoEchMaxi1),IF(_DiffTotal1,-AU222,0),IF(AP222&gt;=_NoEchRemb1,AT222,IF('Données Projet 1'!I231-(AU222*_EchFIXE1)&gt;AT222-2,AT222,'Données Projet 1'!I231-(AU222*_EchFIXE1))))+AK222</f>
        <v>0</v>
      </c>
      <c r="AW222" s="154">
        <f t="shared" si="47"/>
        <v>0</v>
      </c>
      <c r="AX222" s="157">
        <f t="shared" si="39"/>
        <v>0</v>
      </c>
    </row>
    <row r="223" spans="20:50" ht="15.75" customHeight="1" x14ac:dyDescent="0.3">
      <c r="T223" s="3"/>
      <c r="U223" s="164"/>
      <c r="V223" s="22"/>
      <c r="W223" s="21"/>
      <c r="X223" s="23"/>
      <c r="Y223" s="10"/>
      <c r="Z223" s="5">
        <f t="shared" si="40"/>
        <v>217</v>
      </c>
      <c r="AA223" s="7">
        <f t="shared" si="41"/>
        <v>204</v>
      </c>
      <c r="AB223" s="8">
        <f t="shared" si="36"/>
        <v>2027</v>
      </c>
      <c r="AC223" s="31">
        <f>IF(AD223=0,"",IF(_Ijour=0,MIN(DATE(YEAR(_DebAmort),MONTH(_DebAmort)+(Z223-1)*_Imois,_Jour1),DATE(YEAR(_DebAmort),MONTH(_DebAmort)+1+(Z223-1)*_Imois,0)),DATE(YEAR(_DebAmort),MONTH(_DebAmort),_Jour1+(Z223-1)*_Ijour)))</f>
        <v>46388</v>
      </c>
      <c r="AD223" s="156">
        <f t="shared" si="42"/>
        <v>134402.85000000012</v>
      </c>
      <c r="AE223" s="153">
        <f>IF(Z223&lt;=_NoEchMaxi,ROUND(AD223*'Données Projet 1'!A232,_NbDeci),0)</f>
        <v>208.32</v>
      </c>
      <c r="AF223" s="152">
        <f>IF(OR(Z223&lt;=_Différé,Z223&gt;_NoEchMaxi),IF(_DiffTotal,-AE223,0),IF(Z223&gt;=_NoEchRemb,AD223,IF('Données Projet 1'!B232-(AE223*_EchFIXE)&gt;AD223-2,AD223,'Données Projet 1'!B232-(AE223*_EchFIXE))))+U223</f>
        <v>560.66000000000008</v>
      </c>
      <c r="AG223" s="154">
        <f t="shared" si="43"/>
        <v>19.77</v>
      </c>
      <c r="AH223" s="157">
        <f t="shared" si="37"/>
        <v>788.75</v>
      </c>
      <c r="AI223"/>
      <c r="AJ223" s="3"/>
      <c r="AK223" s="164"/>
      <c r="AL223" s="22"/>
      <c r="AM223" s="21"/>
      <c r="AN223" s="23"/>
      <c r="AO223" s="10"/>
      <c r="AP223" s="5" t="str">
        <f t="shared" si="44"/>
        <v/>
      </c>
      <c r="AQ223" s="7" t="str">
        <f t="shared" si="45"/>
        <v/>
      </c>
      <c r="AR223" s="8" t="str">
        <f t="shared" si="38"/>
        <v/>
      </c>
      <c r="AS223" s="31" t="str">
        <f>IF(AT223=0,"",IF(_Ijour1=0,MIN(DATE(YEAR(_DebAmort1),MONTH(_DebAmort1)+(AP223-1)*_Imois1,__Jou1),DATE(YEAR(_DebAmort1),MONTH(_DebAmort1)+1+(AP223-1)*_Imois1,0)),DATE(YEAR(_DebAmort1),MONTH(_DebAmort1),__Jou1+(AP223-1)*_Ijour1)))</f>
        <v/>
      </c>
      <c r="AT223" s="156">
        <f t="shared" si="46"/>
        <v>0</v>
      </c>
      <c r="AU223" s="153">
        <f>IF(AP223&lt;=_NoEchMaxi1,ROUND(AT223*'Données Projet 1'!H232,_NbDeci1),0)</f>
        <v>0</v>
      </c>
      <c r="AV223" s="152">
        <f>IF(OR(AP223&lt;=_Différé1,AP223&gt;_NoEchMaxi1),IF(_DiffTotal1,-AU223,0),IF(AP223&gt;=_NoEchRemb1,AT223,IF('Données Projet 1'!I232-(AU223*_EchFIXE1)&gt;AT223-2,AT223,'Données Projet 1'!I232-(AU223*_EchFIXE1))))+AK223</f>
        <v>0</v>
      </c>
      <c r="AW223" s="154">
        <f t="shared" si="47"/>
        <v>0</v>
      </c>
      <c r="AX223" s="157">
        <f t="shared" si="39"/>
        <v>0</v>
      </c>
    </row>
    <row r="224" spans="20:50" ht="15.75" customHeight="1" x14ac:dyDescent="0.3">
      <c r="T224" s="3"/>
      <c r="U224" s="164"/>
      <c r="V224" s="22"/>
      <c r="W224" s="21"/>
      <c r="X224" s="23"/>
      <c r="Y224" s="10"/>
      <c r="Z224" s="5">
        <f t="shared" si="40"/>
        <v>218</v>
      </c>
      <c r="AA224" s="7">
        <f t="shared" si="41"/>
        <v>203</v>
      </c>
      <c r="AB224" s="8">
        <f t="shared" si="36"/>
        <v>2027</v>
      </c>
      <c r="AC224" s="31">
        <f>IF(AD224=0,"",IF(_Ijour=0,MIN(DATE(YEAR(_DebAmort),MONTH(_DebAmort)+_MoisD+(Z224-1)*_Imois,_Jour2),DATE(YEAR(_DebAmort),MONTH(_DebAmort)+_MoisD+1+(Z224-1)*_Imois,0)),DATE(YEAR(_DebAmort),MONTH(_DebAmort),_Jour1+(Z224-1)*_Ijour)))</f>
        <v>46419</v>
      </c>
      <c r="AD224" s="156">
        <f t="shared" si="42"/>
        <v>133842.19000000012</v>
      </c>
      <c r="AE224" s="153">
        <f>IF(Z224&lt;=_NoEchMaxi,ROUND(AD224*'Données Projet 1'!A233,_NbDeci),0)</f>
        <v>207.46</v>
      </c>
      <c r="AF224" s="152">
        <f>IF(OR(Z224&lt;=_Différé,Z224&gt;_NoEchMaxi),IF(_DiffTotal,-AE224,0),IF(Z224&gt;=_NoEchRemb,AD224,IF('Données Projet 1'!B233-(AE224*_EchFIXE)&gt;AD224-2,AD224,'Données Projet 1'!B233-(AE224*_EchFIXE))))+U224</f>
        <v>561.52</v>
      </c>
      <c r="AG224" s="154">
        <f t="shared" si="43"/>
        <v>19.77</v>
      </c>
      <c r="AH224" s="157">
        <f t="shared" si="37"/>
        <v>788.75</v>
      </c>
      <c r="AI224"/>
      <c r="AJ224" s="3"/>
      <c r="AK224" s="164"/>
      <c r="AL224" s="22"/>
      <c r="AM224" s="21"/>
      <c r="AN224" s="23"/>
      <c r="AO224" s="10"/>
      <c r="AP224" s="5" t="str">
        <f t="shared" si="44"/>
        <v/>
      </c>
      <c r="AQ224" s="7" t="str">
        <f t="shared" si="45"/>
        <v/>
      </c>
      <c r="AR224" s="8" t="str">
        <f t="shared" si="38"/>
        <v/>
      </c>
      <c r="AS224" s="31" t="str">
        <f>IF(AT224=0,"",IF(_Ijour1=0,MIN(DATE(YEAR(_DebAmort1),MONTH(_DebAmort1)+_MoisD1+(AP224-1)*_Imois1,__Jou2),DATE(YEAR(_DebAmort1),MONTH(_DebAmort1)+_MoisD1+1+(AP224-1)*_Imois1,0)),DATE(YEAR(_DebAmort1),MONTH(_DebAmort1),__Jou1+(AP224-1)*_Ijour1)))</f>
        <v/>
      </c>
      <c r="AT224" s="156">
        <f t="shared" si="46"/>
        <v>0</v>
      </c>
      <c r="AU224" s="153">
        <f>IF(AP224&lt;=_NoEchMaxi1,ROUND(AT224*'Données Projet 1'!H233,_NbDeci1),0)</f>
        <v>0</v>
      </c>
      <c r="AV224" s="152">
        <f>IF(OR(AP224&lt;=_Différé1,AP224&gt;_NoEchMaxi1),IF(_DiffTotal1,-AU224,0),IF(AP224&gt;=_NoEchRemb1,AT224,IF('Données Projet 1'!I233-(AU224*_EchFIXE1)&gt;AT224-2,AT224,'Données Projet 1'!I233-(AU224*_EchFIXE1))))+AK224</f>
        <v>0</v>
      </c>
      <c r="AW224" s="154">
        <f t="shared" si="47"/>
        <v>0</v>
      </c>
      <c r="AX224" s="157">
        <f t="shared" si="39"/>
        <v>0</v>
      </c>
    </row>
    <row r="225" spans="20:50" ht="15.75" customHeight="1" x14ac:dyDescent="0.3">
      <c r="T225" s="3"/>
      <c r="U225" s="164"/>
      <c r="V225" s="22"/>
      <c r="W225" s="21"/>
      <c r="X225" s="23"/>
      <c r="Y225" s="10"/>
      <c r="Z225" s="5">
        <f t="shared" si="40"/>
        <v>219</v>
      </c>
      <c r="AA225" s="7">
        <f t="shared" si="41"/>
        <v>202</v>
      </c>
      <c r="AB225" s="8">
        <f t="shared" si="36"/>
        <v>2027</v>
      </c>
      <c r="AC225" s="31">
        <f>IF(AD225=0,"",IF(_Ijour=0,MIN(DATE(YEAR(_DebAmort),MONTH(_DebAmort)+(Z225-1)*_Imois,_Jour1),DATE(YEAR(_DebAmort),MONTH(_DebAmort)+1+(Z225-1)*_Imois,0)),DATE(YEAR(_DebAmort),MONTH(_DebAmort),_Jour1+(Z225-1)*_Ijour)))</f>
        <v>46447</v>
      </c>
      <c r="AD225" s="156">
        <f t="shared" si="42"/>
        <v>133280.67000000013</v>
      </c>
      <c r="AE225" s="153">
        <f>IF(Z225&lt;=_NoEchMaxi,ROUND(AD225*'Données Projet 1'!A234,_NbDeci),0)</f>
        <v>206.59</v>
      </c>
      <c r="AF225" s="152">
        <f>IF(OR(Z225&lt;=_Différé,Z225&gt;_NoEchMaxi),IF(_DiffTotal,-AE225,0),IF(Z225&gt;=_NoEchRemb,AD225,IF('Données Projet 1'!B234-(AE225*_EchFIXE)&gt;AD225-2,AD225,'Données Projet 1'!B234-(AE225*_EchFIXE))))+U225</f>
        <v>562.39</v>
      </c>
      <c r="AG225" s="154">
        <f t="shared" si="43"/>
        <v>19.77</v>
      </c>
      <c r="AH225" s="157">
        <f t="shared" si="37"/>
        <v>788.75</v>
      </c>
      <c r="AI225"/>
      <c r="AJ225" s="3"/>
      <c r="AK225" s="164"/>
      <c r="AL225" s="22"/>
      <c r="AM225" s="21"/>
      <c r="AN225" s="23"/>
      <c r="AO225" s="10"/>
      <c r="AP225" s="5" t="str">
        <f t="shared" si="44"/>
        <v/>
      </c>
      <c r="AQ225" s="7" t="str">
        <f t="shared" si="45"/>
        <v/>
      </c>
      <c r="AR225" s="8" t="str">
        <f t="shared" si="38"/>
        <v/>
      </c>
      <c r="AS225" s="31" t="str">
        <f>IF(AT225=0,"",IF(_Ijour1=0,MIN(DATE(YEAR(_DebAmort1),MONTH(_DebAmort1)+(AP225-1)*_Imois1,__Jou1),DATE(YEAR(_DebAmort1),MONTH(_DebAmort1)+1+(AP225-1)*_Imois1,0)),DATE(YEAR(_DebAmort1),MONTH(_DebAmort1),__Jou1+(AP225-1)*_Ijour1)))</f>
        <v/>
      </c>
      <c r="AT225" s="156">
        <f t="shared" si="46"/>
        <v>0</v>
      </c>
      <c r="AU225" s="153">
        <f>IF(AP225&lt;=_NoEchMaxi1,ROUND(AT225*'Données Projet 1'!H234,_NbDeci1),0)</f>
        <v>0</v>
      </c>
      <c r="AV225" s="152">
        <f>IF(OR(AP225&lt;=_Différé1,AP225&gt;_NoEchMaxi1),IF(_DiffTotal1,-AU225,0),IF(AP225&gt;=_NoEchRemb1,AT225,IF('Données Projet 1'!I234-(AU225*_EchFIXE1)&gt;AT225-2,AT225,'Données Projet 1'!I234-(AU225*_EchFIXE1))))+AK225</f>
        <v>0</v>
      </c>
      <c r="AW225" s="154">
        <f t="shared" si="47"/>
        <v>0</v>
      </c>
      <c r="AX225" s="157">
        <f t="shared" si="39"/>
        <v>0</v>
      </c>
    </row>
    <row r="226" spans="20:50" ht="15.75" customHeight="1" x14ac:dyDescent="0.3">
      <c r="T226" s="3"/>
      <c r="U226" s="164"/>
      <c r="V226" s="22"/>
      <c r="W226" s="21"/>
      <c r="X226" s="23"/>
      <c r="Y226" s="10"/>
      <c r="Z226" s="5">
        <f t="shared" si="40"/>
        <v>220</v>
      </c>
      <c r="AA226" s="7">
        <f t="shared" si="41"/>
        <v>201</v>
      </c>
      <c r="AB226" s="8">
        <f t="shared" si="36"/>
        <v>2027</v>
      </c>
      <c r="AC226" s="31">
        <f>IF(AD226=0,"",IF(_Ijour=0,MIN(DATE(YEAR(_DebAmort),MONTH(_DebAmort)+_MoisD+(Z226-1)*_Imois,_Jour2),DATE(YEAR(_DebAmort),MONTH(_DebAmort)+_MoisD+1+(Z226-1)*_Imois,0)),DATE(YEAR(_DebAmort),MONTH(_DebAmort),_Jour1+(Z226-1)*_Ijour)))</f>
        <v>46478</v>
      </c>
      <c r="AD226" s="156">
        <f t="shared" si="42"/>
        <v>132718.28000000012</v>
      </c>
      <c r="AE226" s="153">
        <f>IF(Z226&lt;=_NoEchMaxi,ROUND(AD226*'Données Projet 1'!A235,_NbDeci),0)</f>
        <v>205.71</v>
      </c>
      <c r="AF226" s="152">
        <f>IF(OR(Z226&lt;=_Différé,Z226&gt;_NoEchMaxi),IF(_DiffTotal,-AE226,0),IF(Z226&gt;=_NoEchRemb,AD226,IF('Données Projet 1'!B235-(AE226*_EchFIXE)&gt;AD226-2,AD226,'Données Projet 1'!B235-(AE226*_EchFIXE))))+U226</f>
        <v>563.27</v>
      </c>
      <c r="AG226" s="154">
        <f t="shared" si="43"/>
        <v>19.77</v>
      </c>
      <c r="AH226" s="157">
        <f t="shared" si="37"/>
        <v>788.75</v>
      </c>
      <c r="AI226"/>
      <c r="AJ226" s="3"/>
      <c r="AK226" s="164"/>
      <c r="AL226" s="22"/>
      <c r="AM226" s="21"/>
      <c r="AN226" s="23"/>
      <c r="AO226" s="10"/>
      <c r="AP226" s="5" t="str">
        <f t="shared" si="44"/>
        <v/>
      </c>
      <c r="AQ226" s="7" t="str">
        <f t="shared" si="45"/>
        <v/>
      </c>
      <c r="AR226" s="8" t="str">
        <f t="shared" si="38"/>
        <v/>
      </c>
      <c r="AS226" s="31" t="str">
        <f>IF(AT226=0,"",IF(_Ijour1=0,MIN(DATE(YEAR(_DebAmort1),MONTH(_DebAmort1)+_MoisD1+(AP226-1)*_Imois1,__Jou2),DATE(YEAR(_DebAmort1),MONTH(_DebAmort1)+_MoisD1+1+(AP226-1)*_Imois1,0)),DATE(YEAR(_DebAmort1),MONTH(_DebAmort1),__Jou1+(AP226-1)*_Ijour1)))</f>
        <v/>
      </c>
      <c r="AT226" s="156">
        <f t="shared" si="46"/>
        <v>0</v>
      </c>
      <c r="AU226" s="153">
        <f>IF(AP226&lt;=_NoEchMaxi1,ROUND(AT226*'Données Projet 1'!H235,_NbDeci1),0)</f>
        <v>0</v>
      </c>
      <c r="AV226" s="152">
        <f>IF(OR(AP226&lt;=_Différé1,AP226&gt;_NoEchMaxi1),IF(_DiffTotal1,-AU226,0),IF(AP226&gt;=_NoEchRemb1,AT226,IF('Données Projet 1'!I235-(AU226*_EchFIXE1)&gt;AT226-2,AT226,'Données Projet 1'!I235-(AU226*_EchFIXE1))))+AK226</f>
        <v>0</v>
      </c>
      <c r="AW226" s="154">
        <f t="shared" si="47"/>
        <v>0</v>
      </c>
      <c r="AX226" s="157">
        <f t="shared" si="39"/>
        <v>0</v>
      </c>
    </row>
    <row r="227" spans="20:50" ht="15.75" customHeight="1" x14ac:dyDescent="0.3">
      <c r="T227" s="3"/>
      <c r="U227" s="164"/>
      <c r="V227" s="22"/>
      <c r="W227" s="21"/>
      <c r="X227" s="23"/>
      <c r="Y227" s="10"/>
      <c r="Z227" s="5">
        <f t="shared" si="40"/>
        <v>221</v>
      </c>
      <c r="AA227" s="7">
        <f t="shared" si="41"/>
        <v>200</v>
      </c>
      <c r="AB227" s="8">
        <f t="shared" si="36"/>
        <v>2027</v>
      </c>
      <c r="AC227" s="31">
        <f>IF(AD227=0,"",IF(_Ijour=0,MIN(DATE(YEAR(_DebAmort),MONTH(_DebAmort)+(Z227-1)*_Imois,_Jour1),DATE(YEAR(_DebAmort),MONTH(_DebAmort)+1+(Z227-1)*_Imois,0)),DATE(YEAR(_DebAmort),MONTH(_DebAmort),_Jour1+(Z227-1)*_Ijour)))</f>
        <v>46508</v>
      </c>
      <c r="AD227" s="156">
        <f t="shared" si="42"/>
        <v>132155.01000000013</v>
      </c>
      <c r="AE227" s="153">
        <f>IF(Z227&lt;=_NoEchMaxi,ROUND(AD227*'Données Projet 1'!A236,_NbDeci),0)</f>
        <v>204.84</v>
      </c>
      <c r="AF227" s="152">
        <f>IF(OR(Z227&lt;=_Différé,Z227&gt;_NoEchMaxi),IF(_DiffTotal,-AE227,0),IF(Z227&gt;=_NoEchRemb,AD227,IF('Données Projet 1'!B236-(AE227*_EchFIXE)&gt;AD227-2,AD227,'Données Projet 1'!B236-(AE227*_EchFIXE))))+U227</f>
        <v>564.14</v>
      </c>
      <c r="AG227" s="154">
        <f t="shared" si="43"/>
        <v>19.77</v>
      </c>
      <c r="AH227" s="157">
        <f t="shared" si="37"/>
        <v>788.75</v>
      </c>
      <c r="AI227"/>
      <c r="AJ227" s="3"/>
      <c r="AK227" s="164"/>
      <c r="AL227" s="22"/>
      <c r="AM227" s="21"/>
      <c r="AN227" s="23"/>
      <c r="AO227" s="10"/>
      <c r="AP227" s="5" t="str">
        <f t="shared" si="44"/>
        <v/>
      </c>
      <c r="AQ227" s="7" t="str">
        <f t="shared" si="45"/>
        <v/>
      </c>
      <c r="AR227" s="8" t="str">
        <f t="shared" si="38"/>
        <v/>
      </c>
      <c r="AS227" s="31" t="str">
        <f>IF(AT227=0,"",IF(_Ijour1=0,MIN(DATE(YEAR(_DebAmort1),MONTH(_DebAmort1)+(AP227-1)*_Imois1,__Jou1),DATE(YEAR(_DebAmort1),MONTH(_DebAmort1)+1+(AP227-1)*_Imois1,0)),DATE(YEAR(_DebAmort1),MONTH(_DebAmort1),__Jou1+(AP227-1)*_Ijour1)))</f>
        <v/>
      </c>
      <c r="AT227" s="156">
        <f t="shared" si="46"/>
        <v>0</v>
      </c>
      <c r="AU227" s="153">
        <f>IF(AP227&lt;=_NoEchMaxi1,ROUND(AT227*'Données Projet 1'!H236,_NbDeci1),0)</f>
        <v>0</v>
      </c>
      <c r="AV227" s="152">
        <f>IF(OR(AP227&lt;=_Différé1,AP227&gt;_NoEchMaxi1),IF(_DiffTotal1,-AU227,0),IF(AP227&gt;=_NoEchRemb1,AT227,IF('Données Projet 1'!I236-(AU227*_EchFIXE1)&gt;AT227-2,AT227,'Données Projet 1'!I236-(AU227*_EchFIXE1))))+AK227</f>
        <v>0</v>
      </c>
      <c r="AW227" s="154">
        <f t="shared" si="47"/>
        <v>0</v>
      </c>
      <c r="AX227" s="157">
        <f t="shared" si="39"/>
        <v>0</v>
      </c>
    </row>
    <row r="228" spans="20:50" ht="15.75" customHeight="1" x14ac:dyDescent="0.3">
      <c r="T228" s="3"/>
      <c r="U228" s="164"/>
      <c r="V228" s="22"/>
      <c r="W228" s="21"/>
      <c r="X228" s="23"/>
      <c r="Y228" s="10"/>
      <c r="Z228" s="5">
        <f t="shared" si="40"/>
        <v>222</v>
      </c>
      <c r="AA228" s="7">
        <f t="shared" si="41"/>
        <v>199</v>
      </c>
      <c r="AB228" s="8">
        <f t="shared" si="36"/>
        <v>2027</v>
      </c>
      <c r="AC228" s="31">
        <f>IF(AD228=0,"",IF(_Ijour=0,MIN(DATE(YEAR(_DebAmort),MONTH(_DebAmort)+_MoisD+(Z228-1)*_Imois,_Jour2),DATE(YEAR(_DebAmort),MONTH(_DebAmort)+_MoisD+1+(Z228-1)*_Imois,0)),DATE(YEAR(_DebAmort),MONTH(_DebAmort),_Jour1+(Z228-1)*_Ijour)))</f>
        <v>46539</v>
      </c>
      <c r="AD228" s="156">
        <f t="shared" si="42"/>
        <v>131590.87000000011</v>
      </c>
      <c r="AE228" s="153">
        <f>IF(Z228&lt;=_NoEchMaxi,ROUND(AD228*'Données Projet 1'!A237,_NbDeci),0)</f>
        <v>203.97</v>
      </c>
      <c r="AF228" s="152">
        <f>IF(OR(Z228&lt;=_Différé,Z228&gt;_NoEchMaxi),IF(_DiffTotal,-AE228,0),IF(Z228&gt;=_NoEchRemb,AD228,IF('Données Projet 1'!B237-(AE228*_EchFIXE)&gt;AD228-2,AD228,'Données Projet 1'!B237-(AE228*_EchFIXE))))+U228</f>
        <v>565.01</v>
      </c>
      <c r="AG228" s="154">
        <f t="shared" si="43"/>
        <v>19.77</v>
      </c>
      <c r="AH228" s="157">
        <f t="shared" si="37"/>
        <v>788.75</v>
      </c>
      <c r="AI228"/>
      <c r="AJ228" s="3"/>
      <c r="AK228" s="164"/>
      <c r="AL228" s="22"/>
      <c r="AM228" s="21"/>
      <c r="AN228" s="23"/>
      <c r="AO228" s="10"/>
      <c r="AP228" s="5" t="str">
        <f t="shared" si="44"/>
        <v/>
      </c>
      <c r="AQ228" s="7" t="str">
        <f t="shared" si="45"/>
        <v/>
      </c>
      <c r="AR228" s="8" t="str">
        <f t="shared" si="38"/>
        <v/>
      </c>
      <c r="AS228" s="31" t="str">
        <f>IF(AT228=0,"",IF(_Ijour1=0,MIN(DATE(YEAR(_DebAmort1),MONTH(_DebAmort1)+_MoisD1+(AP228-1)*_Imois1,__Jou2),DATE(YEAR(_DebAmort1),MONTH(_DebAmort1)+_MoisD1+1+(AP228-1)*_Imois1,0)),DATE(YEAR(_DebAmort1),MONTH(_DebAmort1),__Jou1+(AP228-1)*_Ijour1)))</f>
        <v/>
      </c>
      <c r="AT228" s="156">
        <f t="shared" si="46"/>
        <v>0</v>
      </c>
      <c r="AU228" s="153">
        <f>IF(AP228&lt;=_NoEchMaxi1,ROUND(AT228*'Données Projet 1'!H237,_NbDeci1),0)</f>
        <v>0</v>
      </c>
      <c r="AV228" s="152">
        <f>IF(OR(AP228&lt;=_Différé1,AP228&gt;_NoEchMaxi1),IF(_DiffTotal1,-AU228,0),IF(AP228&gt;=_NoEchRemb1,AT228,IF('Données Projet 1'!I237-(AU228*_EchFIXE1)&gt;AT228-2,AT228,'Données Projet 1'!I237-(AU228*_EchFIXE1))))+AK228</f>
        <v>0</v>
      </c>
      <c r="AW228" s="154">
        <f t="shared" si="47"/>
        <v>0</v>
      </c>
      <c r="AX228" s="157">
        <f t="shared" si="39"/>
        <v>0</v>
      </c>
    </row>
    <row r="229" spans="20:50" ht="15.75" customHeight="1" x14ac:dyDescent="0.3">
      <c r="T229" s="3"/>
      <c r="U229" s="164"/>
      <c r="V229" s="22"/>
      <c r="W229" s="21"/>
      <c r="X229" s="23"/>
      <c r="Y229" s="10"/>
      <c r="Z229" s="5">
        <f t="shared" si="40"/>
        <v>223</v>
      </c>
      <c r="AA229" s="7">
        <f t="shared" si="41"/>
        <v>198</v>
      </c>
      <c r="AB229" s="8">
        <f t="shared" si="36"/>
        <v>2027</v>
      </c>
      <c r="AC229" s="31">
        <f>IF(AD229=0,"",IF(_Ijour=0,MIN(DATE(YEAR(_DebAmort),MONTH(_DebAmort)+(Z229-1)*_Imois,_Jour1),DATE(YEAR(_DebAmort),MONTH(_DebAmort)+1+(Z229-1)*_Imois,0)),DATE(YEAR(_DebAmort),MONTH(_DebAmort),_Jour1+(Z229-1)*_Ijour)))</f>
        <v>46569</v>
      </c>
      <c r="AD229" s="156">
        <f t="shared" si="42"/>
        <v>131025.86000000012</v>
      </c>
      <c r="AE229" s="153">
        <f>IF(Z229&lt;=_NoEchMaxi,ROUND(AD229*'Données Projet 1'!A238,_NbDeci),0)</f>
        <v>203.09</v>
      </c>
      <c r="AF229" s="152">
        <f>IF(OR(Z229&lt;=_Différé,Z229&gt;_NoEchMaxi),IF(_DiffTotal,-AE229,0),IF(Z229&gt;=_NoEchRemb,AD229,IF('Données Projet 1'!B238-(AE229*_EchFIXE)&gt;AD229-2,AD229,'Données Projet 1'!B238-(AE229*_EchFIXE))))+U229</f>
        <v>565.89</v>
      </c>
      <c r="AG229" s="154">
        <f t="shared" si="43"/>
        <v>19.77</v>
      </c>
      <c r="AH229" s="157">
        <f t="shared" si="37"/>
        <v>788.75</v>
      </c>
      <c r="AI229"/>
      <c r="AJ229" s="3"/>
      <c r="AK229" s="164"/>
      <c r="AL229" s="22"/>
      <c r="AM229" s="21"/>
      <c r="AN229" s="23"/>
      <c r="AO229" s="10"/>
      <c r="AP229" s="5" t="str">
        <f t="shared" si="44"/>
        <v/>
      </c>
      <c r="AQ229" s="7" t="str">
        <f t="shared" si="45"/>
        <v/>
      </c>
      <c r="AR229" s="8" t="str">
        <f t="shared" si="38"/>
        <v/>
      </c>
      <c r="AS229" s="31" t="str">
        <f>IF(AT229=0,"",IF(_Ijour1=0,MIN(DATE(YEAR(_DebAmort1),MONTH(_DebAmort1)+(AP229-1)*_Imois1,__Jou1),DATE(YEAR(_DebAmort1),MONTH(_DebAmort1)+1+(AP229-1)*_Imois1,0)),DATE(YEAR(_DebAmort1),MONTH(_DebAmort1),__Jou1+(AP229-1)*_Ijour1)))</f>
        <v/>
      </c>
      <c r="AT229" s="156">
        <f t="shared" si="46"/>
        <v>0</v>
      </c>
      <c r="AU229" s="153">
        <f>IF(AP229&lt;=_NoEchMaxi1,ROUND(AT229*'Données Projet 1'!H238,_NbDeci1),0)</f>
        <v>0</v>
      </c>
      <c r="AV229" s="152">
        <f>IF(OR(AP229&lt;=_Différé1,AP229&gt;_NoEchMaxi1),IF(_DiffTotal1,-AU229,0),IF(AP229&gt;=_NoEchRemb1,AT229,IF('Données Projet 1'!I238-(AU229*_EchFIXE1)&gt;AT229-2,AT229,'Données Projet 1'!I238-(AU229*_EchFIXE1))))+AK229</f>
        <v>0</v>
      </c>
      <c r="AW229" s="154">
        <f t="shared" si="47"/>
        <v>0</v>
      </c>
      <c r="AX229" s="157">
        <f t="shared" si="39"/>
        <v>0</v>
      </c>
    </row>
    <row r="230" spans="20:50" ht="15.75" customHeight="1" x14ac:dyDescent="0.3">
      <c r="T230" s="3"/>
      <c r="U230" s="164"/>
      <c r="V230" s="22"/>
      <c r="W230" s="21"/>
      <c r="X230" s="23"/>
      <c r="Y230" s="10"/>
      <c r="Z230" s="5">
        <f t="shared" si="40"/>
        <v>224</v>
      </c>
      <c r="AA230" s="7">
        <f t="shared" si="41"/>
        <v>197</v>
      </c>
      <c r="AB230" s="8">
        <f t="shared" si="36"/>
        <v>2027</v>
      </c>
      <c r="AC230" s="31">
        <f>IF(AD230=0,"",IF(_Ijour=0,MIN(DATE(YEAR(_DebAmort),MONTH(_DebAmort)+_MoisD+(Z230-1)*_Imois,_Jour2),DATE(YEAR(_DebAmort),MONTH(_DebAmort)+_MoisD+1+(Z230-1)*_Imois,0)),DATE(YEAR(_DebAmort),MONTH(_DebAmort),_Jour1+(Z230-1)*_Ijour)))</f>
        <v>46600</v>
      </c>
      <c r="AD230" s="156">
        <f t="shared" si="42"/>
        <v>130459.97000000012</v>
      </c>
      <c r="AE230" s="153">
        <f>IF(Z230&lt;=_NoEchMaxi,ROUND(AD230*'Données Projet 1'!A239,_NbDeci),0)</f>
        <v>202.21</v>
      </c>
      <c r="AF230" s="152">
        <f>IF(OR(Z230&lt;=_Différé,Z230&gt;_NoEchMaxi),IF(_DiffTotal,-AE230,0),IF(Z230&gt;=_NoEchRemb,AD230,IF('Données Projet 1'!B239-(AE230*_EchFIXE)&gt;AD230-2,AD230,'Données Projet 1'!B239-(AE230*_EchFIXE))))+U230</f>
        <v>566.77</v>
      </c>
      <c r="AG230" s="154">
        <f t="shared" si="43"/>
        <v>19.77</v>
      </c>
      <c r="AH230" s="157">
        <f t="shared" si="37"/>
        <v>788.75</v>
      </c>
      <c r="AI230"/>
      <c r="AJ230" s="3"/>
      <c r="AK230" s="164"/>
      <c r="AL230" s="22"/>
      <c r="AM230" s="21"/>
      <c r="AN230" s="23"/>
      <c r="AO230" s="10"/>
      <c r="AP230" s="5" t="str">
        <f t="shared" si="44"/>
        <v/>
      </c>
      <c r="AQ230" s="7" t="str">
        <f t="shared" si="45"/>
        <v/>
      </c>
      <c r="AR230" s="8" t="str">
        <f t="shared" si="38"/>
        <v/>
      </c>
      <c r="AS230" s="31" t="str">
        <f>IF(AT230=0,"",IF(_Ijour1=0,MIN(DATE(YEAR(_DebAmort1),MONTH(_DebAmort1)+_MoisD1+(AP230-1)*_Imois1,__Jou2),DATE(YEAR(_DebAmort1),MONTH(_DebAmort1)+_MoisD1+1+(AP230-1)*_Imois1,0)),DATE(YEAR(_DebAmort1),MONTH(_DebAmort1),__Jou1+(AP230-1)*_Ijour1)))</f>
        <v/>
      </c>
      <c r="AT230" s="156">
        <f t="shared" si="46"/>
        <v>0</v>
      </c>
      <c r="AU230" s="153">
        <f>IF(AP230&lt;=_NoEchMaxi1,ROUND(AT230*'Données Projet 1'!H239,_NbDeci1),0)</f>
        <v>0</v>
      </c>
      <c r="AV230" s="152">
        <f>IF(OR(AP230&lt;=_Différé1,AP230&gt;_NoEchMaxi1),IF(_DiffTotal1,-AU230,0),IF(AP230&gt;=_NoEchRemb1,AT230,IF('Données Projet 1'!I239-(AU230*_EchFIXE1)&gt;AT230-2,AT230,'Données Projet 1'!I239-(AU230*_EchFIXE1))))+AK230</f>
        <v>0</v>
      </c>
      <c r="AW230" s="154">
        <f t="shared" si="47"/>
        <v>0</v>
      </c>
      <c r="AX230" s="157">
        <f t="shared" si="39"/>
        <v>0</v>
      </c>
    </row>
    <row r="231" spans="20:50" ht="15.75" customHeight="1" x14ac:dyDescent="0.3">
      <c r="T231" s="3"/>
      <c r="U231" s="164"/>
      <c r="V231" s="22"/>
      <c r="W231" s="21"/>
      <c r="X231" s="23"/>
      <c r="Y231" s="10"/>
      <c r="Z231" s="5">
        <f t="shared" si="40"/>
        <v>225</v>
      </c>
      <c r="AA231" s="7">
        <f t="shared" si="41"/>
        <v>196</v>
      </c>
      <c r="AB231" s="8">
        <f t="shared" si="36"/>
        <v>2027</v>
      </c>
      <c r="AC231" s="31">
        <f>IF(AD231=0,"",IF(_Ijour=0,MIN(DATE(YEAR(_DebAmort),MONTH(_DebAmort)+(Z231-1)*_Imois,_Jour1),DATE(YEAR(_DebAmort),MONTH(_DebAmort)+1+(Z231-1)*_Imois,0)),DATE(YEAR(_DebAmort),MONTH(_DebAmort),_Jour1+(Z231-1)*_Ijour)))</f>
        <v>46631</v>
      </c>
      <c r="AD231" s="156">
        <f t="shared" si="42"/>
        <v>129893.20000000011</v>
      </c>
      <c r="AE231" s="153">
        <f>IF(Z231&lt;=_NoEchMaxi,ROUND(AD231*'Données Projet 1'!A240,_NbDeci),0)</f>
        <v>201.33</v>
      </c>
      <c r="AF231" s="152">
        <f>IF(OR(Z231&lt;=_Différé,Z231&gt;_NoEchMaxi),IF(_DiffTotal,-AE231,0),IF(Z231&gt;=_NoEchRemb,AD231,IF('Données Projet 1'!B240-(AE231*_EchFIXE)&gt;AD231-2,AD231,'Données Projet 1'!B240-(AE231*_EchFIXE))))+U231</f>
        <v>567.65</v>
      </c>
      <c r="AG231" s="154">
        <f t="shared" si="43"/>
        <v>19.77</v>
      </c>
      <c r="AH231" s="157">
        <f t="shared" si="37"/>
        <v>788.75</v>
      </c>
      <c r="AI231"/>
      <c r="AJ231" s="3"/>
      <c r="AK231" s="164"/>
      <c r="AL231" s="22"/>
      <c r="AM231" s="21"/>
      <c r="AN231" s="23"/>
      <c r="AO231" s="10"/>
      <c r="AP231" s="5" t="str">
        <f t="shared" si="44"/>
        <v/>
      </c>
      <c r="AQ231" s="7" t="str">
        <f t="shared" si="45"/>
        <v/>
      </c>
      <c r="AR231" s="8" t="str">
        <f t="shared" si="38"/>
        <v/>
      </c>
      <c r="AS231" s="31" t="str">
        <f>IF(AT231=0,"",IF(_Ijour1=0,MIN(DATE(YEAR(_DebAmort1),MONTH(_DebAmort1)+(AP231-1)*_Imois1,__Jou1),DATE(YEAR(_DebAmort1),MONTH(_DebAmort1)+1+(AP231-1)*_Imois1,0)),DATE(YEAR(_DebAmort1),MONTH(_DebAmort1),__Jou1+(AP231-1)*_Ijour1)))</f>
        <v/>
      </c>
      <c r="AT231" s="156">
        <f t="shared" si="46"/>
        <v>0</v>
      </c>
      <c r="AU231" s="153">
        <f>IF(AP231&lt;=_NoEchMaxi1,ROUND(AT231*'Données Projet 1'!H240,_NbDeci1),0)</f>
        <v>0</v>
      </c>
      <c r="AV231" s="152">
        <f>IF(OR(AP231&lt;=_Différé1,AP231&gt;_NoEchMaxi1),IF(_DiffTotal1,-AU231,0),IF(AP231&gt;=_NoEchRemb1,AT231,IF('Données Projet 1'!I240-(AU231*_EchFIXE1)&gt;AT231-2,AT231,'Données Projet 1'!I240-(AU231*_EchFIXE1))))+AK231</f>
        <v>0</v>
      </c>
      <c r="AW231" s="154">
        <f t="shared" si="47"/>
        <v>0</v>
      </c>
      <c r="AX231" s="157">
        <f t="shared" si="39"/>
        <v>0</v>
      </c>
    </row>
    <row r="232" spans="20:50" ht="15.75" customHeight="1" x14ac:dyDescent="0.3">
      <c r="T232" s="3"/>
      <c r="U232" s="164"/>
      <c r="V232" s="22"/>
      <c r="W232" s="21"/>
      <c r="X232" s="23"/>
      <c r="Y232" s="10"/>
      <c r="Z232" s="5">
        <f t="shared" si="40"/>
        <v>226</v>
      </c>
      <c r="AA232" s="7">
        <f t="shared" si="41"/>
        <v>195</v>
      </c>
      <c r="AB232" s="8">
        <f t="shared" si="36"/>
        <v>2027</v>
      </c>
      <c r="AC232" s="31">
        <f>IF(AD232=0,"",IF(_Ijour=0,MIN(DATE(YEAR(_DebAmort),MONTH(_DebAmort)+_MoisD+(Z232-1)*_Imois,_Jour2),DATE(YEAR(_DebAmort),MONTH(_DebAmort)+_MoisD+1+(Z232-1)*_Imois,0)),DATE(YEAR(_DebAmort),MONTH(_DebAmort),_Jour1+(Z232-1)*_Ijour)))</f>
        <v>46661</v>
      </c>
      <c r="AD232" s="156">
        <f t="shared" si="42"/>
        <v>129325.55000000012</v>
      </c>
      <c r="AE232" s="153">
        <f>IF(Z232&lt;=_NoEchMaxi,ROUND(AD232*'Données Projet 1'!A241,_NbDeci),0)</f>
        <v>200.45</v>
      </c>
      <c r="AF232" s="152">
        <f>IF(OR(Z232&lt;=_Différé,Z232&gt;_NoEchMaxi),IF(_DiffTotal,-AE232,0),IF(Z232&gt;=_NoEchRemb,AD232,IF('Données Projet 1'!B241-(AE232*_EchFIXE)&gt;AD232-2,AD232,'Données Projet 1'!B241-(AE232*_EchFIXE))))+U232</f>
        <v>568.53</v>
      </c>
      <c r="AG232" s="154">
        <f t="shared" si="43"/>
        <v>19.77</v>
      </c>
      <c r="AH232" s="157">
        <f t="shared" si="37"/>
        <v>788.75</v>
      </c>
      <c r="AI232"/>
      <c r="AJ232" s="3"/>
      <c r="AK232" s="164"/>
      <c r="AL232" s="22"/>
      <c r="AM232" s="21"/>
      <c r="AN232" s="23"/>
      <c r="AO232" s="10"/>
      <c r="AP232" s="5" t="str">
        <f t="shared" si="44"/>
        <v/>
      </c>
      <c r="AQ232" s="7" t="str">
        <f t="shared" si="45"/>
        <v/>
      </c>
      <c r="AR232" s="8" t="str">
        <f t="shared" si="38"/>
        <v/>
      </c>
      <c r="AS232" s="31" t="str">
        <f>IF(AT232=0,"",IF(_Ijour1=0,MIN(DATE(YEAR(_DebAmort1),MONTH(_DebAmort1)+_MoisD1+(AP232-1)*_Imois1,__Jou2),DATE(YEAR(_DebAmort1),MONTH(_DebAmort1)+_MoisD1+1+(AP232-1)*_Imois1,0)),DATE(YEAR(_DebAmort1),MONTH(_DebAmort1),__Jou1+(AP232-1)*_Ijour1)))</f>
        <v/>
      </c>
      <c r="AT232" s="156">
        <f t="shared" si="46"/>
        <v>0</v>
      </c>
      <c r="AU232" s="153">
        <f>IF(AP232&lt;=_NoEchMaxi1,ROUND(AT232*'Données Projet 1'!H241,_NbDeci1),0)</f>
        <v>0</v>
      </c>
      <c r="AV232" s="152">
        <f>IF(OR(AP232&lt;=_Différé1,AP232&gt;_NoEchMaxi1),IF(_DiffTotal1,-AU232,0),IF(AP232&gt;=_NoEchRemb1,AT232,IF('Données Projet 1'!I241-(AU232*_EchFIXE1)&gt;AT232-2,AT232,'Données Projet 1'!I241-(AU232*_EchFIXE1))))+AK232</f>
        <v>0</v>
      </c>
      <c r="AW232" s="154">
        <f t="shared" si="47"/>
        <v>0</v>
      </c>
      <c r="AX232" s="157">
        <f t="shared" si="39"/>
        <v>0</v>
      </c>
    </row>
    <row r="233" spans="20:50" ht="15.75" customHeight="1" x14ac:dyDescent="0.3">
      <c r="T233" s="3"/>
      <c r="U233" s="164"/>
      <c r="V233" s="22"/>
      <c r="W233" s="21"/>
      <c r="X233" s="23"/>
      <c r="Y233" s="10"/>
      <c r="Z233" s="5">
        <f t="shared" si="40"/>
        <v>227</v>
      </c>
      <c r="AA233" s="7">
        <f t="shared" si="41"/>
        <v>194</v>
      </c>
      <c r="AB233" s="8">
        <f t="shared" si="36"/>
        <v>2027</v>
      </c>
      <c r="AC233" s="31">
        <f>IF(AD233=0,"",IF(_Ijour=0,MIN(DATE(YEAR(_DebAmort),MONTH(_DebAmort)+(Z233-1)*_Imois,_Jour1),DATE(YEAR(_DebAmort),MONTH(_DebAmort)+1+(Z233-1)*_Imois,0)),DATE(YEAR(_DebAmort),MONTH(_DebAmort),_Jour1+(Z233-1)*_Ijour)))</f>
        <v>46692</v>
      </c>
      <c r="AD233" s="156">
        <f t="shared" si="42"/>
        <v>128757.02000000012</v>
      </c>
      <c r="AE233" s="153">
        <f>IF(Z233&lt;=_NoEchMaxi,ROUND(AD233*'Données Projet 1'!A242,_NbDeci),0)</f>
        <v>199.57</v>
      </c>
      <c r="AF233" s="152">
        <f>IF(OR(Z233&lt;=_Différé,Z233&gt;_NoEchMaxi),IF(_DiffTotal,-AE233,0),IF(Z233&gt;=_NoEchRemb,AD233,IF('Données Projet 1'!B242-(AE233*_EchFIXE)&gt;AD233-2,AD233,'Données Projet 1'!B242-(AE233*_EchFIXE))))+U233</f>
        <v>569.41000000000008</v>
      </c>
      <c r="AG233" s="154">
        <f t="shared" si="43"/>
        <v>19.77</v>
      </c>
      <c r="AH233" s="157">
        <f t="shared" si="37"/>
        <v>788.75</v>
      </c>
      <c r="AI233"/>
      <c r="AJ233" s="3"/>
      <c r="AK233" s="164"/>
      <c r="AL233" s="22"/>
      <c r="AM233" s="21"/>
      <c r="AN233" s="23"/>
      <c r="AO233" s="10"/>
      <c r="AP233" s="5" t="str">
        <f t="shared" si="44"/>
        <v/>
      </c>
      <c r="AQ233" s="7" t="str">
        <f t="shared" si="45"/>
        <v/>
      </c>
      <c r="AR233" s="8" t="str">
        <f t="shared" si="38"/>
        <v/>
      </c>
      <c r="AS233" s="31" t="str">
        <f>IF(AT233=0,"",IF(_Ijour1=0,MIN(DATE(YEAR(_DebAmort1),MONTH(_DebAmort1)+(AP233-1)*_Imois1,__Jou1),DATE(YEAR(_DebAmort1),MONTH(_DebAmort1)+1+(AP233-1)*_Imois1,0)),DATE(YEAR(_DebAmort1),MONTH(_DebAmort1),__Jou1+(AP233-1)*_Ijour1)))</f>
        <v/>
      </c>
      <c r="AT233" s="156">
        <f t="shared" si="46"/>
        <v>0</v>
      </c>
      <c r="AU233" s="153">
        <f>IF(AP233&lt;=_NoEchMaxi1,ROUND(AT233*'Données Projet 1'!H242,_NbDeci1),0)</f>
        <v>0</v>
      </c>
      <c r="AV233" s="152">
        <f>IF(OR(AP233&lt;=_Différé1,AP233&gt;_NoEchMaxi1),IF(_DiffTotal1,-AU233,0),IF(AP233&gt;=_NoEchRemb1,AT233,IF('Données Projet 1'!I242-(AU233*_EchFIXE1)&gt;AT233-2,AT233,'Données Projet 1'!I242-(AU233*_EchFIXE1))))+AK233</f>
        <v>0</v>
      </c>
      <c r="AW233" s="154">
        <f t="shared" si="47"/>
        <v>0</v>
      </c>
      <c r="AX233" s="157">
        <f t="shared" si="39"/>
        <v>0</v>
      </c>
    </row>
    <row r="234" spans="20:50" ht="15.75" customHeight="1" x14ac:dyDescent="0.3">
      <c r="T234" s="3"/>
      <c r="U234" s="164"/>
      <c r="V234" s="22"/>
      <c r="W234" s="21"/>
      <c r="X234" s="23"/>
      <c r="Y234" s="10"/>
      <c r="Z234" s="5">
        <f t="shared" si="40"/>
        <v>228</v>
      </c>
      <c r="AA234" s="7">
        <f t="shared" si="41"/>
        <v>193</v>
      </c>
      <c r="AB234" s="8">
        <f t="shared" si="36"/>
        <v>2027</v>
      </c>
      <c r="AC234" s="31">
        <f>IF(AD234=0,"",IF(_Ijour=0,MIN(DATE(YEAR(_DebAmort),MONTH(_DebAmort)+_MoisD+(Z234-1)*_Imois,_Jour2),DATE(YEAR(_DebAmort),MONTH(_DebAmort)+_MoisD+1+(Z234-1)*_Imois,0)),DATE(YEAR(_DebAmort),MONTH(_DebAmort),_Jour1+(Z234-1)*_Ijour)))</f>
        <v>46722</v>
      </c>
      <c r="AD234" s="156">
        <f t="shared" si="42"/>
        <v>128187.61000000012</v>
      </c>
      <c r="AE234" s="153">
        <f>IF(Z234&lt;=_NoEchMaxi,ROUND(AD234*'Données Projet 1'!A243,_NbDeci),0)</f>
        <v>198.69</v>
      </c>
      <c r="AF234" s="152">
        <f>IF(OR(Z234&lt;=_Différé,Z234&gt;_NoEchMaxi),IF(_DiffTotal,-AE234,0),IF(Z234&gt;=_NoEchRemb,AD234,IF('Données Projet 1'!B243-(AE234*_EchFIXE)&gt;AD234-2,AD234,'Données Projet 1'!B243-(AE234*_EchFIXE))))+U234</f>
        <v>570.29</v>
      </c>
      <c r="AG234" s="154">
        <f t="shared" si="43"/>
        <v>19.77</v>
      </c>
      <c r="AH234" s="157">
        <f t="shared" si="37"/>
        <v>788.75</v>
      </c>
      <c r="AI234"/>
      <c r="AJ234" s="3"/>
      <c r="AK234" s="164"/>
      <c r="AL234" s="22"/>
      <c r="AM234" s="21"/>
      <c r="AN234" s="23"/>
      <c r="AO234" s="10"/>
      <c r="AP234" s="5" t="str">
        <f t="shared" si="44"/>
        <v/>
      </c>
      <c r="AQ234" s="7" t="str">
        <f t="shared" si="45"/>
        <v/>
      </c>
      <c r="AR234" s="8" t="str">
        <f t="shared" si="38"/>
        <v/>
      </c>
      <c r="AS234" s="31" t="str">
        <f>IF(AT234=0,"",IF(_Ijour1=0,MIN(DATE(YEAR(_DebAmort1),MONTH(_DebAmort1)+_MoisD1+(AP234-1)*_Imois1,__Jou2),DATE(YEAR(_DebAmort1),MONTH(_DebAmort1)+_MoisD1+1+(AP234-1)*_Imois1,0)),DATE(YEAR(_DebAmort1),MONTH(_DebAmort1),__Jou1+(AP234-1)*_Ijour1)))</f>
        <v/>
      </c>
      <c r="AT234" s="156">
        <f t="shared" si="46"/>
        <v>0</v>
      </c>
      <c r="AU234" s="153">
        <f>IF(AP234&lt;=_NoEchMaxi1,ROUND(AT234*'Données Projet 1'!H243,_NbDeci1),0)</f>
        <v>0</v>
      </c>
      <c r="AV234" s="152">
        <f>IF(OR(AP234&lt;=_Différé1,AP234&gt;_NoEchMaxi1),IF(_DiffTotal1,-AU234,0),IF(AP234&gt;=_NoEchRemb1,AT234,IF('Données Projet 1'!I243-(AU234*_EchFIXE1)&gt;AT234-2,AT234,'Données Projet 1'!I243-(AU234*_EchFIXE1))))+AK234</f>
        <v>0</v>
      </c>
      <c r="AW234" s="154">
        <f t="shared" si="47"/>
        <v>0</v>
      </c>
      <c r="AX234" s="157">
        <f t="shared" si="39"/>
        <v>0</v>
      </c>
    </row>
    <row r="235" spans="20:50" ht="15.75" customHeight="1" x14ac:dyDescent="0.3">
      <c r="T235" s="3"/>
      <c r="U235" s="164"/>
      <c r="V235" s="22"/>
      <c r="W235" s="21"/>
      <c r="X235" s="23"/>
      <c r="Y235" s="10"/>
      <c r="Z235" s="5">
        <f t="shared" si="40"/>
        <v>229</v>
      </c>
      <c r="AA235" s="7">
        <f t="shared" si="41"/>
        <v>192</v>
      </c>
      <c r="AB235" s="8">
        <f t="shared" si="36"/>
        <v>2028</v>
      </c>
      <c r="AC235" s="31">
        <f>IF(AD235=0,"",IF(_Ijour=0,MIN(DATE(YEAR(_DebAmort),MONTH(_DebAmort)+(Z235-1)*_Imois,_Jour1),DATE(YEAR(_DebAmort),MONTH(_DebAmort)+1+(Z235-1)*_Imois,0)),DATE(YEAR(_DebAmort),MONTH(_DebAmort),_Jour1+(Z235-1)*_Ijour)))</f>
        <v>46753</v>
      </c>
      <c r="AD235" s="156">
        <f t="shared" si="42"/>
        <v>127617.32000000012</v>
      </c>
      <c r="AE235" s="153">
        <f>IF(Z235&lt;=_NoEchMaxi,ROUND(AD235*'Données Projet 1'!A244,_NbDeci),0)</f>
        <v>197.81</v>
      </c>
      <c r="AF235" s="152">
        <f>IF(OR(Z235&lt;=_Différé,Z235&gt;_NoEchMaxi),IF(_DiffTotal,-AE235,0),IF(Z235&gt;=_NoEchRemb,AD235,IF('Données Projet 1'!B244-(AE235*_EchFIXE)&gt;AD235-2,AD235,'Données Projet 1'!B244-(AE235*_EchFIXE))))+U235</f>
        <v>571.17000000000007</v>
      </c>
      <c r="AG235" s="154">
        <f t="shared" si="43"/>
        <v>19.77</v>
      </c>
      <c r="AH235" s="157">
        <f t="shared" si="37"/>
        <v>788.75</v>
      </c>
      <c r="AI235"/>
      <c r="AJ235" s="3"/>
      <c r="AK235" s="164"/>
      <c r="AL235" s="22"/>
      <c r="AM235" s="21"/>
      <c r="AN235" s="23"/>
      <c r="AO235" s="10"/>
      <c r="AP235" s="5" t="str">
        <f t="shared" si="44"/>
        <v/>
      </c>
      <c r="AQ235" s="7" t="str">
        <f t="shared" si="45"/>
        <v/>
      </c>
      <c r="AR235" s="8" t="str">
        <f t="shared" si="38"/>
        <v/>
      </c>
      <c r="AS235" s="31" t="str">
        <f>IF(AT235=0,"",IF(_Ijour1=0,MIN(DATE(YEAR(_DebAmort1),MONTH(_DebAmort1)+(AP235-1)*_Imois1,__Jou1),DATE(YEAR(_DebAmort1),MONTH(_DebAmort1)+1+(AP235-1)*_Imois1,0)),DATE(YEAR(_DebAmort1),MONTH(_DebAmort1),__Jou1+(AP235-1)*_Ijour1)))</f>
        <v/>
      </c>
      <c r="AT235" s="156">
        <f t="shared" si="46"/>
        <v>0</v>
      </c>
      <c r="AU235" s="153">
        <f>IF(AP235&lt;=_NoEchMaxi1,ROUND(AT235*'Données Projet 1'!H244,_NbDeci1),0)</f>
        <v>0</v>
      </c>
      <c r="AV235" s="152">
        <f>IF(OR(AP235&lt;=_Différé1,AP235&gt;_NoEchMaxi1),IF(_DiffTotal1,-AU235,0),IF(AP235&gt;=_NoEchRemb1,AT235,IF('Données Projet 1'!I244-(AU235*_EchFIXE1)&gt;AT235-2,AT235,'Données Projet 1'!I244-(AU235*_EchFIXE1))))+AK235</f>
        <v>0</v>
      </c>
      <c r="AW235" s="154">
        <f t="shared" si="47"/>
        <v>0</v>
      </c>
      <c r="AX235" s="157">
        <f t="shared" si="39"/>
        <v>0</v>
      </c>
    </row>
    <row r="236" spans="20:50" ht="15.75" customHeight="1" x14ac:dyDescent="0.3">
      <c r="T236" s="3"/>
      <c r="U236" s="164"/>
      <c r="V236" s="22"/>
      <c r="W236" s="21"/>
      <c r="X236" s="23"/>
      <c r="Y236" s="10"/>
      <c r="Z236" s="5">
        <f t="shared" si="40"/>
        <v>230</v>
      </c>
      <c r="AA236" s="7">
        <f t="shared" si="41"/>
        <v>191</v>
      </c>
      <c r="AB236" s="8">
        <f t="shared" si="36"/>
        <v>2028</v>
      </c>
      <c r="AC236" s="31">
        <f>IF(AD236=0,"",IF(_Ijour=0,MIN(DATE(YEAR(_DebAmort),MONTH(_DebAmort)+_MoisD+(Z236-1)*_Imois,_Jour2),DATE(YEAR(_DebAmort),MONTH(_DebAmort)+_MoisD+1+(Z236-1)*_Imois,0)),DATE(YEAR(_DebAmort),MONTH(_DebAmort),_Jour1+(Z236-1)*_Ijour)))</f>
        <v>46784</v>
      </c>
      <c r="AD236" s="156">
        <f t="shared" si="42"/>
        <v>127046.15000000013</v>
      </c>
      <c r="AE236" s="153">
        <f>IF(Z236&lt;=_NoEchMaxi,ROUND(AD236*'Données Projet 1'!A245,_NbDeci),0)</f>
        <v>196.92</v>
      </c>
      <c r="AF236" s="152">
        <f>IF(OR(Z236&lt;=_Différé,Z236&gt;_NoEchMaxi),IF(_DiffTotal,-AE236,0),IF(Z236&gt;=_NoEchRemb,AD236,IF('Données Projet 1'!B245-(AE236*_EchFIXE)&gt;AD236-2,AD236,'Données Projet 1'!B245-(AE236*_EchFIXE))))+U236</f>
        <v>572.06000000000006</v>
      </c>
      <c r="AG236" s="154">
        <f t="shared" si="43"/>
        <v>19.77</v>
      </c>
      <c r="AH236" s="157">
        <f t="shared" si="37"/>
        <v>788.75</v>
      </c>
      <c r="AI236"/>
      <c r="AJ236" s="3"/>
      <c r="AK236" s="164"/>
      <c r="AL236" s="22"/>
      <c r="AM236" s="21"/>
      <c r="AN236" s="23"/>
      <c r="AO236" s="10"/>
      <c r="AP236" s="5" t="str">
        <f t="shared" si="44"/>
        <v/>
      </c>
      <c r="AQ236" s="7" t="str">
        <f t="shared" si="45"/>
        <v/>
      </c>
      <c r="AR236" s="8" t="str">
        <f t="shared" si="38"/>
        <v/>
      </c>
      <c r="AS236" s="31" t="str">
        <f>IF(AT236=0,"",IF(_Ijour1=0,MIN(DATE(YEAR(_DebAmort1),MONTH(_DebAmort1)+_MoisD1+(AP236-1)*_Imois1,__Jou2),DATE(YEAR(_DebAmort1),MONTH(_DebAmort1)+_MoisD1+1+(AP236-1)*_Imois1,0)),DATE(YEAR(_DebAmort1),MONTH(_DebAmort1),__Jou1+(AP236-1)*_Ijour1)))</f>
        <v/>
      </c>
      <c r="AT236" s="156">
        <f t="shared" si="46"/>
        <v>0</v>
      </c>
      <c r="AU236" s="153">
        <f>IF(AP236&lt;=_NoEchMaxi1,ROUND(AT236*'Données Projet 1'!H245,_NbDeci1),0)</f>
        <v>0</v>
      </c>
      <c r="AV236" s="152">
        <f>IF(OR(AP236&lt;=_Différé1,AP236&gt;_NoEchMaxi1),IF(_DiffTotal1,-AU236,0),IF(AP236&gt;=_NoEchRemb1,AT236,IF('Données Projet 1'!I245-(AU236*_EchFIXE1)&gt;AT236-2,AT236,'Données Projet 1'!I245-(AU236*_EchFIXE1))))+AK236</f>
        <v>0</v>
      </c>
      <c r="AW236" s="154">
        <f t="shared" si="47"/>
        <v>0</v>
      </c>
      <c r="AX236" s="157">
        <f t="shared" si="39"/>
        <v>0</v>
      </c>
    </row>
    <row r="237" spans="20:50" ht="15.75" customHeight="1" x14ac:dyDescent="0.3">
      <c r="T237" s="3"/>
      <c r="U237" s="164"/>
      <c r="V237" s="22"/>
      <c r="W237" s="21"/>
      <c r="X237" s="23"/>
      <c r="Y237" s="10"/>
      <c r="Z237" s="5">
        <f t="shared" si="40"/>
        <v>231</v>
      </c>
      <c r="AA237" s="7">
        <f t="shared" si="41"/>
        <v>190</v>
      </c>
      <c r="AB237" s="8">
        <f t="shared" si="36"/>
        <v>2028</v>
      </c>
      <c r="AC237" s="31">
        <f>IF(AD237=0,"",IF(_Ijour=0,MIN(DATE(YEAR(_DebAmort),MONTH(_DebAmort)+(Z237-1)*_Imois,_Jour1),DATE(YEAR(_DebAmort),MONTH(_DebAmort)+1+(Z237-1)*_Imois,0)),DATE(YEAR(_DebAmort),MONTH(_DebAmort),_Jour1+(Z237-1)*_Ijour)))</f>
        <v>46813</v>
      </c>
      <c r="AD237" s="156">
        <f t="shared" si="42"/>
        <v>126474.09000000013</v>
      </c>
      <c r="AE237" s="153">
        <f>IF(Z237&lt;=_NoEchMaxi,ROUND(AD237*'Données Projet 1'!A246,_NbDeci),0)</f>
        <v>196.03</v>
      </c>
      <c r="AF237" s="152">
        <f>IF(OR(Z237&lt;=_Différé,Z237&gt;_NoEchMaxi),IF(_DiffTotal,-AE237,0),IF(Z237&gt;=_NoEchRemb,AD237,IF('Données Projet 1'!B246-(AE237*_EchFIXE)&gt;AD237-2,AD237,'Données Projet 1'!B246-(AE237*_EchFIXE))))+U237</f>
        <v>572.95000000000005</v>
      </c>
      <c r="AG237" s="154">
        <f t="shared" si="43"/>
        <v>19.77</v>
      </c>
      <c r="AH237" s="157">
        <f t="shared" si="37"/>
        <v>788.75</v>
      </c>
      <c r="AI237"/>
      <c r="AJ237" s="3"/>
      <c r="AK237" s="164"/>
      <c r="AL237" s="22"/>
      <c r="AM237" s="21"/>
      <c r="AN237" s="23"/>
      <c r="AO237" s="10"/>
      <c r="AP237" s="5" t="str">
        <f t="shared" si="44"/>
        <v/>
      </c>
      <c r="AQ237" s="7" t="str">
        <f t="shared" si="45"/>
        <v/>
      </c>
      <c r="AR237" s="8" t="str">
        <f t="shared" si="38"/>
        <v/>
      </c>
      <c r="AS237" s="31" t="str">
        <f>IF(AT237=0,"",IF(_Ijour1=0,MIN(DATE(YEAR(_DebAmort1),MONTH(_DebAmort1)+(AP237-1)*_Imois1,__Jou1),DATE(YEAR(_DebAmort1),MONTH(_DebAmort1)+1+(AP237-1)*_Imois1,0)),DATE(YEAR(_DebAmort1),MONTH(_DebAmort1),__Jou1+(AP237-1)*_Ijour1)))</f>
        <v/>
      </c>
      <c r="AT237" s="156">
        <f t="shared" si="46"/>
        <v>0</v>
      </c>
      <c r="AU237" s="153">
        <f>IF(AP237&lt;=_NoEchMaxi1,ROUND(AT237*'Données Projet 1'!H246,_NbDeci1),0)</f>
        <v>0</v>
      </c>
      <c r="AV237" s="152">
        <f>IF(OR(AP237&lt;=_Différé1,AP237&gt;_NoEchMaxi1),IF(_DiffTotal1,-AU237,0),IF(AP237&gt;=_NoEchRemb1,AT237,IF('Données Projet 1'!I246-(AU237*_EchFIXE1)&gt;AT237-2,AT237,'Données Projet 1'!I246-(AU237*_EchFIXE1))))+AK237</f>
        <v>0</v>
      </c>
      <c r="AW237" s="154">
        <f t="shared" si="47"/>
        <v>0</v>
      </c>
      <c r="AX237" s="157">
        <f t="shared" si="39"/>
        <v>0</v>
      </c>
    </row>
    <row r="238" spans="20:50" ht="15.75" customHeight="1" x14ac:dyDescent="0.3">
      <c r="T238" s="3"/>
      <c r="U238" s="164"/>
      <c r="V238" s="22"/>
      <c r="W238" s="21"/>
      <c r="X238" s="23"/>
      <c r="Y238" s="10"/>
      <c r="Z238" s="5">
        <f t="shared" si="40"/>
        <v>232</v>
      </c>
      <c r="AA238" s="7">
        <f t="shared" si="41"/>
        <v>189</v>
      </c>
      <c r="AB238" s="8">
        <f t="shared" si="36"/>
        <v>2028</v>
      </c>
      <c r="AC238" s="31">
        <f>IF(AD238=0,"",IF(_Ijour=0,MIN(DATE(YEAR(_DebAmort),MONTH(_DebAmort)+_MoisD+(Z238-1)*_Imois,_Jour2),DATE(YEAR(_DebAmort),MONTH(_DebAmort)+_MoisD+1+(Z238-1)*_Imois,0)),DATE(YEAR(_DebAmort),MONTH(_DebAmort),_Jour1+(Z238-1)*_Ijour)))</f>
        <v>46844</v>
      </c>
      <c r="AD238" s="156">
        <f t="shared" si="42"/>
        <v>125901.14000000013</v>
      </c>
      <c r="AE238" s="153">
        <f>IF(Z238&lt;=_NoEchMaxi,ROUND(AD238*'Données Projet 1'!A247,_NbDeci),0)</f>
        <v>195.15</v>
      </c>
      <c r="AF238" s="152">
        <f>IF(OR(Z238&lt;=_Différé,Z238&gt;_NoEchMaxi),IF(_DiffTotal,-AE238,0),IF(Z238&gt;=_NoEchRemb,AD238,IF('Données Projet 1'!B247-(AE238*_EchFIXE)&gt;AD238-2,AD238,'Données Projet 1'!B247-(AE238*_EchFIXE))))+U238</f>
        <v>573.83000000000004</v>
      </c>
      <c r="AG238" s="154">
        <f t="shared" si="43"/>
        <v>19.77</v>
      </c>
      <c r="AH238" s="157">
        <f t="shared" si="37"/>
        <v>788.75</v>
      </c>
      <c r="AI238"/>
      <c r="AJ238" s="3"/>
      <c r="AK238" s="164"/>
      <c r="AL238" s="22"/>
      <c r="AM238" s="21"/>
      <c r="AN238" s="23"/>
      <c r="AO238" s="10"/>
      <c r="AP238" s="5" t="str">
        <f t="shared" si="44"/>
        <v/>
      </c>
      <c r="AQ238" s="7" t="str">
        <f t="shared" si="45"/>
        <v/>
      </c>
      <c r="AR238" s="8" t="str">
        <f t="shared" si="38"/>
        <v/>
      </c>
      <c r="AS238" s="31" t="str">
        <f>IF(AT238=0,"",IF(_Ijour1=0,MIN(DATE(YEAR(_DebAmort1),MONTH(_DebAmort1)+_MoisD1+(AP238-1)*_Imois1,__Jou2),DATE(YEAR(_DebAmort1),MONTH(_DebAmort1)+_MoisD1+1+(AP238-1)*_Imois1,0)),DATE(YEAR(_DebAmort1),MONTH(_DebAmort1),__Jou1+(AP238-1)*_Ijour1)))</f>
        <v/>
      </c>
      <c r="AT238" s="156">
        <f t="shared" si="46"/>
        <v>0</v>
      </c>
      <c r="AU238" s="153">
        <f>IF(AP238&lt;=_NoEchMaxi1,ROUND(AT238*'Données Projet 1'!H247,_NbDeci1),0)</f>
        <v>0</v>
      </c>
      <c r="AV238" s="152">
        <f>IF(OR(AP238&lt;=_Différé1,AP238&gt;_NoEchMaxi1),IF(_DiffTotal1,-AU238,0),IF(AP238&gt;=_NoEchRemb1,AT238,IF('Données Projet 1'!I247-(AU238*_EchFIXE1)&gt;AT238-2,AT238,'Données Projet 1'!I247-(AU238*_EchFIXE1))))+AK238</f>
        <v>0</v>
      </c>
      <c r="AW238" s="154">
        <f t="shared" si="47"/>
        <v>0</v>
      </c>
      <c r="AX238" s="157">
        <f t="shared" si="39"/>
        <v>0</v>
      </c>
    </row>
    <row r="239" spans="20:50" ht="15.75" customHeight="1" x14ac:dyDescent="0.3">
      <c r="T239" s="3"/>
      <c r="U239" s="164"/>
      <c r="V239" s="22"/>
      <c r="W239" s="21"/>
      <c r="X239" s="23"/>
      <c r="Y239" s="10"/>
      <c r="Z239" s="5">
        <f t="shared" si="40"/>
        <v>233</v>
      </c>
      <c r="AA239" s="7">
        <f t="shared" si="41"/>
        <v>188</v>
      </c>
      <c r="AB239" s="8">
        <f t="shared" si="36"/>
        <v>2028</v>
      </c>
      <c r="AC239" s="31">
        <f>IF(AD239=0,"",IF(_Ijour=0,MIN(DATE(YEAR(_DebAmort),MONTH(_DebAmort)+(Z239-1)*_Imois,_Jour1),DATE(YEAR(_DebAmort),MONTH(_DebAmort)+1+(Z239-1)*_Imois,0)),DATE(YEAR(_DebAmort),MONTH(_DebAmort),_Jour1+(Z239-1)*_Ijour)))</f>
        <v>46874</v>
      </c>
      <c r="AD239" s="156">
        <f t="shared" si="42"/>
        <v>125327.31000000013</v>
      </c>
      <c r="AE239" s="153">
        <f>IF(Z239&lt;=_NoEchMaxi,ROUND(AD239*'Données Projet 1'!A248,_NbDeci),0)</f>
        <v>194.26</v>
      </c>
      <c r="AF239" s="152">
        <f>IF(OR(Z239&lt;=_Différé,Z239&gt;_NoEchMaxi),IF(_DiffTotal,-AE239,0),IF(Z239&gt;=_NoEchRemb,AD239,IF('Données Projet 1'!B248-(AE239*_EchFIXE)&gt;AD239-2,AD239,'Données Projet 1'!B248-(AE239*_EchFIXE))))+U239</f>
        <v>574.72</v>
      </c>
      <c r="AG239" s="154">
        <f t="shared" si="43"/>
        <v>19.77</v>
      </c>
      <c r="AH239" s="157">
        <f t="shared" si="37"/>
        <v>788.75</v>
      </c>
      <c r="AI239"/>
      <c r="AJ239" s="3"/>
      <c r="AK239" s="164"/>
      <c r="AL239" s="22"/>
      <c r="AM239" s="21"/>
      <c r="AN239" s="23"/>
      <c r="AO239" s="10"/>
      <c r="AP239" s="5" t="str">
        <f t="shared" si="44"/>
        <v/>
      </c>
      <c r="AQ239" s="7" t="str">
        <f t="shared" si="45"/>
        <v/>
      </c>
      <c r="AR239" s="8" t="str">
        <f t="shared" si="38"/>
        <v/>
      </c>
      <c r="AS239" s="31" t="str">
        <f>IF(AT239=0,"",IF(_Ijour1=0,MIN(DATE(YEAR(_DebAmort1),MONTH(_DebAmort1)+(AP239-1)*_Imois1,__Jou1),DATE(YEAR(_DebAmort1),MONTH(_DebAmort1)+1+(AP239-1)*_Imois1,0)),DATE(YEAR(_DebAmort1),MONTH(_DebAmort1),__Jou1+(AP239-1)*_Ijour1)))</f>
        <v/>
      </c>
      <c r="AT239" s="156">
        <f t="shared" si="46"/>
        <v>0</v>
      </c>
      <c r="AU239" s="153">
        <f>IF(AP239&lt;=_NoEchMaxi1,ROUND(AT239*'Données Projet 1'!H248,_NbDeci1),0)</f>
        <v>0</v>
      </c>
      <c r="AV239" s="152">
        <f>IF(OR(AP239&lt;=_Différé1,AP239&gt;_NoEchMaxi1),IF(_DiffTotal1,-AU239,0),IF(AP239&gt;=_NoEchRemb1,AT239,IF('Données Projet 1'!I248-(AU239*_EchFIXE1)&gt;AT239-2,AT239,'Données Projet 1'!I248-(AU239*_EchFIXE1))))+AK239</f>
        <v>0</v>
      </c>
      <c r="AW239" s="154">
        <f t="shared" si="47"/>
        <v>0</v>
      </c>
      <c r="AX239" s="157">
        <f t="shared" si="39"/>
        <v>0</v>
      </c>
    </row>
    <row r="240" spans="20:50" ht="15.75" customHeight="1" x14ac:dyDescent="0.3">
      <c r="T240" s="3"/>
      <c r="U240" s="164"/>
      <c r="V240" s="22"/>
      <c r="W240" s="21"/>
      <c r="X240" s="23"/>
      <c r="Y240" s="10"/>
      <c r="Z240" s="5">
        <f t="shared" si="40"/>
        <v>234</v>
      </c>
      <c r="AA240" s="7">
        <f t="shared" si="41"/>
        <v>187</v>
      </c>
      <c r="AB240" s="8">
        <f t="shared" si="36"/>
        <v>2028</v>
      </c>
      <c r="AC240" s="31">
        <f>IF(AD240=0,"",IF(_Ijour=0,MIN(DATE(YEAR(_DebAmort),MONTH(_DebAmort)+_MoisD+(Z240-1)*_Imois,_Jour2),DATE(YEAR(_DebAmort),MONTH(_DebAmort)+_MoisD+1+(Z240-1)*_Imois,0)),DATE(YEAR(_DebAmort),MONTH(_DebAmort),_Jour1+(Z240-1)*_Ijour)))</f>
        <v>46905</v>
      </c>
      <c r="AD240" s="156">
        <f t="shared" si="42"/>
        <v>124752.59000000013</v>
      </c>
      <c r="AE240" s="153">
        <f>IF(Z240&lt;=_NoEchMaxi,ROUND(AD240*'Données Projet 1'!A249,_NbDeci),0)</f>
        <v>193.37</v>
      </c>
      <c r="AF240" s="152">
        <f>IF(OR(Z240&lt;=_Différé,Z240&gt;_NoEchMaxi),IF(_DiffTotal,-AE240,0),IF(Z240&gt;=_NoEchRemb,AD240,IF('Données Projet 1'!B249-(AE240*_EchFIXE)&gt;AD240-2,AD240,'Données Projet 1'!B249-(AE240*_EchFIXE))))+U240</f>
        <v>575.61</v>
      </c>
      <c r="AG240" s="154">
        <f t="shared" si="43"/>
        <v>19.77</v>
      </c>
      <c r="AH240" s="157">
        <f t="shared" si="37"/>
        <v>788.75</v>
      </c>
      <c r="AI240"/>
      <c r="AJ240" s="3"/>
      <c r="AK240" s="164"/>
      <c r="AL240" s="22"/>
      <c r="AM240" s="21"/>
      <c r="AN240" s="23"/>
      <c r="AO240" s="10"/>
      <c r="AP240" s="5" t="str">
        <f t="shared" si="44"/>
        <v/>
      </c>
      <c r="AQ240" s="7" t="str">
        <f t="shared" si="45"/>
        <v/>
      </c>
      <c r="AR240" s="8" t="str">
        <f t="shared" si="38"/>
        <v/>
      </c>
      <c r="AS240" s="31" t="str">
        <f>IF(AT240=0,"",IF(_Ijour1=0,MIN(DATE(YEAR(_DebAmort1),MONTH(_DebAmort1)+_MoisD1+(AP240-1)*_Imois1,__Jou2),DATE(YEAR(_DebAmort1),MONTH(_DebAmort1)+_MoisD1+1+(AP240-1)*_Imois1,0)),DATE(YEAR(_DebAmort1),MONTH(_DebAmort1),__Jou1+(AP240-1)*_Ijour1)))</f>
        <v/>
      </c>
      <c r="AT240" s="156">
        <f t="shared" si="46"/>
        <v>0</v>
      </c>
      <c r="AU240" s="153">
        <f>IF(AP240&lt;=_NoEchMaxi1,ROUND(AT240*'Données Projet 1'!H249,_NbDeci1),0)</f>
        <v>0</v>
      </c>
      <c r="AV240" s="152">
        <f>IF(OR(AP240&lt;=_Différé1,AP240&gt;_NoEchMaxi1),IF(_DiffTotal1,-AU240,0),IF(AP240&gt;=_NoEchRemb1,AT240,IF('Données Projet 1'!I249-(AU240*_EchFIXE1)&gt;AT240-2,AT240,'Données Projet 1'!I249-(AU240*_EchFIXE1))))+AK240</f>
        <v>0</v>
      </c>
      <c r="AW240" s="154">
        <f t="shared" si="47"/>
        <v>0</v>
      </c>
      <c r="AX240" s="157">
        <f t="shared" si="39"/>
        <v>0</v>
      </c>
    </row>
    <row r="241" spans="20:50" ht="15.75" customHeight="1" x14ac:dyDescent="0.3">
      <c r="T241" s="3"/>
      <c r="U241" s="164"/>
      <c r="V241" s="22"/>
      <c r="W241" s="21"/>
      <c r="X241" s="23"/>
      <c r="Y241" s="10"/>
      <c r="Z241" s="5">
        <f t="shared" si="40"/>
        <v>235</v>
      </c>
      <c r="AA241" s="7">
        <f t="shared" si="41"/>
        <v>186</v>
      </c>
      <c r="AB241" s="8">
        <f t="shared" si="36"/>
        <v>2028</v>
      </c>
      <c r="AC241" s="31">
        <f>IF(AD241=0,"",IF(_Ijour=0,MIN(DATE(YEAR(_DebAmort),MONTH(_DebAmort)+(Z241-1)*_Imois,_Jour1),DATE(YEAR(_DebAmort),MONTH(_DebAmort)+1+(Z241-1)*_Imois,0)),DATE(YEAR(_DebAmort),MONTH(_DebAmort),_Jour1+(Z241-1)*_Ijour)))</f>
        <v>46935</v>
      </c>
      <c r="AD241" s="156">
        <f t="shared" si="42"/>
        <v>124176.98000000013</v>
      </c>
      <c r="AE241" s="153">
        <f>IF(Z241&lt;=_NoEchMaxi,ROUND(AD241*'Données Projet 1'!A250,_NbDeci),0)</f>
        <v>192.47</v>
      </c>
      <c r="AF241" s="152">
        <f>IF(OR(Z241&lt;=_Différé,Z241&gt;_NoEchMaxi),IF(_DiffTotal,-AE241,0),IF(Z241&gt;=_NoEchRemb,AD241,IF('Données Projet 1'!B250-(AE241*_EchFIXE)&gt;AD241-2,AD241,'Données Projet 1'!B250-(AE241*_EchFIXE))))+U241</f>
        <v>576.51</v>
      </c>
      <c r="AG241" s="154">
        <f t="shared" si="43"/>
        <v>19.77</v>
      </c>
      <c r="AH241" s="157">
        <f t="shared" si="37"/>
        <v>788.75</v>
      </c>
      <c r="AI241"/>
      <c r="AJ241" s="3"/>
      <c r="AK241" s="164"/>
      <c r="AL241" s="22"/>
      <c r="AM241" s="21"/>
      <c r="AN241" s="23"/>
      <c r="AO241" s="10"/>
      <c r="AP241" s="5" t="str">
        <f t="shared" si="44"/>
        <v/>
      </c>
      <c r="AQ241" s="7" t="str">
        <f t="shared" si="45"/>
        <v/>
      </c>
      <c r="AR241" s="8" t="str">
        <f t="shared" si="38"/>
        <v/>
      </c>
      <c r="AS241" s="31" t="str">
        <f>IF(AT241=0,"",IF(_Ijour1=0,MIN(DATE(YEAR(_DebAmort1),MONTH(_DebAmort1)+(AP241-1)*_Imois1,__Jou1),DATE(YEAR(_DebAmort1),MONTH(_DebAmort1)+1+(AP241-1)*_Imois1,0)),DATE(YEAR(_DebAmort1),MONTH(_DebAmort1),__Jou1+(AP241-1)*_Ijour1)))</f>
        <v/>
      </c>
      <c r="AT241" s="156">
        <f t="shared" si="46"/>
        <v>0</v>
      </c>
      <c r="AU241" s="153">
        <f>IF(AP241&lt;=_NoEchMaxi1,ROUND(AT241*'Données Projet 1'!H250,_NbDeci1),0)</f>
        <v>0</v>
      </c>
      <c r="AV241" s="152">
        <f>IF(OR(AP241&lt;=_Différé1,AP241&gt;_NoEchMaxi1),IF(_DiffTotal1,-AU241,0),IF(AP241&gt;=_NoEchRemb1,AT241,IF('Données Projet 1'!I250-(AU241*_EchFIXE1)&gt;AT241-2,AT241,'Données Projet 1'!I250-(AU241*_EchFIXE1))))+AK241</f>
        <v>0</v>
      </c>
      <c r="AW241" s="154">
        <f t="shared" si="47"/>
        <v>0</v>
      </c>
      <c r="AX241" s="157">
        <f t="shared" si="39"/>
        <v>0</v>
      </c>
    </row>
    <row r="242" spans="20:50" ht="15.75" customHeight="1" x14ac:dyDescent="0.3">
      <c r="T242" s="3"/>
      <c r="U242" s="164"/>
      <c r="V242" s="22"/>
      <c r="W242" s="21"/>
      <c r="X242" s="23"/>
      <c r="Y242" s="10"/>
      <c r="Z242" s="5">
        <f t="shared" si="40"/>
        <v>236</v>
      </c>
      <c r="AA242" s="7">
        <f t="shared" si="41"/>
        <v>185</v>
      </c>
      <c r="AB242" s="8">
        <f t="shared" si="36"/>
        <v>2028</v>
      </c>
      <c r="AC242" s="31">
        <f>IF(AD242=0,"",IF(_Ijour=0,MIN(DATE(YEAR(_DebAmort),MONTH(_DebAmort)+_MoisD+(Z242-1)*_Imois,_Jour2),DATE(YEAR(_DebAmort),MONTH(_DebAmort)+_MoisD+1+(Z242-1)*_Imois,0)),DATE(YEAR(_DebAmort),MONTH(_DebAmort),_Jour1+(Z242-1)*_Ijour)))</f>
        <v>46966</v>
      </c>
      <c r="AD242" s="156">
        <f t="shared" si="42"/>
        <v>123600.47000000013</v>
      </c>
      <c r="AE242" s="153">
        <f>IF(Z242&lt;=_NoEchMaxi,ROUND(AD242*'Données Projet 1'!A251,_NbDeci),0)</f>
        <v>191.58</v>
      </c>
      <c r="AF242" s="152">
        <f>IF(OR(Z242&lt;=_Différé,Z242&gt;_NoEchMaxi),IF(_DiffTotal,-AE242,0),IF(Z242&gt;=_NoEchRemb,AD242,IF('Données Projet 1'!B251-(AE242*_EchFIXE)&gt;AD242-2,AD242,'Données Projet 1'!B251-(AE242*_EchFIXE))))+U242</f>
        <v>577.4</v>
      </c>
      <c r="AG242" s="154">
        <f t="shared" si="43"/>
        <v>19.77</v>
      </c>
      <c r="AH242" s="157">
        <f t="shared" si="37"/>
        <v>788.75</v>
      </c>
      <c r="AI242"/>
      <c r="AJ242" s="3"/>
      <c r="AK242" s="164"/>
      <c r="AL242" s="22"/>
      <c r="AM242" s="21"/>
      <c r="AN242" s="23"/>
      <c r="AO242" s="10"/>
      <c r="AP242" s="5" t="str">
        <f t="shared" si="44"/>
        <v/>
      </c>
      <c r="AQ242" s="7" t="str">
        <f t="shared" si="45"/>
        <v/>
      </c>
      <c r="AR242" s="8" t="str">
        <f t="shared" si="38"/>
        <v/>
      </c>
      <c r="AS242" s="31" t="str">
        <f>IF(AT242=0,"",IF(_Ijour1=0,MIN(DATE(YEAR(_DebAmort1),MONTH(_DebAmort1)+_MoisD1+(AP242-1)*_Imois1,__Jou2),DATE(YEAR(_DebAmort1),MONTH(_DebAmort1)+_MoisD1+1+(AP242-1)*_Imois1,0)),DATE(YEAR(_DebAmort1),MONTH(_DebAmort1),__Jou1+(AP242-1)*_Ijour1)))</f>
        <v/>
      </c>
      <c r="AT242" s="156">
        <f t="shared" si="46"/>
        <v>0</v>
      </c>
      <c r="AU242" s="153">
        <f>IF(AP242&lt;=_NoEchMaxi1,ROUND(AT242*'Données Projet 1'!H251,_NbDeci1),0)</f>
        <v>0</v>
      </c>
      <c r="AV242" s="152">
        <f>IF(OR(AP242&lt;=_Différé1,AP242&gt;_NoEchMaxi1),IF(_DiffTotal1,-AU242,0),IF(AP242&gt;=_NoEchRemb1,AT242,IF('Données Projet 1'!I251-(AU242*_EchFIXE1)&gt;AT242-2,AT242,'Données Projet 1'!I251-(AU242*_EchFIXE1))))+AK242</f>
        <v>0</v>
      </c>
      <c r="AW242" s="154">
        <f t="shared" si="47"/>
        <v>0</v>
      </c>
      <c r="AX242" s="157">
        <f t="shared" si="39"/>
        <v>0</v>
      </c>
    </row>
    <row r="243" spans="20:50" ht="15.75" customHeight="1" x14ac:dyDescent="0.3">
      <c r="T243" s="3"/>
      <c r="U243" s="164"/>
      <c r="V243" s="22"/>
      <c r="W243" s="21"/>
      <c r="X243" s="23"/>
      <c r="Y243" s="10"/>
      <c r="Z243" s="5">
        <f t="shared" si="40"/>
        <v>237</v>
      </c>
      <c r="AA243" s="7">
        <f t="shared" si="41"/>
        <v>184</v>
      </c>
      <c r="AB243" s="8">
        <f t="shared" si="36"/>
        <v>2028</v>
      </c>
      <c r="AC243" s="31">
        <f>IF(AD243=0,"",IF(_Ijour=0,MIN(DATE(YEAR(_DebAmort),MONTH(_DebAmort)+(Z243-1)*_Imois,_Jour1),DATE(YEAR(_DebAmort),MONTH(_DebAmort)+1+(Z243-1)*_Imois,0)),DATE(YEAR(_DebAmort),MONTH(_DebAmort),_Jour1+(Z243-1)*_Ijour)))</f>
        <v>46997</v>
      </c>
      <c r="AD243" s="156">
        <f t="shared" si="42"/>
        <v>123023.07000000014</v>
      </c>
      <c r="AE243" s="153">
        <f>IF(Z243&lt;=_NoEchMaxi,ROUND(AD243*'Données Projet 1'!A252,_NbDeci),0)</f>
        <v>190.69</v>
      </c>
      <c r="AF243" s="152">
        <f>IF(OR(Z243&lt;=_Différé,Z243&gt;_NoEchMaxi),IF(_DiffTotal,-AE243,0),IF(Z243&gt;=_NoEchRemb,AD243,IF('Données Projet 1'!B252-(AE243*_EchFIXE)&gt;AD243-2,AD243,'Données Projet 1'!B252-(AE243*_EchFIXE))))+U243</f>
        <v>578.29</v>
      </c>
      <c r="AG243" s="154">
        <f t="shared" si="43"/>
        <v>19.77</v>
      </c>
      <c r="AH243" s="157">
        <f t="shared" si="37"/>
        <v>788.75</v>
      </c>
      <c r="AI243"/>
      <c r="AJ243" s="3"/>
      <c r="AK243" s="164"/>
      <c r="AL243" s="22"/>
      <c r="AM243" s="21"/>
      <c r="AN243" s="23"/>
      <c r="AO243" s="10"/>
      <c r="AP243" s="5" t="str">
        <f t="shared" si="44"/>
        <v/>
      </c>
      <c r="AQ243" s="7" t="str">
        <f t="shared" si="45"/>
        <v/>
      </c>
      <c r="AR243" s="8" t="str">
        <f t="shared" si="38"/>
        <v/>
      </c>
      <c r="AS243" s="31" t="str">
        <f>IF(AT243=0,"",IF(_Ijour1=0,MIN(DATE(YEAR(_DebAmort1),MONTH(_DebAmort1)+(AP243-1)*_Imois1,__Jou1),DATE(YEAR(_DebAmort1),MONTH(_DebAmort1)+1+(AP243-1)*_Imois1,0)),DATE(YEAR(_DebAmort1),MONTH(_DebAmort1),__Jou1+(AP243-1)*_Ijour1)))</f>
        <v/>
      </c>
      <c r="AT243" s="156">
        <f t="shared" si="46"/>
        <v>0</v>
      </c>
      <c r="AU243" s="153">
        <f>IF(AP243&lt;=_NoEchMaxi1,ROUND(AT243*'Données Projet 1'!H252,_NbDeci1),0)</f>
        <v>0</v>
      </c>
      <c r="AV243" s="152">
        <f>IF(OR(AP243&lt;=_Différé1,AP243&gt;_NoEchMaxi1),IF(_DiffTotal1,-AU243,0),IF(AP243&gt;=_NoEchRemb1,AT243,IF('Données Projet 1'!I252-(AU243*_EchFIXE1)&gt;AT243-2,AT243,'Données Projet 1'!I252-(AU243*_EchFIXE1))))+AK243</f>
        <v>0</v>
      </c>
      <c r="AW243" s="154">
        <f t="shared" si="47"/>
        <v>0</v>
      </c>
      <c r="AX243" s="157">
        <f t="shared" si="39"/>
        <v>0</v>
      </c>
    </row>
    <row r="244" spans="20:50" ht="15.75" customHeight="1" x14ac:dyDescent="0.3">
      <c r="T244" s="3"/>
      <c r="U244" s="164"/>
      <c r="V244" s="22"/>
      <c r="W244" s="21"/>
      <c r="X244" s="23"/>
      <c r="Y244" s="10"/>
      <c r="Z244" s="5">
        <f t="shared" si="40"/>
        <v>238</v>
      </c>
      <c r="AA244" s="7">
        <f t="shared" si="41"/>
        <v>183</v>
      </c>
      <c r="AB244" s="8">
        <f t="shared" si="36"/>
        <v>2028</v>
      </c>
      <c r="AC244" s="31">
        <f>IF(AD244=0,"",IF(_Ijour=0,MIN(DATE(YEAR(_DebAmort),MONTH(_DebAmort)+_MoisD+(Z244-1)*_Imois,_Jour2),DATE(YEAR(_DebAmort),MONTH(_DebAmort)+_MoisD+1+(Z244-1)*_Imois,0)),DATE(YEAR(_DebAmort),MONTH(_DebAmort),_Jour1+(Z244-1)*_Ijour)))</f>
        <v>47027</v>
      </c>
      <c r="AD244" s="156">
        <f t="shared" si="42"/>
        <v>122444.78000000014</v>
      </c>
      <c r="AE244" s="153">
        <f>IF(Z244&lt;=_NoEchMaxi,ROUND(AD244*'Données Projet 1'!A253,_NbDeci),0)</f>
        <v>189.79</v>
      </c>
      <c r="AF244" s="152">
        <f>IF(OR(Z244&lt;=_Différé,Z244&gt;_NoEchMaxi),IF(_DiffTotal,-AE244,0),IF(Z244&gt;=_NoEchRemb,AD244,IF('Données Projet 1'!B253-(AE244*_EchFIXE)&gt;AD244-2,AD244,'Données Projet 1'!B253-(AE244*_EchFIXE))))+U244</f>
        <v>579.19000000000005</v>
      </c>
      <c r="AG244" s="154">
        <f t="shared" si="43"/>
        <v>19.77</v>
      </c>
      <c r="AH244" s="157">
        <f t="shared" si="37"/>
        <v>788.75</v>
      </c>
      <c r="AI244"/>
      <c r="AJ244" s="3"/>
      <c r="AK244" s="164"/>
      <c r="AL244" s="22"/>
      <c r="AM244" s="21"/>
      <c r="AN244" s="23"/>
      <c r="AO244" s="10"/>
      <c r="AP244" s="5" t="str">
        <f t="shared" si="44"/>
        <v/>
      </c>
      <c r="AQ244" s="7" t="str">
        <f t="shared" si="45"/>
        <v/>
      </c>
      <c r="AR244" s="8" t="str">
        <f t="shared" si="38"/>
        <v/>
      </c>
      <c r="AS244" s="31" t="str">
        <f>IF(AT244=0,"",IF(_Ijour1=0,MIN(DATE(YEAR(_DebAmort1),MONTH(_DebAmort1)+_MoisD1+(AP244-1)*_Imois1,__Jou2),DATE(YEAR(_DebAmort1),MONTH(_DebAmort1)+_MoisD1+1+(AP244-1)*_Imois1,0)),DATE(YEAR(_DebAmort1),MONTH(_DebAmort1),__Jou1+(AP244-1)*_Ijour1)))</f>
        <v/>
      </c>
      <c r="AT244" s="156">
        <f t="shared" si="46"/>
        <v>0</v>
      </c>
      <c r="AU244" s="153">
        <f>IF(AP244&lt;=_NoEchMaxi1,ROUND(AT244*'Données Projet 1'!H253,_NbDeci1),0)</f>
        <v>0</v>
      </c>
      <c r="AV244" s="152">
        <f>IF(OR(AP244&lt;=_Différé1,AP244&gt;_NoEchMaxi1),IF(_DiffTotal1,-AU244,0),IF(AP244&gt;=_NoEchRemb1,AT244,IF('Données Projet 1'!I253-(AU244*_EchFIXE1)&gt;AT244-2,AT244,'Données Projet 1'!I253-(AU244*_EchFIXE1))))+AK244</f>
        <v>0</v>
      </c>
      <c r="AW244" s="154">
        <f t="shared" si="47"/>
        <v>0</v>
      </c>
      <c r="AX244" s="157">
        <f t="shared" si="39"/>
        <v>0</v>
      </c>
    </row>
    <row r="245" spans="20:50" ht="15.75" customHeight="1" x14ac:dyDescent="0.3">
      <c r="T245" s="3"/>
      <c r="U245" s="164"/>
      <c r="V245" s="22"/>
      <c r="W245" s="21"/>
      <c r="X245" s="23"/>
      <c r="Y245" s="10"/>
      <c r="Z245" s="5">
        <f t="shared" si="40"/>
        <v>239</v>
      </c>
      <c r="AA245" s="7">
        <f t="shared" si="41"/>
        <v>182</v>
      </c>
      <c r="AB245" s="8">
        <f t="shared" si="36"/>
        <v>2028</v>
      </c>
      <c r="AC245" s="31">
        <f>IF(AD245=0,"",IF(_Ijour=0,MIN(DATE(YEAR(_DebAmort),MONTH(_DebAmort)+(Z245-1)*_Imois,_Jour1),DATE(YEAR(_DebAmort),MONTH(_DebAmort)+1+(Z245-1)*_Imois,0)),DATE(YEAR(_DebAmort),MONTH(_DebAmort),_Jour1+(Z245-1)*_Ijour)))</f>
        <v>47058</v>
      </c>
      <c r="AD245" s="156">
        <f t="shared" si="42"/>
        <v>121865.59000000014</v>
      </c>
      <c r="AE245" s="153">
        <f>IF(Z245&lt;=_NoEchMaxi,ROUND(AD245*'Données Projet 1'!A254,_NbDeci),0)</f>
        <v>188.89</v>
      </c>
      <c r="AF245" s="152">
        <f>IF(OR(Z245&lt;=_Différé,Z245&gt;_NoEchMaxi),IF(_DiffTotal,-AE245,0),IF(Z245&gt;=_NoEchRemb,AD245,IF('Données Projet 1'!B254-(AE245*_EchFIXE)&gt;AD245-2,AD245,'Données Projet 1'!B254-(AE245*_EchFIXE))))+U245</f>
        <v>580.09</v>
      </c>
      <c r="AG245" s="154">
        <f t="shared" si="43"/>
        <v>19.77</v>
      </c>
      <c r="AH245" s="157">
        <f t="shared" si="37"/>
        <v>788.75</v>
      </c>
      <c r="AI245"/>
      <c r="AJ245" s="3"/>
      <c r="AK245" s="164"/>
      <c r="AL245" s="22"/>
      <c r="AM245" s="21"/>
      <c r="AN245" s="23"/>
      <c r="AO245" s="10"/>
      <c r="AP245" s="5" t="str">
        <f t="shared" si="44"/>
        <v/>
      </c>
      <c r="AQ245" s="7" t="str">
        <f t="shared" si="45"/>
        <v/>
      </c>
      <c r="AR245" s="8" t="str">
        <f t="shared" si="38"/>
        <v/>
      </c>
      <c r="AS245" s="31" t="str">
        <f>IF(AT245=0,"",IF(_Ijour1=0,MIN(DATE(YEAR(_DebAmort1),MONTH(_DebAmort1)+(AP245-1)*_Imois1,__Jou1),DATE(YEAR(_DebAmort1),MONTH(_DebAmort1)+1+(AP245-1)*_Imois1,0)),DATE(YEAR(_DebAmort1),MONTH(_DebAmort1),__Jou1+(AP245-1)*_Ijour1)))</f>
        <v/>
      </c>
      <c r="AT245" s="156">
        <f t="shared" si="46"/>
        <v>0</v>
      </c>
      <c r="AU245" s="153">
        <f>IF(AP245&lt;=_NoEchMaxi1,ROUND(AT245*'Données Projet 1'!H254,_NbDeci1),0)</f>
        <v>0</v>
      </c>
      <c r="AV245" s="152">
        <f>IF(OR(AP245&lt;=_Différé1,AP245&gt;_NoEchMaxi1),IF(_DiffTotal1,-AU245,0),IF(AP245&gt;=_NoEchRemb1,AT245,IF('Données Projet 1'!I254-(AU245*_EchFIXE1)&gt;AT245-2,AT245,'Données Projet 1'!I254-(AU245*_EchFIXE1))))+AK245</f>
        <v>0</v>
      </c>
      <c r="AW245" s="154">
        <f t="shared" si="47"/>
        <v>0</v>
      </c>
      <c r="AX245" s="157">
        <f t="shared" si="39"/>
        <v>0</v>
      </c>
    </row>
    <row r="246" spans="20:50" ht="15.75" customHeight="1" x14ac:dyDescent="0.3">
      <c r="T246" s="3"/>
      <c r="U246" s="164"/>
      <c r="V246" s="22"/>
      <c r="W246" s="21"/>
      <c r="X246" s="23"/>
      <c r="Y246" s="10"/>
      <c r="Z246" s="5">
        <f t="shared" si="40"/>
        <v>240</v>
      </c>
      <c r="AA246" s="7">
        <f t="shared" si="41"/>
        <v>181</v>
      </c>
      <c r="AB246" s="8">
        <f t="shared" si="36"/>
        <v>2028</v>
      </c>
      <c r="AC246" s="31">
        <f>IF(AD246=0,"",IF(_Ijour=0,MIN(DATE(YEAR(_DebAmort),MONTH(_DebAmort)+_MoisD+(Z246-1)*_Imois,_Jour2),DATE(YEAR(_DebAmort),MONTH(_DebAmort)+_MoisD+1+(Z246-1)*_Imois,0)),DATE(YEAR(_DebAmort),MONTH(_DebAmort),_Jour1+(Z246-1)*_Ijour)))</f>
        <v>47088</v>
      </c>
      <c r="AD246" s="156">
        <f t="shared" si="42"/>
        <v>121285.50000000015</v>
      </c>
      <c r="AE246" s="153">
        <f>IF(Z246&lt;=_NoEchMaxi,ROUND(AD246*'Données Projet 1'!A255,_NbDeci),0)</f>
        <v>187.99</v>
      </c>
      <c r="AF246" s="152">
        <f>IF(OR(Z246&lt;=_Différé,Z246&gt;_NoEchMaxi),IF(_DiffTotal,-AE246,0),IF(Z246&gt;=_NoEchRemb,AD246,IF('Données Projet 1'!B255-(AE246*_EchFIXE)&gt;AD246-2,AD246,'Données Projet 1'!B255-(AE246*_EchFIXE))))+U246</f>
        <v>580.99</v>
      </c>
      <c r="AG246" s="154">
        <f t="shared" si="43"/>
        <v>19.77</v>
      </c>
      <c r="AH246" s="157">
        <f t="shared" si="37"/>
        <v>788.75</v>
      </c>
      <c r="AI246"/>
      <c r="AJ246" s="3"/>
      <c r="AK246" s="164"/>
      <c r="AL246" s="22"/>
      <c r="AM246" s="21"/>
      <c r="AN246" s="23"/>
      <c r="AO246" s="10"/>
      <c r="AP246" s="5" t="str">
        <f t="shared" si="44"/>
        <v/>
      </c>
      <c r="AQ246" s="7" t="str">
        <f t="shared" si="45"/>
        <v/>
      </c>
      <c r="AR246" s="8" t="str">
        <f t="shared" si="38"/>
        <v/>
      </c>
      <c r="AS246" s="31" t="str">
        <f>IF(AT246=0,"",IF(_Ijour1=0,MIN(DATE(YEAR(_DebAmort1),MONTH(_DebAmort1)+_MoisD1+(AP246-1)*_Imois1,__Jou2),DATE(YEAR(_DebAmort1),MONTH(_DebAmort1)+_MoisD1+1+(AP246-1)*_Imois1,0)),DATE(YEAR(_DebAmort1),MONTH(_DebAmort1),__Jou1+(AP246-1)*_Ijour1)))</f>
        <v/>
      </c>
      <c r="AT246" s="156">
        <f t="shared" si="46"/>
        <v>0</v>
      </c>
      <c r="AU246" s="153">
        <f>IF(AP246&lt;=_NoEchMaxi1,ROUND(AT246*'Données Projet 1'!H255,_NbDeci1),0)</f>
        <v>0</v>
      </c>
      <c r="AV246" s="152">
        <f>IF(OR(AP246&lt;=_Différé1,AP246&gt;_NoEchMaxi1),IF(_DiffTotal1,-AU246,0),IF(AP246&gt;=_NoEchRemb1,AT246,IF('Données Projet 1'!I255-(AU246*_EchFIXE1)&gt;AT246-2,AT246,'Données Projet 1'!I255-(AU246*_EchFIXE1))))+AK246</f>
        <v>0</v>
      </c>
      <c r="AW246" s="154">
        <f t="shared" si="47"/>
        <v>0</v>
      </c>
      <c r="AX246" s="157">
        <f t="shared" si="39"/>
        <v>0</v>
      </c>
    </row>
    <row r="247" spans="20:50" ht="15.75" customHeight="1" x14ac:dyDescent="0.3">
      <c r="T247" s="3"/>
      <c r="U247" s="164"/>
      <c r="V247" s="22"/>
      <c r="W247" s="21"/>
      <c r="X247" s="23"/>
      <c r="Y247" s="10"/>
      <c r="Z247" s="5">
        <f t="shared" si="40"/>
        <v>241</v>
      </c>
      <c r="AA247" s="7">
        <f t="shared" si="41"/>
        <v>180</v>
      </c>
      <c r="AB247" s="8">
        <f t="shared" si="36"/>
        <v>2029</v>
      </c>
      <c r="AC247" s="31">
        <f>IF(AD247=0,"",IF(_Ijour=0,MIN(DATE(YEAR(_DebAmort),MONTH(_DebAmort)+(Z247-1)*_Imois,_Jour1),DATE(YEAR(_DebAmort),MONTH(_DebAmort)+1+(Z247-1)*_Imois,0)),DATE(YEAR(_DebAmort),MONTH(_DebAmort),_Jour1+(Z247-1)*_Ijour)))</f>
        <v>47119</v>
      </c>
      <c r="AD247" s="156">
        <f t="shared" si="42"/>
        <v>120704.51000000014</v>
      </c>
      <c r="AE247" s="153">
        <f>IF(Z247&lt;=_NoEchMaxi,ROUND(AD247*'Données Projet 1'!A256,_NbDeci),0)</f>
        <v>187.09</v>
      </c>
      <c r="AF247" s="152">
        <f>IF(OR(Z247&lt;=_Différé,Z247&gt;_NoEchMaxi),IF(_DiffTotal,-AE247,0),IF(Z247&gt;=_NoEchRemb,AD247,IF('Données Projet 1'!B256-(AE247*_EchFIXE)&gt;AD247-2,AD247,'Données Projet 1'!B256-(AE247*_EchFIXE))))+U247</f>
        <v>581.89</v>
      </c>
      <c r="AG247" s="154">
        <f t="shared" si="43"/>
        <v>19.77</v>
      </c>
      <c r="AH247" s="157">
        <f t="shared" si="37"/>
        <v>788.75</v>
      </c>
      <c r="AI247"/>
      <c r="AJ247" s="3"/>
      <c r="AK247" s="164"/>
      <c r="AL247" s="22"/>
      <c r="AM247" s="21"/>
      <c r="AN247" s="23"/>
      <c r="AO247" s="10"/>
      <c r="AP247" s="5" t="str">
        <f t="shared" si="44"/>
        <v/>
      </c>
      <c r="AQ247" s="7" t="str">
        <f t="shared" si="45"/>
        <v/>
      </c>
      <c r="AR247" s="8" t="str">
        <f t="shared" si="38"/>
        <v/>
      </c>
      <c r="AS247" s="31" t="str">
        <f>IF(AT247=0,"",IF(_Ijour1=0,MIN(DATE(YEAR(_DebAmort1),MONTH(_DebAmort1)+(AP247-1)*_Imois1,__Jou1),DATE(YEAR(_DebAmort1),MONTH(_DebAmort1)+1+(AP247-1)*_Imois1,0)),DATE(YEAR(_DebAmort1),MONTH(_DebAmort1),__Jou1+(AP247-1)*_Ijour1)))</f>
        <v/>
      </c>
      <c r="AT247" s="156">
        <f t="shared" si="46"/>
        <v>0</v>
      </c>
      <c r="AU247" s="153">
        <f>IF(AP247&lt;=_NoEchMaxi1,ROUND(AT247*'Données Projet 1'!H256,_NbDeci1),0)</f>
        <v>0</v>
      </c>
      <c r="AV247" s="152">
        <f>IF(OR(AP247&lt;=_Différé1,AP247&gt;_NoEchMaxi1),IF(_DiffTotal1,-AU247,0),IF(AP247&gt;=_NoEchRemb1,AT247,IF('Données Projet 1'!I256-(AU247*_EchFIXE1)&gt;AT247-2,AT247,'Données Projet 1'!I256-(AU247*_EchFIXE1))))+AK247</f>
        <v>0</v>
      </c>
      <c r="AW247" s="154">
        <f t="shared" si="47"/>
        <v>0</v>
      </c>
      <c r="AX247" s="157">
        <f t="shared" si="39"/>
        <v>0</v>
      </c>
    </row>
    <row r="248" spans="20:50" ht="15.75" customHeight="1" x14ac:dyDescent="0.3">
      <c r="T248" s="3"/>
      <c r="U248" s="164"/>
      <c r="V248" s="22"/>
      <c r="W248" s="21"/>
      <c r="X248" s="23"/>
      <c r="Y248" s="10"/>
      <c r="Z248" s="5">
        <f t="shared" si="40"/>
        <v>242</v>
      </c>
      <c r="AA248" s="7">
        <f t="shared" si="41"/>
        <v>179</v>
      </c>
      <c r="AB248" s="8">
        <f t="shared" si="36"/>
        <v>2029</v>
      </c>
      <c r="AC248" s="31">
        <f>IF(AD248=0,"",IF(_Ijour=0,MIN(DATE(YEAR(_DebAmort),MONTH(_DebAmort)+_MoisD+(Z248-1)*_Imois,_Jour2),DATE(YEAR(_DebAmort),MONTH(_DebAmort)+_MoisD+1+(Z248-1)*_Imois,0)),DATE(YEAR(_DebAmort),MONTH(_DebAmort),_Jour1+(Z248-1)*_Ijour)))</f>
        <v>47150</v>
      </c>
      <c r="AD248" s="156">
        <f t="shared" si="42"/>
        <v>120122.62000000014</v>
      </c>
      <c r="AE248" s="153">
        <f>IF(Z248&lt;=_NoEchMaxi,ROUND(AD248*'Données Projet 1'!A257,_NbDeci),0)</f>
        <v>186.19</v>
      </c>
      <c r="AF248" s="152">
        <f>IF(OR(Z248&lt;=_Différé,Z248&gt;_NoEchMaxi),IF(_DiffTotal,-AE248,0),IF(Z248&gt;=_NoEchRemb,AD248,IF('Données Projet 1'!B257-(AE248*_EchFIXE)&gt;AD248-2,AD248,'Données Projet 1'!B257-(AE248*_EchFIXE))))+U248</f>
        <v>582.79</v>
      </c>
      <c r="AG248" s="154">
        <f t="shared" si="43"/>
        <v>19.77</v>
      </c>
      <c r="AH248" s="157">
        <f t="shared" si="37"/>
        <v>788.75</v>
      </c>
      <c r="AI248"/>
      <c r="AJ248" s="3"/>
      <c r="AK248" s="164"/>
      <c r="AL248" s="22"/>
      <c r="AM248" s="21"/>
      <c r="AN248" s="23"/>
      <c r="AO248" s="10"/>
      <c r="AP248" s="5" t="str">
        <f t="shared" si="44"/>
        <v/>
      </c>
      <c r="AQ248" s="7" t="str">
        <f t="shared" si="45"/>
        <v/>
      </c>
      <c r="AR248" s="8" t="str">
        <f t="shared" si="38"/>
        <v/>
      </c>
      <c r="AS248" s="31" t="str">
        <f>IF(AT248=0,"",IF(_Ijour1=0,MIN(DATE(YEAR(_DebAmort1),MONTH(_DebAmort1)+_MoisD1+(AP248-1)*_Imois1,__Jou2),DATE(YEAR(_DebAmort1),MONTH(_DebAmort1)+_MoisD1+1+(AP248-1)*_Imois1,0)),DATE(YEAR(_DebAmort1),MONTH(_DebAmort1),__Jou1+(AP248-1)*_Ijour1)))</f>
        <v/>
      </c>
      <c r="AT248" s="156">
        <f t="shared" si="46"/>
        <v>0</v>
      </c>
      <c r="AU248" s="153">
        <f>IF(AP248&lt;=_NoEchMaxi1,ROUND(AT248*'Données Projet 1'!H257,_NbDeci1),0)</f>
        <v>0</v>
      </c>
      <c r="AV248" s="152">
        <f>IF(OR(AP248&lt;=_Différé1,AP248&gt;_NoEchMaxi1),IF(_DiffTotal1,-AU248,0),IF(AP248&gt;=_NoEchRemb1,AT248,IF('Données Projet 1'!I257-(AU248*_EchFIXE1)&gt;AT248-2,AT248,'Données Projet 1'!I257-(AU248*_EchFIXE1))))+AK248</f>
        <v>0</v>
      </c>
      <c r="AW248" s="154">
        <f t="shared" si="47"/>
        <v>0</v>
      </c>
      <c r="AX248" s="157">
        <f t="shared" si="39"/>
        <v>0</v>
      </c>
    </row>
    <row r="249" spans="20:50" ht="15.75" customHeight="1" x14ac:dyDescent="0.3">
      <c r="T249" s="3"/>
      <c r="U249" s="164"/>
      <c r="V249" s="22"/>
      <c r="W249" s="21"/>
      <c r="X249" s="23"/>
      <c r="Y249" s="10"/>
      <c r="Z249" s="5">
        <f t="shared" si="40"/>
        <v>243</v>
      </c>
      <c r="AA249" s="7">
        <f t="shared" si="41"/>
        <v>178</v>
      </c>
      <c r="AB249" s="8">
        <f t="shared" si="36"/>
        <v>2029</v>
      </c>
      <c r="AC249" s="31">
        <f>IF(AD249=0,"",IF(_Ijour=0,MIN(DATE(YEAR(_DebAmort),MONTH(_DebAmort)+(Z249-1)*_Imois,_Jour1),DATE(YEAR(_DebAmort),MONTH(_DebAmort)+1+(Z249-1)*_Imois,0)),DATE(YEAR(_DebAmort),MONTH(_DebAmort),_Jour1+(Z249-1)*_Ijour)))</f>
        <v>47178</v>
      </c>
      <c r="AD249" s="156">
        <f t="shared" si="42"/>
        <v>119539.83000000015</v>
      </c>
      <c r="AE249" s="153">
        <f>IF(Z249&lt;=_NoEchMaxi,ROUND(AD249*'Données Projet 1'!A258,_NbDeci),0)</f>
        <v>185.29</v>
      </c>
      <c r="AF249" s="152">
        <f>IF(OR(Z249&lt;=_Différé,Z249&gt;_NoEchMaxi),IF(_DiffTotal,-AE249,0),IF(Z249&gt;=_NoEchRemb,AD249,IF('Données Projet 1'!B258-(AE249*_EchFIXE)&gt;AD249-2,AD249,'Données Projet 1'!B258-(AE249*_EchFIXE))))+U249</f>
        <v>583.69000000000005</v>
      </c>
      <c r="AG249" s="154">
        <f t="shared" si="43"/>
        <v>19.77</v>
      </c>
      <c r="AH249" s="157">
        <f t="shared" si="37"/>
        <v>788.75</v>
      </c>
      <c r="AI249"/>
      <c r="AJ249" s="3"/>
      <c r="AK249" s="164"/>
      <c r="AL249" s="22"/>
      <c r="AM249" s="21"/>
      <c r="AN249" s="23"/>
      <c r="AO249" s="10"/>
      <c r="AP249" s="5" t="str">
        <f t="shared" si="44"/>
        <v/>
      </c>
      <c r="AQ249" s="7" t="str">
        <f t="shared" si="45"/>
        <v/>
      </c>
      <c r="AR249" s="8" t="str">
        <f t="shared" si="38"/>
        <v/>
      </c>
      <c r="AS249" s="31" t="str">
        <f>IF(AT249=0,"",IF(_Ijour1=0,MIN(DATE(YEAR(_DebAmort1),MONTH(_DebAmort1)+(AP249-1)*_Imois1,__Jou1),DATE(YEAR(_DebAmort1),MONTH(_DebAmort1)+1+(AP249-1)*_Imois1,0)),DATE(YEAR(_DebAmort1),MONTH(_DebAmort1),__Jou1+(AP249-1)*_Ijour1)))</f>
        <v/>
      </c>
      <c r="AT249" s="156">
        <f t="shared" si="46"/>
        <v>0</v>
      </c>
      <c r="AU249" s="153">
        <f>IF(AP249&lt;=_NoEchMaxi1,ROUND(AT249*'Données Projet 1'!H258,_NbDeci1),0)</f>
        <v>0</v>
      </c>
      <c r="AV249" s="152">
        <f>IF(OR(AP249&lt;=_Différé1,AP249&gt;_NoEchMaxi1),IF(_DiffTotal1,-AU249,0),IF(AP249&gt;=_NoEchRemb1,AT249,IF('Données Projet 1'!I258-(AU249*_EchFIXE1)&gt;AT249-2,AT249,'Données Projet 1'!I258-(AU249*_EchFIXE1))))+AK249</f>
        <v>0</v>
      </c>
      <c r="AW249" s="154">
        <f t="shared" si="47"/>
        <v>0</v>
      </c>
      <c r="AX249" s="157">
        <f t="shared" si="39"/>
        <v>0</v>
      </c>
    </row>
    <row r="250" spans="20:50" ht="15.75" customHeight="1" x14ac:dyDescent="0.3">
      <c r="T250" s="3"/>
      <c r="U250" s="164"/>
      <c r="V250" s="22"/>
      <c r="W250" s="21"/>
      <c r="X250" s="23"/>
      <c r="Y250" s="10"/>
      <c r="Z250" s="5">
        <f t="shared" si="40"/>
        <v>244</v>
      </c>
      <c r="AA250" s="7">
        <f t="shared" si="41"/>
        <v>177</v>
      </c>
      <c r="AB250" s="8">
        <f t="shared" si="36"/>
        <v>2029</v>
      </c>
      <c r="AC250" s="31">
        <f>IF(AD250=0,"",IF(_Ijour=0,MIN(DATE(YEAR(_DebAmort),MONTH(_DebAmort)+_MoisD+(Z250-1)*_Imois,_Jour2),DATE(YEAR(_DebAmort),MONTH(_DebAmort)+_MoisD+1+(Z250-1)*_Imois,0)),DATE(YEAR(_DebAmort),MONTH(_DebAmort),_Jour1+(Z250-1)*_Ijour)))</f>
        <v>47209</v>
      </c>
      <c r="AD250" s="156">
        <f t="shared" si="42"/>
        <v>118956.14000000014</v>
      </c>
      <c r="AE250" s="153">
        <f>IF(Z250&lt;=_NoEchMaxi,ROUND(AD250*'Données Projet 1'!A259,_NbDeci),0)</f>
        <v>184.38</v>
      </c>
      <c r="AF250" s="152">
        <f>IF(OR(Z250&lt;=_Différé,Z250&gt;_NoEchMaxi),IF(_DiffTotal,-AE250,0),IF(Z250&gt;=_NoEchRemb,AD250,IF('Données Projet 1'!B259-(AE250*_EchFIXE)&gt;AD250-2,AD250,'Données Projet 1'!B259-(AE250*_EchFIXE))))+U250</f>
        <v>584.6</v>
      </c>
      <c r="AG250" s="154">
        <f t="shared" si="43"/>
        <v>19.77</v>
      </c>
      <c r="AH250" s="157">
        <f t="shared" si="37"/>
        <v>788.75</v>
      </c>
      <c r="AI250"/>
      <c r="AJ250" s="3"/>
      <c r="AK250" s="164"/>
      <c r="AL250" s="22"/>
      <c r="AM250" s="21"/>
      <c r="AN250" s="23"/>
      <c r="AO250" s="10"/>
      <c r="AP250" s="5" t="str">
        <f t="shared" si="44"/>
        <v/>
      </c>
      <c r="AQ250" s="7" t="str">
        <f t="shared" si="45"/>
        <v/>
      </c>
      <c r="AR250" s="8" t="str">
        <f t="shared" si="38"/>
        <v/>
      </c>
      <c r="AS250" s="31" t="str">
        <f>IF(AT250=0,"",IF(_Ijour1=0,MIN(DATE(YEAR(_DebAmort1),MONTH(_DebAmort1)+_MoisD1+(AP250-1)*_Imois1,__Jou2),DATE(YEAR(_DebAmort1),MONTH(_DebAmort1)+_MoisD1+1+(AP250-1)*_Imois1,0)),DATE(YEAR(_DebAmort1),MONTH(_DebAmort1),__Jou1+(AP250-1)*_Ijour1)))</f>
        <v/>
      </c>
      <c r="AT250" s="156">
        <f t="shared" si="46"/>
        <v>0</v>
      </c>
      <c r="AU250" s="153">
        <f>IF(AP250&lt;=_NoEchMaxi1,ROUND(AT250*'Données Projet 1'!H259,_NbDeci1),0)</f>
        <v>0</v>
      </c>
      <c r="AV250" s="152">
        <f>IF(OR(AP250&lt;=_Différé1,AP250&gt;_NoEchMaxi1),IF(_DiffTotal1,-AU250,0),IF(AP250&gt;=_NoEchRemb1,AT250,IF('Données Projet 1'!I259-(AU250*_EchFIXE1)&gt;AT250-2,AT250,'Données Projet 1'!I259-(AU250*_EchFIXE1))))+AK250</f>
        <v>0</v>
      </c>
      <c r="AW250" s="154">
        <f t="shared" si="47"/>
        <v>0</v>
      </c>
      <c r="AX250" s="157">
        <f t="shared" si="39"/>
        <v>0</v>
      </c>
    </row>
    <row r="251" spans="20:50" ht="15.75" customHeight="1" x14ac:dyDescent="0.3">
      <c r="T251" s="3"/>
      <c r="U251" s="164"/>
      <c r="V251" s="22"/>
      <c r="W251" s="21"/>
      <c r="X251" s="23"/>
      <c r="Y251" s="10"/>
      <c r="Z251" s="5">
        <f t="shared" si="40"/>
        <v>245</v>
      </c>
      <c r="AA251" s="7">
        <f t="shared" si="41"/>
        <v>176</v>
      </c>
      <c r="AB251" s="8">
        <f t="shared" si="36"/>
        <v>2029</v>
      </c>
      <c r="AC251" s="31">
        <f>IF(AD251=0,"",IF(_Ijour=0,MIN(DATE(YEAR(_DebAmort),MONTH(_DebAmort)+(Z251-1)*_Imois,_Jour1),DATE(YEAR(_DebAmort),MONTH(_DebAmort)+1+(Z251-1)*_Imois,0)),DATE(YEAR(_DebAmort),MONTH(_DebAmort),_Jour1+(Z251-1)*_Ijour)))</f>
        <v>47239</v>
      </c>
      <c r="AD251" s="156">
        <f t="shared" si="42"/>
        <v>118371.54000000014</v>
      </c>
      <c r="AE251" s="153">
        <f>IF(Z251&lt;=_NoEchMaxi,ROUND(AD251*'Données Projet 1'!A260,_NbDeci),0)</f>
        <v>183.48</v>
      </c>
      <c r="AF251" s="152">
        <f>IF(OR(Z251&lt;=_Différé,Z251&gt;_NoEchMaxi),IF(_DiffTotal,-AE251,0),IF(Z251&gt;=_NoEchRemb,AD251,IF('Données Projet 1'!B260-(AE251*_EchFIXE)&gt;AD251-2,AD251,'Données Projet 1'!B260-(AE251*_EchFIXE))))+U251</f>
        <v>585.5</v>
      </c>
      <c r="AG251" s="154">
        <f t="shared" si="43"/>
        <v>19.77</v>
      </c>
      <c r="AH251" s="157">
        <f t="shared" si="37"/>
        <v>788.75</v>
      </c>
      <c r="AI251"/>
      <c r="AJ251" s="3"/>
      <c r="AK251" s="164"/>
      <c r="AL251" s="22"/>
      <c r="AM251" s="21"/>
      <c r="AN251" s="23"/>
      <c r="AO251" s="10"/>
      <c r="AP251" s="5" t="str">
        <f t="shared" si="44"/>
        <v/>
      </c>
      <c r="AQ251" s="7" t="str">
        <f t="shared" si="45"/>
        <v/>
      </c>
      <c r="AR251" s="8" t="str">
        <f t="shared" si="38"/>
        <v/>
      </c>
      <c r="AS251" s="31" t="str">
        <f>IF(AT251=0,"",IF(_Ijour1=0,MIN(DATE(YEAR(_DebAmort1),MONTH(_DebAmort1)+(AP251-1)*_Imois1,__Jou1),DATE(YEAR(_DebAmort1),MONTH(_DebAmort1)+1+(AP251-1)*_Imois1,0)),DATE(YEAR(_DebAmort1),MONTH(_DebAmort1),__Jou1+(AP251-1)*_Ijour1)))</f>
        <v/>
      </c>
      <c r="AT251" s="156">
        <f t="shared" si="46"/>
        <v>0</v>
      </c>
      <c r="AU251" s="153">
        <f>IF(AP251&lt;=_NoEchMaxi1,ROUND(AT251*'Données Projet 1'!H260,_NbDeci1),0)</f>
        <v>0</v>
      </c>
      <c r="AV251" s="152">
        <f>IF(OR(AP251&lt;=_Différé1,AP251&gt;_NoEchMaxi1),IF(_DiffTotal1,-AU251,0),IF(AP251&gt;=_NoEchRemb1,AT251,IF('Données Projet 1'!I260-(AU251*_EchFIXE1)&gt;AT251-2,AT251,'Données Projet 1'!I260-(AU251*_EchFIXE1))))+AK251</f>
        <v>0</v>
      </c>
      <c r="AW251" s="154">
        <f t="shared" si="47"/>
        <v>0</v>
      </c>
      <c r="AX251" s="157">
        <f t="shared" si="39"/>
        <v>0</v>
      </c>
    </row>
    <row r="252" spans="20:50" ht="15.75" customHeight="1" x14ac:dyDescent="0.3">
      <c r="T252" s="3"/>
      <c r="U252" s="164"/>
      <c r="V252" s="22"/>
      <c r="W252" s="21"/>
      <c r="X252" s="23"/>
      <c r="Y252" s="10"/>
      <c r="Z252" s="5">
        <f t="shared" si="40"/>
        <v>246</v>
      </c>
      <c r="AA252" s="7">
        <f t="shared" si="41"/>
        <v>175</v>
      </c>
      <c r="AB252" s="8">
        <f t="shared" si="36"/>
        <v>2029</v>
      </c>
      <c r="AC252" s="31">
        <f>IF(AD252=0,"",IF(_Ijour=0,MIN(DATE(YEAR(_DebAmort),MONTH(_DebAmort)+_MoisD+(Z252-1)*_Imois,_Jour2),DATE(YEAR(_DebAmort),MONTH(_DebAmort)+_MoisD+1+(Z252-1)*_Imois,0)),DATE(YEAR(_DebAmort),MONTH(_DebAmort),_Jour1+(Z252-1)*_Ijour)))</f>
        <v>47270</v>
      </c>
      <c r="AD252" s="156">
        <f t="shared" si="42"/>
        <v>117786.04000000014</v>
      </c>
      <c r="AE252" s="153">
        <f>IF(Z252&lt;=_NoEchMaxi,ROUND(AD252*'Données Projet 1'!A261,_NbDeci),0)</f>
        <v>182.57</v>
      </c>
      <c r="AF252" s="152">
        <f>IF(OR(Z252&lt;=_Différé,Z252&gt;_NoEchMaxi),IF(_DiffTotal,-AE252,0),IF(Z252&gt;=_NoEchRemb,AD252,IF('Données Projet 1'!B261-(AE252*_EchFIXE)&gt;AD252-2,AD252,'Données Projet 1'!B261-(AE252*_EchFIXE))))+U252</f>
        <v>586.41000000000008</v>
      </c>
      <c r="AG252" s="154">
        <f t="shared" si="43"/>
        <v>19.77</v>
      </c>
      <c r="AH252" s="157">
        <f t="shared" si="37"/>
        <v>788.75</v>
      </c>
      <c r="AI252"/>
      <c r="AJ252" s="3"/>
      <c r="AK252" s="164"/>
      <c r="AL252" s="22"/>
      <c r="AM252" s="21"/>
      <c r="AN252" s="23"/>
      <c r="AO252" s="10"/>
      <c r="AP252" s="5" t="str">
        <f t="shared" si="44"/>
        <v/>
      </c>
      <c r="AQ252" s="7" t="str">
        <f t="shared" si="45"/>
        <v/>
      </c>
      <c r="AR252" s="8" t="str">
        <f t="shared" si="38"/>
        <v/>
      </c>
      <c r="AS252" s="31" t="str">
        <f>IF(AT252=0,"",IF(_Ijour1=0,MIN(DATE(YEAR(_DebAmort1),MONTH(_DebAmort1)+_MoisD1+(AP252-1)*_Imois1,__Jou2),DATE(YEAR(_DebAmort1),MONTH(_DebAmort1)+_MoisD1+1+(AP252-1)*_Imois1,0)),DATE(YEAR(_DebAmort1),MONTH(_DebAmort1),__Jou1+(AP252-1)*_Ijour1)))</f>
        <v/>
      </c>
      <c r="AT252" s="156">
        <f t="shared" si="46"/>
        <v>0</v>
      </c>
      <c r="AU252" s="153">
        <f>IF(AP252&lt;=_NoEchMaxi1,ROUND(AT252*'Données Projet 1'!H261,_NbDeci1),0)</f>
        <v>0</v>
      </c>
      <c r="AV252" s="152">
        <f>IF(OR(AP252&lt;=_Différé1,AP252&gt;_NoEchMaxi1),IF(_DiffTotal1,-AU252,0),IF(AP252&gt;=_NoEchRemb1,AT252,IF('Données Projet 1'!I261-(AU252*_EchFIXE1)&gt;AT252-2,AT252,'Données Projet 1'!I261-(AU252*_EchFIXE1))))+AK252</f>
        <v>0</v>
      </c>
      <c r="AW252" s="154">
        <f t="shared" si="47"/>
        <v>0</v>
      </c>
      <c r="AX252" s="157">
        <f t="shared" si="39"/>
        <v>0</v>
      </c>
    </row>
    <row r="253" spans="20:50" ht="15.75" customHeight="1" x14ac:dyDescent="0.3">
      <c r="T253" s="3"/>
      <c r="U253" s="164"/>
      <c r="V253" s="22"/>
      <c r="W253" s="21"/>
      <c r="X253" s="23"/>
      <c r="Y253" s="10"/>
      <c r="Z253" s="5">
        <f t="shared" si="40"/>
        <v>247</v>
      </c>
      <c r="AA253" s="7">
        <f t="shared" si="41"/>
        <v>174</v>
      </c>
      <c r="AB253" s="8">
        <f t="shared" si="36"/>
        <v>2029</v>
      </c>
      <c r="AC253" s="31">
        <f>IF(AD253=0,"",IF(_Ijour=0,MIN(DATE(YEAR(_DebAmort),MONTH(_DebAmort)+(Z253-1)*_Imois,_Jour1),DATE(YEAR(_DebAmort),MONTH(_DebAmort)+1+(Z253-1)*_Imois,0)),DATE(YEAR(_DebAmort),MONTH(_DebAmort),_Jour1+(Z253-1)*_Ijour)))</f>
        <v>47300</v>
      </c>
      <c r="AD253" s="156">
        <f t="shared" si="42"/>
        <v>117199.63000000014</v>
      </c>
      <c r="AE253" s="153">
        <f>IF(Z253&lt;=_NoEchMaxi,ROUND(AD253*'Données Projet 1'!A262,_NbDeci),0)</f>
        <v>181.66</v>
      </c>
      <c r="AF253" s="152">
        <f>IF(OR(Z253&lt;=_Différé,Z253&gt;_NoEchMaxi),IF(_DiffTotal,-AE253,0),IF(Z253&gt;=_NoEchRemb,AD253,IF('Données Projet 1'!B262-(AE253*_EchFIXE)&gt;AD253-2,AD253,'Données Projet 1'!B262-(AE253*_EchFIXE))))+U253</f>
        <v>587.32000000000005</v>
      </c>
      <c r="AG253" s="154">
        <f t="shared" si="43"/>
        <v>19.77</v>
      </c>
      <c r="AH253" s="157">
        <f t="shared" si="37"/>
        <v>788.75</v>
      </c>
      <c r="AI253"/>
      <c r="AJ253" s="3"/>
      <c r="AK253" s="164"/>
      <c r="AL253" s="22"/>
      <c r="AM253" s="21"/>
      <c r="AN253" s="23"/>
      <c r="AO253" s="10"/>
      <c r="AP253" s="5" t="str">
        <f t="shared" si="44"/>
        <v/>
      </c>
      <c r="AQ253" s="7" t="str">
        <f t="shared" si="45"/>
        <v/>
      </c>
      <c r="AR253" s="8" t="str">
        <f t="shared" si="38"/>
        <v/>
      </c>
      <c r="AS253" s="31" t="str">
        <f>IF(AT253=0,"",IF(_Ijour1=0,MIN(DATE(YEAR(_DebAmort1),MONTH(_DebAmort1)+(AP253-1)*_Imois1,__Jou1),DATE(YEAR(_DebAmort1),MONTH(_DebAmort1)+1+(AP253-1)*_Imois1,0)),DATE(YEAR(_DebAmort1),MONTH(_DebAmort1),__Jou1+(AP253-1)*_Ijour1)))</f>
        <v/>
      </c>
      <c r="AT253" s="156">
        <f t="shared" si="46"/>
        <v>0</v>
      </c>
      <c r="AU253" s="153">
        <f>IF(AP253&lt;=_NoEchMaxi1,ROUND(AT253*'Données Projet 1'!H262,_NbDeci1),0)</f>
        <v>0</v>
      </c>
      <c r="AV253" s="152">
        <f>IF(OR(AP253&lt;=_Différé1,AP253&gt;_NoEchMaxi1),IF(_DiffTotal1,-AU253,0),IF(AP253&gt;=_NoEchRemb1,AT253,IF('Données Projet 1'!I262-(AU253*_EchFIXE1)&gt;AT253-2,AT253,'Données Projet 1'!I262-(AU253*_EchFIXE1))))+AK253</f>
        <v>0</v>
      </c>
      <c r="AW253" s="154">
        <f t="shared" si="47"/>
        <v>0</v>
      </c>
      <c r="AX253" s="157">
        <f t="shared" si="39"/>
        <v>0</v>
      </c>
    </row>
    <row r="254" spans="20:50" ht="15.75" customHeight="1" x14ac:dyDescent="0.3">
      <c r="T254" s="3"/>
      <c r="U254" s="164"/>
      <c r="V254" s="22"/>
      <c r="W254" s="21"/>
      <c r="X254" s="23"/>
      <c r="Y254" s="10"/>
      <c r="Z254" s="5">
        <f t="shared" si="40"/>
        <v>248</v>
      </c>
      <c r="AA254" s="7">
        <f t="shared" si="41"/>
        <v>173</v>
      </c>
      <c r="AB254" s="8">
        <f t="shared" si="36"/>
        <v>2029</v>
      </c>
      <c r="AC254" s="31">
        <f>IF(AD254=0,"",IF(_Ijour=0,MIN(DATE(YEAR(_DebAmort),MONTH(_DebAmort)+_MoisD+(Z254-1)*_Imois,_Jour2),DATE(YEAR(_DebAmort),MONTH(_DebAmort)+_MoisD+1+(Z254-1)*_Imois,0)),DATE(YEAR(_DebAmort),MONTH(_DebAmort),_Jour1+(Z254-1)*_Ijour)))</f>
        <v>47331</v>
      </c>
      <c r="AD254" s="156">
        <f t="shared" si="42"/>
        <v>116612.31000000013</v>
      </c>
      <c r="AE254" s="153">
        <f>IF(Z254&lt;=_NoEchMaxi,ROUND(AD254*'Données Projet 1'!A263,_NbDeci),0)</f>
        <v>180.75</v>
      </c>
      <c r="AF254" s="152">
        <f>IF(OR(Z254&lt;=_Différé,Z254&gt;_NoEchMaxi),IF(_DiffTotal,-AE254,0),IF(Z254&gt;=_NoEchRemb,AD254,IF('Données Projet 1'!B263-(AE254*_EchFIXE)&gt;AD254-2,AD254,'Données Projet 1'!B263-(AE254*_EchFIXE))))+U254</f>
        <v>588.23</v>
      </c>
      <c r="AG254" s="154">
        <f t="shared" si="43"/>
        <v>19.77</v>
      </c>
      <c r="AH254" s="157">
        <f t="shared" si="37"/>
        <v>788.75</v>
      </c>
      <c r="AI254"/>
      <c r="AJ254" s="3"/>
      <c r="AK254" s="164"/>
      <c r="AL254" s="22"/>
      <c r="AM254" s="21"/>
      <c r="AN254" s="23"/>
      <c r="AO254" s="10"/>
      <c r="AP254" s="5" t="str">
        <f t="shared" si="44"/>
        <v/>
      </c>
      <c r="AQ254" s="7" t="str">
        <f t="shared" si="45"/>
        <v/>
      </c>
      <c r="AR254" s="8" t="str">
        <f t="shared" si="38"/>
        <v/>
      </c>
      <c r="AS254" s="31" t="str">
        <f>IF(AT254=0,"",IF(_Ijour1=0,MIN(DATE(YEAR(_DebAmort1),MONTH(_DebAmort1)+_MoisD1+(AP254-1)*_Imois1,__Jou2),DATE(YEAR(_DebAmort1),MONTH(_DebAmort1)+_MoisD1+1+(AP254-1)*_Imois1,0)),DATE(YEAR(_DebAmort1),MONTH(_DebAmort1),__Jou1+(AP254-1)*_Ijour1)))</f>
        <v/>
      </c>
      <c r="AT254" s="156">
        <f t="shared" si="46"/>
        <v>0</v>
      </c>
      <c r="AU254" s="153">
        <f>IF(AP254&lt;=_NoEchMaxi1,ROUND(AT254*'Données Projet 1'!H263,_NbDeci1),0)</f>
        <v>0</v>
      </c>
      <c r="AV254" s="152">
        <f>IF(OR(AP254&lt;=_Différé1,AP254&gt;_NoEchMaxi1),IF(_DiffTotal1,-AU254,0),IF(AP254&gt;=_NoEchRemb1,AT254,IF('Données Projet 1'!I263-(AU254*_EchFIXE1)&gt;AT254-2,AT254,'Données Projet 1'!I263-(AU254*_EchFIXE1))))+AK254</f>
        <v>0</v>
      </c>
      <c r="AW254" s="154">
        <f t="shared" si="47"/>
        <v>0</v>
      </c>
      <c r="AX254" s="157">
        <f t="shared" si="39"/>
        <v>0</v>
      </c>
    </row>
    <row r="255" spans="20:50" ht="15.75" customHeight="1" x14ac:dyDescent="0.3">
      <c r="T255" s="3"/>
      <c r="U255" s="164"/>
      <c r="V255" s="22"/>
      <c r="W255" s="21"/>
      <c r="X255" s="23"/>
      <c r="Y255" s="10"/>
      <c r="Z255" s="5">
        <f t="shared" si="40"/>
        <v>249</v>
      </c>
      <c r="AA255" s="7">
        <f t="shared" si="41"/>
        <v>172</v>
      </c>
      <c r="AB255" s="8">
        <f t="shared" si="36"/>
        <v>2029</v>
      </c>
      <c r="AC255" s="31">
        <f>IF(AD255=0,"",IF(_Ijour=0,MIN(DATE(YEAR(_DebAmort),MONTH(_DebAmort)+(Z255-1)*_Imois,_Jour1),DATE(YEAR(_DebAmort),MONTH(_DebAmort)+1+(Z255-1)*_Imois,0)),DATE(YEAR(_DebAmort),MONTH(_DebAmort),_Jour1+(Z255-1)*_Ijour)))</f>
        <v>47362</v>
      </c>
      <c r="AD255" s="156">
        <f t="shared" si="42"/>
        <v>116024.08000000013</v>
      </c>
      <c r="AE255" s="153">
        <f>IF(Z255&lt;=_NoEchMaxi,ROUND(AD255*'Données Projet 1'!A264,_NbDeci),0)</f>
        <v>179.84</v>
      </c>
      <c r="AF255" s="152">
        <f>IF(OR(Z255&lt;=_Différé,Z255&gt;_NoEchMaxi),IF(_DiffTotal,-AE255,0),IF(Z255&gt;=_NoEchRemb,AD255,IF('Données Projet 1'!B264-(AE255*_EchFIXE)&gt;AD255-2,AD255,'Données Projet 1'!B264-(AE255*_EchFIXE))))+U255</f>
        <v>589.14</v>
      </c>
      <c r="AG255" s="154">
        <f t="shared" si="43"/>
        <v>19.77</v>
      </c>
      <c r="AH255" s="157">
        <f t="shared" si="37"/>
        <v>788.75</v>
      </c>
      <c r="AI255"/>
      <c r="AJ255" s="3"/>
      <c r="AK255" s="164"/>
      <c r="AL255" s="22"/>
      <c r="AM255" s="21"/>
      <c r="AN255" s="23"/>
      <c r="AO255" s="10"/>
      <c r="AP255" s="5" t="str">
        <f t="shared" si="44"/>
        <v/>
      </c>
      <c r="AQ255" s="7" t="str">
        <f t="shared" si="45"/>
        <v/>
      </c>
      <c r="AR255" s="8" t="str">
        <f t="shared" si="38"/>
        <v/>
      </c>
      <c r="AS255" s="31" t="str">
        <f>IF(AT255=0,"",IF(_Ijour1=0,MIN(DATE(YEAR(_DebAmort1),MONTH(_DebAmort1)+(AP255-1)*_Imois1,__Jou1),DATE(YEAR(_DebAmort1),MONTH(_DebAmort1)+1+(AP255-1)*_Imois1,0)),DATE(YEAR(_DebAmort1),MONTH(_DebAmort1),__Jou1+(AP255-1)*_Ijour1)))</f>
        <v/>
      </c>
      <c r="AT255" s="156">
        <f t="shared" si="46"/>
        <v>0</v>
      </c>
      <c r="AU255" s="153">
        <f>IF(AP255&lt;=_NoEchMaxi1,ROUND(AT255*'Données Projet 1'!H264,_NbDeci1),0)</f>
        <v>0</v>
      </c>
      <c r="AV255" s="152">
        <f>IF(OR(AP255&lt;=_Différé1,AP255&gt;_NoEchMaxi1),IF(_DiffTotal1,-AU255,0),IF(AP255&gt;=_NoEchRemb1,AT255,IF('Données Projet 1'!I264-(AU255*_EchFIXE1)&gt;AT255-2,AT255,'Données Projet 1'!I264-(AU255*_EchFIXE1))))+AK255</f>
        <v>0</v>
      </c>
      <c r="AW255" s="154">
        <f t="shared" si="47"/>
        <v>0</v>
      </c>
      <c r="AX255" s="157">
        <f t="shared" si="39"/>
        <v>0</v>
      </c>
    </row>
    <row r="256" spans="20:50" ht="15.75" customHeight="1" x14ac:dyDescent="0.3">
      <c r="T256" s="3"/>
      <c r="U256" s="164"/>
      <c r="V256" s="22"/>
      <c r="W256" s="21"/>
      <c r="X256" s="23"/>
      <c r="Y256" s="10"/>
      <c r="Z256" s="5">
        <f t="shared" si="40"/>
        <v>250</v>
      </c>
      <c r="AA256" s="7">
        <f t="shared" si="41"/>
        <v>171</v>
      </c>
      <c r="AB256" s="8">
        <f t="shared" si="36"/>
        <v>2029</v>
      </c>
      <c r="AC256" s="31">
        <f>IF(AD256=0,"",IF(_Ijour=0,MIN(DATE(YEAR(_DebAmort),MONTH(_DebAmort)+_MoisD+(Z256-1)*_Imois,_Jour2),DATE(YEAR(_DebAmort),MONTH(_DebAmort)+_MoisD+1+(Z256-1)*_Imois,0)),DATE(YEAR(_DebAmort),MONTH(_DebAmort),_Jour1+(Z256-1)*_Ijour)))</f>
        <v>47392</v>
      </c>
      <c r="AD256" s="156">
        <f t="shared" si="42"/>
        <v>115434.94000000013</v>
      </c>
      <c r="AE256" s="153">
        <f>IF(Z256&lt;=_NoEchMaxi,ROUND(AD256*'Données Projet 1'!A265,_NbDeci),0)</f>
        <v>178.92</v>
      </c>
      <c r="AF256" s="152">
        <f>IF(OR(Z256&lt;=_Différé,Z256&gt;_NoEchMaxi),IF(_DiffTotal,-AE256,0),IF(Z256&gt;=_NoEchRemb,AD256,IF('Données Projet 1'!B265-(AE256*_EchFIXE)&gt;AD256-2,AD256,'Données Projet 1'!B265-(AE256*_EchFIXE))))+U256</f>
        <v>590.06000000000006</v>
      </c>
      <c r="AG256" s="154">
        <f t="shared" si="43"/>
        <v>19.77</v>
      </c>
      <c r="AH256" s="157">
        <f t="shared" si="37"/>
        <v>788.75</v>
      </c>
      <c r="AI256"/>
      <c r="AJ256" s="3"/>
      <c r="AK256" s="164"/>
      <c r="AL256" s="22"/>
      <c r="AM256" s="21"/>
      <c r="AN256" s="23"/>
      <c r="AO256" s="10"/>
      <c r="AP256" s="5" t="str">
        <f t="shared" si="44"/>
        <v/>
      </c>
      <c r="AQ256" s="7" t="str">
        <f t="shared" si="45"/>
        <v/>
      </c>
      <c r="AR256" s="8" t="str">
        <f t="shared" si="38"/>
        <v/>
      </c>
      <c r="AS256" s="31" t="str">
        <f>IF(AT256=0,"",IF(_Ijour1=0,MIN(DATE(YEAR(_DebAmort1),MONTH(_DebAmort1)+_MoisD1+(AP256-1)*_Imois1,__Jou2),DATE(YEAR(_DebAmort1),MONTH(_DebAmort1)+_MoisD1+1+(AP256-1)*_Imois1,0)),DATE(YEAR(_DebAmort1),MONTH(_DebAmort1),__Jou1+(AP256-1)*_Ijour1)))</f>
        <v/>
      </c>
      <c r="AT256" s="156">
        <f t="shared" si="46"/>
        <v>0</v>
      </c>
      <c r="AU256" s="153">
        <f>IF(AP256&lt;=_NoEchMaxi1,ROUND(AT256*'Données Projet 1'!H265,_NbDeci1),0)</f>
        <v>0</v>
      </c>
      <c r="AV256" s="152">
        <f>IF(OR(AP256&lt;=_Différé1,AP256&gt;_NoEchMaxi1),IF(_DiffTotal1,-AU256,0),IF(AP256&gt;=_NoEchRemb1,AT256,IF('Données Projet 1'!I265-(AU256*_EchFIXE1)&gt;AT256-2,AT256,'Données Projet 1'!I265-(AU256*_EchFIXE1))))+AK256</f>
        <v>0</v>
      </c>
      <c r="AW256" s="154">
        <f t="shared" si="47"/>
        <v>0</v>
      </c>
      <c r="AX256" s="157">
        <f t="shared" si="39"/>
        <v>0</v>
      </c>
    </row>
    <row r="257" spans="20:50" ht="15.75" customHeight="1" x14ac:dyDescent="0.3">
      <c r="T257" s="3"/>
      <c r="U257" s="164"/>
      <c r="V257" s="22"/>
      <c r="W257" s="21"/>
      <c r="X257" s="23"/>
      <c r="Y257" s="10"/>
      <c r="Z257" s="5">
        <f t="shared" si="40"/>
        <v>251</v>
      </c>
      <c r="AA257" s="7">
        <f t="shared" si="41"/>
        <v>170</v>
      </c>
      <c r="AB257" s="8">
        <f t="shared" si="36"/>
        <v>2029</v>
      </c>
      <c r="AC257" s="31">
        <f>IF(AD257=0,"",IF(_Ijour=0,MIN(DATE(YEAR(_DebAmort),MONTH(_DebAmort)+(Z257-1)*_Imois,_Jour1),DATE(YEAR(_DebAmort),MONTH(_DebAmort)+1+(Z257-1)*_Imois,0)),DATE(YEAR(_DebAmort),MONTH(_DebAmort),_Jour1+(Z257-1)*_Ijour)))</f>
        <v>47423</v>
      </c>
      <c r="AD257" s="156">
        <f t="shared" si="42"/>
        <v>114844.88000000014</v>
      </c>
      <c r="AE257" s="153">
        <f>IF(Z257&lt;=_NoEchMaxi,ROUND(AD257*'Données Projet 1'!A266,_NbDeci),0)</f>
        <v>178.01</v>
      </c>
      <c r="AF257" s="152">
        <f>IF(OR(Z257&lt;=_Différé,Z257&gt;_NoEchMaxi),IF(_DiffTotal,-AE257,0),IF(Z257&gt;=_NoEchRemb,AD257,IF('Données Projet 1'!B266-(AE257*_EchFIXE)&gt;AD257-2,AD257,'Données Projet 1'!B266-(AE257*_EchFIXE))))+U257</f>
        <v>590.97</v>
      </c>
      <c r="AG257" s="154">
        <f t="shared" si="43"/>
        <v>19.77</v>
      </c>
      <c r="AH257" s="157">
        <f t="shared" si="37"/>
        <v>788.75</v>
      </c>
      <c r="AI257"/>
      <c r="AJ257" s="3"/>
      <c r="AK257" s="164"/>
      <c r="AL257" s="22"/>
      <c r="AM257" s="21"/>
      <c r="AN257" s="23"/>
      <c r="AO257" s="10"/>
      <c r="AP257" s="5" t="str">
        <f t="shared" si="44"/>
        <v/>
      </c>
      <c r="AQ257" s="7" t="str">
        <f t="shared" si="45"/>
        <v/>
      </c>
      <c r="AR257" s="8" t="str">
        <f t="shared" si="38"/>
        <v/>
      </c>
      <c r="AS257" s="31" t="str">
        <f>IF(AT257=0,"",IF(_Ijour1=0,MIN(DATE(YEAR(_DebAmort1),MONTH(_DebAmort1)+(AP257-1)*_Imois1,__Jou1),DATE(YEAR(_DebAmort1),MONTH(_DebAmort1)+1+(AP257-1)*_Imois1,0)),DATE(YEAR(_DebAmort1),MONTH(_DebAmort1),__Jou1+(AP257-1)*_Ijour1)))</f>
        <v/>
      </c>
      <c r="AT257" s="156">
        <f t="shared" si="46"/>
        <v>0</v>
      </c>
      <c r="AU257" s="153">
        <f>IF(AP257&lt;=_NoEchMaxi1,ROUND(AT257*'Données Projet 1'!H266,_NbDeci1),0)</f>
        <v>0</v>
      </c>
      <c r="AV257" s="152">
        <f>IF(OR(AP257&lt;=_Différé1,AP257&gt;_NoEchMaxi1),IF(_DiffTotal1,-AU257,0),IF(AP257&gt;=_NoEchRemb1,AT257,IF('Données Projet 1'!I266-(AU257*_EchFIXE1)&gt;AT257-2,AT257,'Données Projet 1'!I266-(AU257*_EchFIXE1))))+AK257</f>
        <v>0</v>
      </c>
      <c r="AW257" s="154">
        <f t="shared" si="47"/>
        <v>0</v>
      </c>
      <c r="AX257" s="157">
        <f t="shared" si="39"/>
        <v>0</v>
      </c>
    </row>
    <row r="258" spans="20:50" ht="15.75" customHeight="1" x14ac:dyDescent="0.3">
      <c r="T258" s="3"/>
      <c r="U258" s="164"/>
      <c r="V258" s="22"/>
      <c r="W258" s="21"/>
      <c r="X258" s="23"/>
      <c r="Y258" s="10"/>
      <c r="Z258" s="5">
        <f t="shared" si="40"/>
        <v>252</v>
      </c>
      <c r="AA258" s="7">
        <f t="shared" si="41"/>
        <v>169</v>
      </c>
      <c r="AB258" s="8">
        <f t="shared" si="36"/>
        <v>2029</v>
      </c>
      <c r="AC258" s="31">
        <f>IF(AD258=0,"",IF(_Ijour=0,MIN(DATE(YEAR(_DebAmort),MONTH(_DebAmort)+_MoisD+(Z258-1)*_Imois,_Jour2),DATE(YEAR(_DebAmort),MONTH(_DebAmort)+_MoisD+1+(Z258-1)*_Imois,0)),DATE(YEAR(_DebAmort),MONTH(_DebAmort),_Jour1+(Z258-1)*_Ijour)))</f>
        <v>47453</v>
      </c>
      <c r="AD258" s="156">
        <f t="shared" si="42"/>
        <v>114253.91000000013</v>
      </c>
      <c r="AE258" s="153">
        <f>IF(Z258&lt;=_NoEchMaxi,ROUND(AD258*'Données Projet 1'!A267,_NbDeci),0)</f>
        <v>177.09</v>
      </c>
      <c r="AF258" s="152">
        <f>IF(OR(Z258&lt;=_Différé,Z258&gt;_NoEchMaxi),IF(_DiffTotal,-AE258,0),IF(Z258&gt;=_NoEchRemb,AD258,IF('Données Projet 1'!B267-(AE258*_EchFIXE)&gt;AD258-2,AD258,'Données Projet 1'!B267-(AE258*_EchFIXE))))+U258</f>
        <v>591.89</v>
      </c>
      <c r="AG258" s="154">
        <f t="shared" si="43"/>
        <v>19.77</v>
      </c>
      <c r="AH258" s="157">
        <f t="shared" si="37"/>
        <v>788.75</v>
      </c>
      <c r="AI258"/>
      <c r="AJ258" s="3"/>
      <c r="AK258" s="164"/>
      <c r="AL258" s="22"/>
      <c r="AM258" s="21"/>
      <c r="AN258" s="23"/>
      <c r="AO258" s="10"/>
      <c r="AP258" s="5" t="str">
        <f t="shared" si="44"/>
        <v/>
      </c>
      <c r="AQ258" s="7" t="str">
        <f t="shared" si="45"/>
        <v/>
      </c>
      <c r="AR258" s="8" t="str">
        <f t="shared" si="38"/>
        <v/>
      </c>
      <c r="AS258" s="31" t="str">
        <f>IF(AT258=0,"",IF(_Ijour1=0,MIN(DATE(YEAR(_DebAmort1),MONTH(_DebAmort1)+_MoisD1+(AP258-1)*_Imois1,__Jou2),DATE(YEAR(_DebAmort1),MONTH(_DebAmort1)+_MoisD1+1+(AP258-1)*_Imois1,0)),DATE(YEAR(_DebAmort1),MONTH(_DebAmort1),__Jou1+(AP258-1)*_Ijour1)))</f>
        <v/>
      </c>
      <c r="AT258" s="156">
        <f t="shared" si="46"/>
        <v>0</v>
      </c>
      <c r="AU258" s="153">
        <f>IF(AP258&lt;=_NoEchMaxi1,ROUND(AT258*'Données Projet 1'!H267,_NbDeci1),0)</f>
        <v>0</v>
      </c>
      <c r="AV258" s="152">
        <f>IF(OR(AP258&lt;=_Différé1,AP258&gt;_NoEchMaxi1),IF(_DiffTotal1,-AU258,0),IF(AP258&gt;=_NoEchRemb1,AT258,IF('Données Projet 1'!I267-(AU258*_EchFIXE1)&gt;AT258-2,AT258,'Données Projet 1'!I267-(AU258*_EchFIXE1))))+AK258</f>
        <v>0</v>
      </c>
      <c r="AW258" s="154">
        <f t="shared" si="47"/>
        <v>0</v>
      </c>
      <c r="AX258" s="157">
        <f t="shared" si="39"/>
        <v>0</v>
      </c>
    </row>
    <row r="259" spans="20:50" ht="15.75" customHeight="1" x14ac:dyDescent="0.3">
      <c r="T259" s="3"/>
      <c r="U259" s="164"/>
      <c r="V259" s="22"/>
      <c r="W259" s="21"/>
      <c r="X259" s="23"/>
      <c r="Y259" s="10"/>
      <c r="Z259" s="5">
        <f t="shared" si="40"/>
        <v>253</v>
      </c>
      <c r="AA259" s="7">
        <f t="shared" si="41"/>
        <v>168</v>
      </c>
      <c r="AB259" s="8">
        <f t="shared" si="36"/>
        <v>2030</v>
      </c>
      <c r="AC259" s="31">
        <f>IF(AD259=0,"",IF(_Ijour=0,MIN(DATE(YEAR(_DebAmort),MONTH(_DebAmort)+(Z259-1)*_Imois,_Jour1),DATE(YEAR(_DebAmort),MONTH(_DebAmort)+1+(Z259-1)*_Imois,0)),DATE(YEAR(_DebAmort),MONTH(_DebAmort),_Jour1+(Z259-1)*_Ijour)))</f>
        <v>47484</v>
      </c>
      <c r="AD259" s="156">
        <f t="shared" si="42"/>
        <v>113662.02000000014</v>
      </c>
      <c r="AE259" s="153">
        <f>IF(Z259&lt;=_NoEchMaxi,ROUND(AD259*'Données Projet 1'!A268,_NbDeci),0)</f>
        <v>176.18</v>
      </c>
      <c r="AF259" s="152">
        <f>IF(OR(Z259&lt;=_Différé,Z259&gt;_NoEchMaxi),IF(_DiffTotal,-AE259,0),IF(Z259&gt;=_NoEchRemb,AD259,IF('Données Projet 1'!B268-(AE259*_EchFIXE)&gt;AD259-2,AD259,'Données Projet 1'!B268-(AE259*_EchFIXE))))+U259</f>
        <v>592.79999999999995</v>
      </c>
      <c r="AG259" s="154">
        <f t="shared" si="43"/>
        <v>19.77</v>
      </c>
      <c r="AH259" s="157">
        <f t="shared" si="37"/>
        <v>788.75</v>
      </c>
      <c r="AI259"/>
      <c r="AJ259" s="3"/>
      <c r="AK259" s="164"/>
      <c r="AL259" s="22"/>
      <c r="AM259" s="21"/>
      <c r="AN259" s="23"/>
      <c r="AO259" s="10"/>
      <c r="AP259" s="5" t="str">
        <f t="shared" si="44"/>
        <v/>
      </c>
      <c r="AQ259" s="7" t="str">
        <f t="shared" si="45"/>
        <v/>
      </c>
      <c r="AR259" s="8" t="str">
        <f t="shared" si="38"/>
        <v/>
      </c>
      <c r="AS259" s="31" t="str">
        <f>IF(AT259=0,"",IF(_Ijour1=0,MIN(DATE(YEAR(_DebAmort1),MONTH(_DebAmort1)+(AP259-1)*_Imois1,__Jou1),DATE(YEAR(_DebAmort1),MONTH(_DebAmort1)+1+(AP259-1)*_Imois1,0)),DATE(YEAR(_DebAmort1),MONTH(_DebAmort1),__Jou1+(AP259-1)*_Ijour1)))</f>
        <v/>
      </c>
      <c r="AT259" s="156">
        <f t="shared" si="46"/>
        <v>0</v>
      </c>
      <c r="AU259" s="153">
        <f>IF(AP259&lt;=_NoEchMaxi1,ROUND(AT259*'Données Projet 1'!H268,_NbDeci1),0)</f>
        <v>0</v>
      </c>
      <c r="AV259" s="152">
        <f>IF(OR(AP259&lt;=_Différé1,AP259&gt;_NoEchMaxi1),IF(_DiffTotal1,-AU259,0),IF(AP259&gt;=_NoEchRemb1,AT259,IF('Données Projet 1'!I268-(AU259*_EchFIXE1)&gt;AT259-2,AT259,'Données Projet 1'!I268-(AU259*_EchFIXE1))))+AK259</f>
        <v>0</v>
      </c>
      <c r="AW259" s="154">
        <f t="shared" si="47"/>
        <v>0</v>
      </c>
      <c r="AX259" s="157">
        <f t="shared" si="39"/>
        <v>0</v>
      </c>
    </row>
    <row r="260" spans="20:50" ht="15.75" customHeight="1" x14ac:dyDescent="0.3">
      <c r="T260" s="3"/>
      <c r="U260" s="164"/>
      <c r="V260" s="22"/>
      <c r="W260" s="21"/>
      <c r="X260" s="23"/>
      <c r="Y260" s="10"/>
      <c r="Z260" s="5">
        <f t="shared" si="40"/>
        <v>254</v>
      </c>
      <c r="AA260" s="7">
        <f t="shared" si="41"/>
        <v>167</v>
      </c>
      <c r="AB260" s="8">
        <f t="shared" si="36"/>
        <v>2030</v>
      </c>
      <c r="AC260" s="31">
        <f>IF(AD260=0,"",IF(_Ijour=0,MIN(DATE(YEAR(_DebAmort),MONTH(_DebAmort)+_MoisD+(Z260-1)*_Imois,_Jour2),DATE(YEAR(_DebAmort),MONTH(_DebAmort)+_MoisD+1+(Z260-1)*_Imois,0)),DATE(YEAR(_DebAmort),MONTH(_DebAmort),_Jour1+(Z260-1)*_Ijour)))</f>
        <v>47515</v>
      </c>
      <c r="AD260" s="156">
        <f t="shared" si="42"/>
        <v>113069.22000000013</v>
      </c>
      <c r="AE260" s="153">
        <f>IF(Z260&lt;=_NoEchMaxi,ROUND(AD260*'Données Projet 1'!A269,_NbDeci),0)</f>
        <v>175.26</v>
      </c>
      <c r="AF260" s="152">
        <f>IF(OR(Z260&lt;=_Différé,Z260&gt;_NoEchMaxi),IF(_DiffTotal,-AE260,0),IF(Z260&gt;=_NoEchRemb,AD260,IF('Données Projet 1'!B269-(AE260*_EchFIXE)&gt;AD260-2,AD260,'Données Projet 1'!B269-(AE260*_EchFIXE))))+U260</f>
        <v>593.72</v>
      </c>
      <c r="AG260" s="154">
        <f t="shared" si="43"/>
        <v>19.77</v>
      </c>
      <c r="AH260" s="157">
        <f t="shared" si="37"/>
        <v>788.75</v>
      </c>
      <c r="AI260"/>
      <c r="AJ260" s="3"/>
      <c r="AK260" s="164"/>
      <c r="AL260" s="22"/>
      <c r="AM260" s="21"/>
      <c r="AN260" s="23"/>
      <c r="AO260" s="10"/>
      <c r="AP260" s="5" t="str">
        <f t="shared" si="44"/>
        <v/>
      </c>
      <c r="AQ260" s="7" t="str">
        <f t="shared" si="45"/>
        <v/>
      </c>
      <c r="AR260" s="8" t="str">
        <f t="shared" si="38"/>
        <v/>
      </c>
      <c r="AS260" s="31" t="str">
        <f>IF(AT260=0,"",IF(_Ijour1=0,MIN(DATE(YEAR(_DebAmort1),MONTH(_DebAmort1)+_MoisD1+(AP260-1)*_Imois1,__Jou2),DATE(YEAR(_DebAmort1),MONTH(_DebAmort1)+_MoisD1+1+(AP260-1)*_Imois1,0)),DATE(YEAR(_DebAmort1),MONTH(_DebAmort1),__Jou1+(AP260-1)*_Ijour1)))</f>
        <v/>
      </c>
      <c r="AT260" s="156">
        <f t="shared" si="46"/>
        <v>0</v>
      </c>
      <c r="AU260" s="153">
        <f>IF(AP260&lt;=_NoEchMaxi1,ROUND(AT260*'Données Projet 1'!H269,_NbDeci1),0)</f>
        <v>0</v>
      </c>
      <c r="AV260" s="152">
        <f>IF(OR(AP260&lt;=_Différé1,AP260&gt;_NoEchMaxi1),IF(_DiffTotal1,-AU260,0),IF(AP260&gt;=_NoEchRemb1,AT260,IF('Données Projet 1'!I269-(AU260*_EchFIXE1)&gt;AT260-2,AT260,'Données Projet 1'!I269-(AU260*_EchFIXE1))))+AK260</f>
        <v>0</v>
      </c>
      <c r="AW260" s="154">
        <f t="shared" si="47"/>
        <v>0</v>
      </c>
      <c r="AX260" s="157">
        <f t="shared" si="39"/>
        <v>0</v>
      </c>
    </row>
    <row r="261" spans="20:50" ht="15.75" customHeight="1" x14ac:dyDescent="0.3">
      <c r="T261" s="3"/>
      <c r="U261" s="164"/>
      <c r="V261" s="22"/>
      <c r="W261" s="21"/>
      <c r="X261" s="23"/>
      <c r="Y261" s="10"/>
      <c r="Z261" s="5">
        <f t="shared" si="40"/>
        <v>255</v>
      </c>
      <c r="AA261" s="7">
        <f t="shared" si="41"/>
        <v>166</v>
      </c>
      <c r="AB261" s="8">
        <f t="shared" si="36"/>
        <v>2030</v>
      </c>
      <c r="AC261" s="31">
        <f>IF(AD261=0,"",IF(_Ijour=0,MIN(DATE(YEAR(_DebAmort),MONTH(_DebAmort)+(Z261-1)*_Imois,_Jour1),DATE(YEAR(_DebAmort),MONTH(_DebAmort)+1+(Z261-1)*_Imois,0)),DATE(YEAR(_DebAmort),MONTH(_DebAmort),_Jour1+(Z261-1)*_Ijour)))</f>
        <v>47543</v>
      </c>
      <c r="AD261" s="156">
        <f t="shared" si="42"/>
        <v>112475.50000000013</v>
      </c>
      <c r="AE261" s="153">
        <f>IF(Z261&lt;=_NoEchMaxi,ROUND(AD261*'Données Projet 1'!A270,_NbDeci),0)</f>
        <v>174.34</v>
      </c>
      <c r="AF261" s="152">
        <f>IF(OR(Z261&lt;=_Différé,Z261&gt;_NoEchMaxi),IF(_DiffTotal,-AE261,0),IF(Z261&gt;=_NoEchRemb,AD261,IF('Données Projet 1'!B270-(AE261*_EchFIXE)&gt;AD261-2,AD261,'Données Projet 1'!B270-(AE261*_EchFIXE))))+U261</f>
        <v>594.64</v>
      </c>
      <c r="AG261" s="154">
        <f t="shared" si="43"/>
        <v>19.77</v>
      </c>
      <c r="AH261" s="157">
        <f t="shared" si="37"/>
        <v>788.75</v>
      </c>
      <c r="AI261"/>
      <c r="AJ261" s="3"/>
      <c r="AK261" s="164"/>
      <c r="AL261" s="22"/>
      <c r="AM261" s="21"/>
      <c r="AN261" s="23"/>
      <c r="AO261" s="10"/>
      <c r="AP261" s="5" t="str">
        <f t="shared" si="44"/>
        <v/>
      </c>
      <c r="AQ261" s="7" t="str">
        <f t="shared" si="45"/>
        <v/>
      </c>
      <c r="AR261" s="8" t="str">
        <f t="shared" si="38"/>
        <v/>
      </c>
      <c r="AS261" s="31" t="str">
        <f>IF(AT261=0,"",IF(_Ijour1=0,MIN(DATE(YEAR(_DebAmort1),MONTH(_DebAmort1)+(AP261-1)*_Imois1,__Jou1),DATE(YEAR(_DebAmort1),MONTH(_DebAmort1)+1+(AP261-1)*_Imois1,0)),DATE(YEAR(_DebAmort1),MONTH(_DebAmort1),__Jou1+(AP261-1)*_Ijour1)))</f>
        <v/>
      </c>
      <c r="AT261" s="156">
        <f t="shared" si="46"/>
        <v>0</v>
      </c>
      <c r="AU261" s="153">
        <f>IF(AP261&lt;=_NoEchMaxi1,ROUND(AT261*'Données Projet 1'!H270,_NbDeci1),0)</f>
        <v>0</v>
      </c>
      <c r="AV261" s="152">
        <f>IF(OR(AP261&lt;=_Différé1,AP261&gt;_NoEchMaxi1),IF(_DiffTotal1,-AU261,0),IF(AP261&gt;=_NoEchRemb1,AT261,IF('Données Projet 1'!I270-(AU261*_EchFIXE1)&gt;AT261-2,AT261,'Données Projet 1'!I270-(AU261*_EchFIXE1))))+AK261</f>
        <v>0</v>
      </c>
      <c r="AW261" s="154">
        <f t="shared" si="47"/>
        <v>0</v>
      </c>
      <c r="AX261" s="157">
        <f t="shared" si="39"/>
        <v>0</v>
      </c>
    </row>
    <row r="262" spans="20:50" ht="15.75" customHeight="1" x14ac:dyDescent="0.3">
      <c r="T262" s="3"/>
      <c r="U262" s="164"/>
      <c r="V262" s="22"/>
      <c r="W262" s="21"/>
      <c r="X262" s="23"/>
      <c r="Y262" s="10"/>
      <c r="Z262" s="5">
        <f t="shared" si="40"/>
        <v>256</v>
      </c>
      <c r="AA262" s="7">
        <f t="shared" si="41"/>
        <v>165</v>
      </c>
      <c r="AB262" s="8">
        <f t="shared" ref="AB262:AB325" si="48">IF(ISNUMBER(AC262),YEAR(AC262),"")</f>
        <v>2030</v>
      </c>
      <c r="AC262" s="31">
        <f>IF(AD262=0,"",IF(_Ijour=0,MIN(DATE(YEAR(_DebAmort),MONTH(_DebAmort)+_MoisD+(Z262-1)*_Imois,_Jour2),DATE(YEAR(_DebAmort),MONTH(_DebAmort)+_MoisD+1+(Z262-1)*_Imois,0)),DATE(YEAR(_DebAmort),MONTH(_DebAmort),_Jour1+(Z262-1)*_Ijour)))</f>
        <v>47574</v>
      </c>
      <c r="AD262" s="156">
        <f t="shared" si="42"/>
        <v>111880.86000000013</v>
      </c>
      <c r="AE262" s="153">
        <f>IF(Z262&lt;=_NoEchMaxi,ROUND(AD262*'Données Projet 1'!A271,_NbDeci),0)</f>
        <v>173.42</v>
      </c>
      <c r="AF262" s="152">
        <f>IF(OR(Z262&lt;=_Différé,Z262&gt;_NoEchMaxi),IF(_DiffTotal,-AE262,0),IF(Z262&gt;=_NoEchRemb,AD262,IF('Données Projet 1'!B271-(AE262*_EchFIXE)&gt;AD262-2,AD262,'Données Projet 1'!B271-(AE262*_EchFIXE))))+U262</f>
        <v>595.56000000000006</v>
      </c>
      <c r="AG262" s="154">
        <f t="shared" si="43"/>
        <v>19.77</v>
      </c>
      <c r="AH262" s="157">
        <f t="shared" ref="AH262:AH325" si="49">SUM(AE262:AG262)</f>
        <v>788.75</v>
      </c>
      <c r="AI262"/>
      <c r="AJ262" s="3"/>
      <c r="AK262" s="164"/>
      <c r="AL262" s="22"/>
      <c r="AM262" s="21"/>
      <c r="AN262" s="23"/>
      <c r="AO262" s="10"/>
      <c r="AP262" s="5" t="str">
        <f t="shared" si="44"/>
        <v/>
      </c>
      <c r="AQ262" s="7" t="str">
        <f t="shared" si="45"/>
        <v/>
      </c>
      <c r="AR262" s="8" t="str">
        <f t="shared" ref="AR262:AR325" si="50">IF(ISNUMBER(AS262),YEAR(AS262),"")</f>
        <v/>
      </c>
      <c r="AS262" s="31" t="str">
        <f>IF(AT262=0,"",IF(_Ijour1=0,MIN(DATE(YEAR(_DebAmort1),MONTH(_DebAmort1)+_MoisD1+(AP262-1)*_Imois1,__Jou2),DATE(YEAR(_DebAmort1),MONTH(_DebAmort1)+_MoisD1+1+(AP262-1)*_Imois1,0)),DATE(YEAR(_DebAmort1),MONTH(_DebAmort1),__Jou1+(AP262-1)*_Ijour1)))</f>
        <v/>
      </c>
      <c r="AT262" s="156">
        <f t="shared" si="46"/>
        <v>0</v>
      </c>
      <c r="AU262" s="153">
        <f>IF(AP262&lt;=_NoEchMaxi1,ROUND(AT262*'Données Projet 1'!H271,_NbDeci1),0)</f>
        <v>0</v>
      </c>
      <c r="AV262" s="152">
        <f>IF(OR(AP262&lt;=_Différé1,AP262&gt;_NoEchMaxi1),IF(_DiffTotal1,-AU262,0),IF(AP262&gt;=_NoEchRemb1,AT262,IF('Données Projet 1'!I271-(AU262*_EchFIXE1)&gt;AT262-2,AT262,'Données Projet 1'!I271-(AU262*_EchFIXE1))))+AK262</f>
        <v>0</v>
      </c>
      <c r="AW262" s="154">
        <f t="shared" si="47"/>
        <v>0</v>
      </c>
      <c r="AX262" s="157">
        <f t="shared" ref="AX262:AX325" si="51">SUM(AU262:AW262)</f>
        <v>0</v>
      </c>
    </row>
    <row r="263" spans="20:50" ht="15.75" customHeight="1" x14ac:dyDescent="0.3">
      <c r="T263" s="3"/>
      <c r="U263" s="164"/>
      <c r="V263" s="22"/>
      <c r="W263" s="21"/>
      <c r="X263" s="23"/>
      <c r="Y263" s="10"/>
      <c r="Z263" s="5">
        <f t="shared" ref="Z263:Z326" si="52">IF(AD263=0,"",Z262+1)</f>
        <v>257</v>
      </c>
      <c r="AA263" s="7">
        <f t="shared" ref="AA263:AA326" si="53">IF(AD263&gt;0,_NbEch+_Différé+1-Z263,"")</f>
        <v>164</v>
      </c>
      <c r="AB263" s="8">
        <f t="shared" si="48"/>
        <v>2030</v>
      </c>
      <c r="AC263" s="31">
        <f>IF(AD263=0,"",IF(_Ijour=0,MIN(DATE(YEAR(_DebAmort),MONTH(_DebAmort)+(Z263-1)*_Imois,_Jour1),DATE(YEAR(_DebAmort),MONTH(_DebAmort)+1+(Z263-1)*_Imois,0)),DATE(YEAR(_DebAmort),MONTH(_DebAmort),_Jour1+(Z263-1)*_Ijour)))</f>
        <v>47604</v>
      </c>
      <c r="AD263" s="156">
        <f t="shared" ref="AD263:AD326" si="54">AD262-AF262</f>
        <v>111285.30000000013</v>
      </c>
      <c r="AE263" s="153">
        <f>IF(Z263&lt;=_NoEchMaxi,ROUND(AD263*'Données Projet 1'!A272,_NbDeci),0)</f>
        <v>172.49</v>
      </c>
      <c r="AF263" s="152">
        <f>IF(OR(Z263&lt;=_Différé,Z263&gt;_NoEchMaxi),IF(_DiffTotal,-AE263,0),IF(Z263&gt;=_NoEchRemb,AD263,IF('Données Projet 1'!B272-(AE263*_EchFIXE)&gt;AD263-2,AD263,'Données Projet 1'!B272-(AE263*_EchFIXE))))+U263</f>
        <v>596.49</v>
      </c>
      <c r="AG263" s="154">
        <f t="shared" ref="AG263:AG326" si="55">IF(OR(AD263=0,Z263&gt;_NoEchMaxi),0,ROUND(_FraisF+_FraisV*AD263,_NbDeci))+X263</f>
        <v>19.77</v>
      </c>
      <c r="AH263" s="157">
        <f t="shared" si="49"/>
        <v>788.75</v>
      </c>
      <c r="AI263"/>
      <c r="AJ263" s="3"/>
      <c r="AK263" s="164"/>
      <c r="AL263" s="22"/>
      <c r="AM263" s="21"/>
      <c r="AN263" s="23"/>
      <c r="AO263" s="10"/>
      <c r="AP263" s="5" t="str">
        <f t="shared" ref="AP263:AP326" si="56">IF(AT263=0,"",AP262+1)</f>
        <v/>
      </c>
      <c r="AQ263" s="7" t="str">
        <f t="shared" ref="AQ263:AQ326" si="57">IF(AT263&gt;0,_NbEch1+_Différé1+1-AP263,"")</f>
        <v/>
      </c>
      <c r="AR263" s="8" t="str">
        <f t="shared" si="50"/>
        <v/>
      </c>
      <c r="AS263" s="31" t="str">
        <f>IF(AT263=0,"",IF(_Ijour1=0,MIN(DATE(YEAR(_DebAmort1),MONTH(_DebAmort1)+(AP263-1)*_Imois1,__Jou1),DATE(YEAR(_DebAmort1),MONTH(_DebAmort1)+1+(AP263-1)*_Imois1,0)),DATE(YEAR(_DebAmort1),MONTH(_DebAmort1),__Jou1+(AP263-1)*_Ijour1)))</f>
        <v/>
      </c>
      <c r="AT263" s="156">
        <f t="shared" ref="AT263:AT326" si="58">AT262-AV262</f>
        <v>0</v>
      </c>
      <c r="AU263" s="153">
        <f>IF(AP263&lt;=_NoEchMaxi1,ROUND(AT263*'Données Projet 1'!H272,_NbDeci1),0)</f>
        <v>0</v>
      </c>
      <c r="AV263" s="152">
        <f>IF(OR(AP263&lt;=_Différé1,AP263&gt;_NoEchMaxi1),IF(_DiffTotal1,-AU263,0),IF(AP263&gt;=_NoEchRemb1,AT263,IF('Données Projet 1'!I272-(AU263*_EchFIXE1)&gt;AT263-2,AT263,'Données Projet 1'!I272-(AU263*_EchFIXE1))))+AK263</f>
        <v>0</v>
      </c>
      <c r="AW263" s="154">
        <f t="shared" ref="AW263:AW326" si="59">IF(OR(AT263=0,AP263&gt;_NoEchMaxi1),0,ROUND(_FraisF1+_FraisV1*AT263,_NbDeci1))+AN263</f>
        <v>0</v>
      </c>
      <c r="AX263" s="157">
        <f t="shared" si="51"/>
        <v>0</v>
      </c>
    </row>
    <row r="264" spans="20:50" ht="15.75" customHeight="1" x14ac:dyDescent="0.3">
      <c r="T264" s="3"/>
      <c r="U264" s="164"/>
      <c r="V264" s="22"/>
      <c r="W264" s="21"/>
      <c r="X264" s="23"/>
      <c r="Y264" s="10"/>
      <c r="Z264" s="5">
        <f t="shared" si="52"/>
        <v>258</v>
      </c>
      <c r="AA264" s="7">
        <f t="shared" si="53"/>
        <v>163</v>
      </c>
      <c r="AB264" s="8">
        <f t="shared" si="48"/>
        <v>2030</v>
      </c>
      <c r="AC264" s="31">
        <f>IF(AD264=0,"",IF(_Ijour=0,MIN(DATE(YEAR(_DebAmort),MONTH(_DebAmort)+_MoisD+(Z264-1)*_Imois,_Jour2),DATE(YEAR(_DebAmort),MONTH(_DebAmort)+_MoisD+1+(Z264-1)*_Imois,0)),DATE(YEAR(_DebAmort),MONTH(_DebAmort),_Jour1+(Z264-1)*_Ijour)))</f>
        <v>47635</v>
      </c>
      <c r="AD264" s="156">
        <f t="shared" si="54"/>
        <v>110688.81000000013</v>
      </c>
      <c r="AE264" s="153">
        <f>IF(Z264&lt;=_NoEchMaxi,ROUND(AD264*'Données Projet 1'!A273,_NbDeci),0)</f>
        <v>171.57</v>
      </c>
      <c r="AF264" s="152">
        <f>IF(OR(Z264&lt;=_Différé,Z264&gt;_NoEchMaxi),IF(_DiffTotal,-AE264,0),IF(Z264&gt;=_NoEchRemb,AD264,IF('Données Projet 1'!B273-(AE264*_EchFIXE)&gt;AD264-2,AD264,'Données Projet 1'!B273-(AE264*_EchFIXE))))+U264</f>
        <v>597.41000000000008</v>
      </c>
      <c r="AG264" s="154">
        <f t="shared" si="55"/>
        <v>19.77</v>
      </c>
      <c r="AH264" s="157">
        <f t="shared" si="49"/>
        <v>788.75</v>
      </c>
      <c r="AI264"/>
      <c r="AJ264" s="3"/>
      <c r="AK264" s="164"/>
      <c r="AL264" s="22"/>
      <c r="AM264" s="21"/>
      <c r="AN264" s="23"/>
      <c r="AO264" s="10"/>
      <c r="AP264" s="5" t="str">
        <f t="shared" si="56"/>
        <v/>
      </c>
      <c r="AQ264" s="7" t="str">
        <f t="shared" si="57"/>
        <v/>
      </c>
      <c r="AR264" s="8" t="str">
        <f t="shared" si="50"/>
        <v/>
      </c>
      <c r="AS264" s="31" t="str">
        <f>IF(AT264=0,"",IF(_Ijour1=0,MIN(DATE(YEAR(_DebAmort1),MONTH(_DebAmort1)+_MoisD1+(AP264-1)*_Imois1,__Jou2),DATE(YEAR(_DebAmort1),MONTH(_DebAmort1)+_MoisD1+1+(AP264-1)*_Imois1,0)),DATE(YEAR(_DebAmort1),MONTH(_DebAmort1),__Jou1+(AP264-1)*_Ijour1)))</f>
        <v/>
      </c>
      <c r="AT264" s="156">
        <f t="shared" si="58"/>
        <v>0</v>
      </c>
      <c r="AU264" s="153">
        <f>IF(AP264&lt;=_NoEchMaxi1,ROUND(AT264*'Données Projet 1'!H273,_NbDeci1),0)</f>
        <v>0</v>
      </c>
      <c r="AV264" s="152">
        <f>IF(OR(AP264&lt;=_Différé1,AP264&gt;_NoEchMaxi1),IF(_DiffTotal1,-AU264,0),IF(AP264&gt;=_NoEchRemb1,AT264,IF('Données Projet 1'!I273-(AU264*_EchFIXE1)&gt;AT264-2,AT264,'Données Projet 1'!I273-(AU264*_EchFIXE1))))+AK264</f>
        <v>0</v>
      </c>
      <c r="AW264" s="154">
        <f t="shared" si="59"/>
        <v>0</v>
      </c>
      <c r="AX264" s="157">
        <f t="shared" si="51"/>
        <v>0</v>
      </c>
    </row>
    <row r="265" spans="20:50" ht="15.75" customHeight="1" x14ac:dyDescent="0.3">
      <c r="T265" s="3"/>
      <c r="U265" s="164"/>
      <c r="V265" s="22"/>
      <c r="W265" s="21"/>
      <c r="X265" s="23"/>
      <c r="Y265" s="10"/>
      <c r="Z265" s="5">
        <f t="shared" si="52"/>
        <v>259</v>
      </c>
      <c r="AA265" s="7">
        <f t="shared" si="53"/>
        <v>162</v>
      </c>
      <c r="AB265" s="8">
        <f t="shared" si="48"/>
        <v>2030</v>
      </c>
      <c r="AC265" s="31">
        <f>IF(AD265=0,"",IF(_Ijour=0,MIN(DATE(YEAR(_DebAmort),MONTH(_DebAmort)+(Z265-1)*_Imois,_Jour1),DATE(YEAR(_DebAmort),MONTH(_DebAmort)+1+(Z265-1)*_Imois,0)),DATE(YEAR(_DebAmort),MONTH(_DebAmort),_Jour1+(Z265-1)*_Ijour)))</f>
        <v>47665</v>
      </c>
      <c r="AD265" s="156">
        <f t="shared" si="54"/>
        <v>110091.40000000013</v>
      </c>
      <c r="AE265" s="153">
        <f>IF(Z265&lt;=_NoEchMaxi,ROUND(AD265*'Données Projet 1'!A274,_NbDeci),0)</f>
        <v>170.64</v>
      </c>
      <c r="AF265" s="152">
        <f>IF(OR(Z265&lt;=_Différé,Z265&gt;_NoEchMaxi),IF(_DiffTotal,-AE265,0),IF(Z265&gt;=_NoEchRemb,AD265,IF('Données Projet 1'!B274-(AE265*_EchFIXE)&gt;AD265-2,AD265,'Données Projet 1'!B274-(AE265*_EchFIXE))))+U265</f>
        <v>598.34</v>
      </c>
      <c r="AG265" s="154">
        <f t="shared" si="55"/>
        <v>19.77</v>
      </c>
      <c r="AH265" s="157">
        <f t="shared" si="49"/>
        <v>788.75</v>
      </c>
      <c r="AI265"/>
      <c r="AJ265" s="3"/>
      <c r="AK265" s="164"/>
      <c r="AL265" s="22"/>
      <c r="AM265" s="21"/>
      <c r="AN265" s="23"/>
      <c r="AO265" s="10"/>
      <c r="AP265" s="5" t="str">
        <f t="shared" si="56"/>
        <v/>
      </c>
      <c r="AQ265" s="7" t="str">
        <f t="shared" si="57"/>
        <v/>
      </c>
      <c r="AR265" s="8" t="str">
        <f t="shared" si="50"/>
        <v/>
      </c>
      <c r="AS265" s="31" t="str">
        <f>IF(AT265=0,"",IF(_Ijour1=0,MIN(DATE(YEAR(_DebAmort1),MONTH(_DebAmort1)+(AP265-1)*_Imois1,__Jou1),DATE(YEAR(_DebAmort1),MONTH(_DebAmort1)+1+(AP265-1)*_Imois1,0)),DATE(YEAR(_DebAmort1),MONTH(_DebAmort1),__Jou1+(AP265-1)*_Ijour1)))</f>
        <v/>
      </c>
      <c r="AT265" s="156">
        <f t="shared" si="58"/>
        <v>0</v>
      </c>
      <c r="AU265" s="153">
        <f>IF(AP265&lt;=_NoEchMaxi1,ROUND(AT265*'Données Projet 1'!H274,_NbDeci1),0)</f>
        <v>0</v>
      </c>
      <c r="AV265" s="152">
        <f>IF(OR(AP265&lt;=_Différé1,AP265&gt;_NoEchMaxi1),IF(_DiffTotal1,-AU265,0),IF(AP265&gt;=_NoEchRemb1,AT265,IF('Données Projet 1'!I274-(AU265*_EchFIXE1)&gt;AT265-2,AT265,'Données Projet 1'!I274-(AU265*_EchFIXE1))))+AK265</f>
        <v>0</v>
      </c>
      <c r="AW265" s="154">
        <f t="shared" si="59"/>
        <v>0</v>
      </c>
      <c r="AX265" s="157">
        <f t="shared" si="51"/>
        <v>0</v>
      </c>
    </row>
    <row r="266" spans="20:50" ht="15.75" customHeight="1" x14ac:dyDescent="0.3">
      <c r="T266" s="3"/>
      <c r="U266" s="164"/>
      <c r="V266" s="22"/>
      <c r="W266" s="21"/>
      <c r="X266" s="23"/>
      <c r="Y266" s="10"/>
      <c r="Z266" s="5">
        <f t="shared" si="52"/>
        <v>260</v>
      </c>
      <c r="AA266" s="7">
        <f t="shared" si="53"/>
        <v>161</v>
      </c>
      <c r="AB266" s="8">
        <f t="shared" si="48"/>
        <v>2030</v>
      </c>
      <c r="AC266" s="31">
        <f>IF(AD266=0,"",IF(_Ijour=0,MIN(DATE(YEAR(_DebAmort),MONTH(_DebAmort)+_MoisD+(Z266-1)*_Imois,_Jour2),DATE(YEAR(_DebAmort),MONTH(_DebAmort)+_MoisD+1+(Z266-1)*_Imois,0)),DATE(YEAR(_DebAmort),MONTH(_DebAmort),_Jour1+(Z266-1)*_Ijour)))</f>
        <v>47696</v>
      </c>
      <c r="AD266" s="156">
        <f t="shared" si="54"/>
        <v>109493.06000000013</v>
      </c>
      <c r="AE266" s="153">
        <f>IF(Z266&lt;=_NoEchMaxi,ROUND(AD266*'Données Projet 1'!A275,_NbDeci),0)</f>
        <v>169.71</v>
      </c>
      <c r="AF266" s="152">
        <f>IF(OR(Z266&lt;=_Différé,Z266&gt;_NoEchMaxi),IF(_DiffTotal,-AE266,0),IF(Z266&gt;=_NoEchRemb,AD266,IF('Données Projet 1'!B275-(AE266*_EchFIXE)&gt;AD266-2,AD266,'Données Projet 1'!B275-(AE266*_EchFIXE))))+U266</f>
        <v>599.27</v>
      </c>
      <c r="AG266" s="154">
        <f t="shared" si="55"/>
        <v>19.77</v>
      </c>
      <c r="AH266" s="157">
        <f t="shared" si="49"/>
        <v>788.75</v>
      </c>
      <c r="AI266"/>
      <c r="AJ266" s="3"/>
      <c r="AK266" s="164"/>
      <c r="AL266" s="22"/>
      <c r="AM266" s="21"/>
      <c r="AN266" s="23"/>
      <c r="AO266" s="10"/>
      <c r="AP266" s="5" t="str">
        <f t="shared" si="56"/>
        <v/>
      </c>
      <c r="AQ266" s="7" t="str">
        <f t="shared" si="57"/>
        <v/>
      </c>
      <c r="AR266" s="8" t="str">
        <f t="shared" si="50"/>
        <v/>
      </c>
      <c r="AS266" s="31" t="str">
        <f>IF(AT266=0,"",IF(_Ijour1=0,MIN(DATE(YEAR(_DebAmort1),MONTH(_DebAmort1)+_MoisD1+(AP266-1)*_Imois1,__Jou2),DATE(YEAR(_DebAmort1),MONTH(_DebAmort1)+_MoisD1+1+(AP266-1)*_Imois1,0)),DATE(YEAR(_DebAmort1),MONTH(_DebAmort1),__Jou1+(AP266-1)*_Ijour1)))</f>
        <v/>
      </c>
      <c r="AT266" s="156">
        <f t="shared" si="58"/>
        <v>0</v>
      </c>
      <c r="AU266" s="153">
        <f>IF(AP266&lt;=_NoEchMaxi1,ROUND(AT266*'Données Projet 1'!H275,_NbDeci1),0)</f>
        <v>0</v>
      </c>
      <c r="AV266" s="152">
        <f>IF(OR(AP266&lt;=_Différé1,AP266&gt;_NoEchMaxi1),IF(_DiffTotal1,-AU266,0),IF(AP266&gt;=_NoEchRemb1,AT266,IF('Données Projet 1'!I275-(AU266*_EchFIXE1)&gt;AT266-2,AT266,'Données Projet 1'!I275-(AU266*_EchFIXE1))))+AK266</f>
        <v>0</v>
      </c>
      <c r="AW266" s="154">
        <f t="shared" si="59"/>
        <v>0</v>
      </c>
      <c r="AX266" s="157">
        <f t="shared" si="51"/>
        <v>0</v>
      </c>
    </row>
    <row r="267" spans="20:50" ht="15.75" customHeight="1" x14ac:dyDescent="0.3">
      <c r="T267" s="3"/>
      <c r="U267" s="164"/>
      <c r="V267" s="22"/>
      <c r="W267" s="21"/>
      <c r="X267" s="23"/>
      <c r="Y267" s="10"/>
      <c r="Z267" s="5">
        <f t="shared" si="52"/>
        <v>261</v>
      </c>
      <c r="AA267" s="7">
        <f t="shared" si="53"/>
        <v>160</v>
      </c>
      <c r="AB267" s="8">
        <f t="shared" si="48"/>
        <v>2030</v>
      </c>
      <c r="AC267" s="31">
        <f>IF(AD267=0,"",IF(_Ijour=0,MIN(DATE(YEAR(_DebAmort),MONTH(_DebAmort)+(Z267-1)*_Imois,_Jour1),DATE(YEAR(_DebAmort),MONTH(_DebAmort)+1+(Z267-1)*_Imois,0)),DATE(YEAR(_DebAmort),MONTH(_DebAmort),_Jour1+(Z267-1)*_Ijour)))</f>
        <v>47727</v>
      </c>
      <c r="AD267" s="156">
        <f t="shared" si="54"/>
        <v>108893.79000000012</v>
      </c>
      <c r="AE267" s="153">
        <f>IF(Z267&lt;=_NoEchMaxi,ROUND(AD267*'Données Projet 1'!A276,_NbDeci),0)</f>
        <v>168.79</v>
      </c>
      <c r="AF267" s="152">
        <f>IF(OR(Z267&lt;=_Différé,Z267&gt;_NoEchMaxi),IF(_DiffTotal,-AE267,0),IF(Z267&gt;=_NoEchRemb,AD267,IF('Données Projet 1'!B276-(AE267*_EchFIXE)&gt;AD267-2,AD267,'Données Projet 1'!B276-(AE267*_EchFIXE))))+U267</f>
        <v>600.19000000000005</v>
      </c>
      <c r="AG267" s="154">
        <f t="shared" si="55"/>
        <v>19.77</v>
      </c>
      <c r="AH267" s="157">
        <f t="shared" si="49"/>
        <v>788.75</v>
      </c>
      <c r="AI267"/>
      <c r="AJ267" s="3"/>
      <c r="AK267" s="164"/>
      <c r="AL267" s="22"/>
      <c r="AM267" s="21"/>
      <c r="AN267" s="23"/>
      <c r="AO267" s="10"/>
      <c r="AP267" s="5" t="str">
        <f t="shared" si="56"/>
        <v/>
      </c>
      <c r="AQ267" s="7" t="str">
        <f t="shared" si="57"/>
        <v/>
      </c>
      <c r="AR267" s="8" t="str">
        <f t="shared" si="50"/>
        <v/>
      </c>
      <c r="AS267" s="31" t="str">
        <f>IF(AT267=0,"",IF(_Ijour1=0,MIN(DATE(YEAR(_DebAmort1),MONTH(_DebAmort1)+(AP267-1)*_Imois1,__Jou1),DATE(YEAR(_DebAmort1),MONTH(_DebAmort1)+1+(AP267-1)*_Imois1,0)),DATE(YEAR(_DebAmort1),MONTH(_DebAmort1),__Jou1+(AP267-1)*_Ijour1)))</f>
        <v/>
      </c>
      <c r="AT267" s="156">
        <f t="shared" si="58"/>
        <v>0</v>
      </c>
      <c r="AU267" s="153">
        <f>IF(AP267&lt;=_NoEchMaxi1,ROUND(AT267*'Données Projet 1'!H276,_NbDeci1),0)</f>
        <v>0</v>
      </c>
      <c r="AV267" s="152">
        <f>IF(OR(AP267&lt;=_Différé1,AP267&gt;_NoEchMaxi1),IF(_DiffTotal1,-AU267,0),IF(AP267&gt;=_NoEchRemb1,AT267,IF('Données Projet 1'!I276-(AU267*_EchFIXE1)&gt;AT267-2,AT267,'Données Projet 1'!I276-(AU267*_EchFIXE1))))+AK267</f>
        <v>0</v>
      </c>
      <c r="AW267" s="154">
        <f t="shared" si="59"/>
        <v>0</v>
      </c>
      <c r="AX267" s="157">
        <f t="shared" si="51"/>
        <v>0</v>
      </c>
    </row>
    <row r="268" spans="20:50" ht="15.75" customHeight="1" x14ac:dyDescent="0.3">
      <c r="T268" s="3"/>
      <c r="U268" s="164"/>
      <c r="V268" s="22"/>
      <c r="W268" s="21"/>
      <c r="X268" s="23"/>
      <c r="Y268" s="10"/>
      <c r="Z268" s="5">
        <f t="shared" si="52"/>
        <v>262</v>
      </c>
      <c r="AA268" s="7">
        <f t="shared" si="53"/>
        <v>159</v>
      </c>
      <c r="AB268" s="8">
        <f t="shared" si="48"/>
        <v>2030</v>
      </c>
      <c r="AC268" s="31">
        <f>IF(AD268=0,"",IF(_Ijour=0,MIN(DATE(YEAR(_DebAmort),MONTH(_DebAmort)+_MoisD+(Z268-1)*_Imois,_Jour2),DATE(YEAR(_DebAmort),MONTH(_DebAmort)+_MoisD+1+(Z268-1)*_Imois,0)),DATE(YEAR(_DebAmort),MONTH(_DebAmort),_Jour1+(Z268-1)*_Ijour)))</f>
        <v>47757</v>
      </c>
      <c r="AD268" s="156">
        <f t="shared" si="54"/>
        <v>108293.60000000012</v>
      </c>
      <c r="AE268" s="153">
        <f>IF(Z268&lt;=_NoEchMaxi,ROUND(AD268*'Données Projet 1'!A277,_NbDeci),0)</f>
        <v>167.86</v>
      </c>
      <c r="AF268" s="152">
        <f>IF(OR(Z268&lt;=_Différé,Z268&gt;_NoEchMaxi),IF(_DiffTotal,-AE268,0),IF(Z268&gt;=_NoEchRemb,AD268,IF('Données Projet 1'!B277-(AE268*_EchFIXE)&gt;AD268-2,AD268,'Données Projet 1'!B277-(AE268*_EchFIXE))))+U268</f>
        <v>601.12</v>
      </c>
      <c r="AG268" s="154">
        <f t="shared" si="55"/>
        <v>19.77</v>
      </c>
      <c r="AH268" s="157">
        <f t="shared" si="49"/>
        <v>788.75</v>
      </c>
      <c r="AI268"/>
      <c r="AJ268" s="3"/>
      <c r="AK268" s="164"/>
      <c r="AL268" s="22"/>
      <c r="AM268" s="21"/>
      <c r="AN268" s="23"/>
      <c r="AO268" s="10"/>
      <c r="AP268" s="5" t="str">
        <f t="shared" si="56"/>
        <v/>
      </c>
      <c r="AQ268" s="7" t="str">
        <f t="shared" si="57"/>
        <v/>
      </c>
      <c r="AR268" s="8" t="str">
        <f t="shared" si="50"/>
        <v/>
      </c>
      <c r="AS268" s="31" t="str">
        <f>IF(AT268=0,"",IF(_Ijour1=0,MIN(DATE(YEAR(_DebAmort1),MONTH(_DebAmort1)+_MoisD1+(AP268-1)*_Imois1,__Jou2),DATE(YEAR(_DebAmort1),MONTH(_DebAmort1)+_MoisD1+1+(AP268-1)*_Imois1,0)),DATE(YEAR(_DebAmort1),MONTH(_DebAmort1),__Jou1+(AP268-1)*_Ijour1)))</f>
        <v/>
      </c>
      <c r="AT268" s="156">
        <f t="shared" si="58"/>
        <v>0</v>
      </c>
      <c r="AU268" s="153">
        <f>IF(AP268&lt;=_NoEchMaxi1,ROUND(AT268*'Données Projet 1'!H277,_NbDeci1),0)</f>
        <v>0</v>
      </c>
      <c r="AV268" s="152">
        <f>IF(OR(AP268&lt;=_Différé1,AP268&gt;_NoEchMaxi1),IF(_DiffTotal1,-AU268,0),IF(AP268&gt;=_NoEchRemb1,AT268,IF('Données Projet 1'!I277-(AU268*_EchFIXE1)&gt;AT268-2,AT268,'Données Projet 1'!I277-(AU268*_EchFIXE1))))+AK268</f>
        <v>0</v>
      </c>
      <c r="AW268" s="154">
        <f t="shared" si="59"/>
        <v>0</v>
      </c>
      <c r="AX268" s="157">
        <f t="shared" si="51"/>
        <v>0</v>
      </c>
    </row>
    <row r="269" spans="20:50" ht="15.75" customHeight="1" x14ac:dyDescent="0.3">
      <c r="T269" s="3"/>
      <c r="U269" s="164"/>
      <c r="V269" s="22"/>
      <c r="W269" s="21"/>
      <c r="X269" s="23"/>
      <c r="Y269" s="10"/>
      <c r="Z269" s="5">
        <f t="shared" si="52"/>
        <v>263</v>
      </c>
      <c r="AA269" s="7">
        <f t="shared" si="53"/>
        <v>158</v>
      </c>
      <c r="AB269" s="8">
        <f t="shared" si="48"/>
        <v>2030</v>
      </c>
      <c r="AC269" s="31">
        <f>IF(AD269=0,"",IF(_Ijour=0,MIN(DATE(YEAR(_DebAmort),MONTH(_DebAmort)+(Z269-1)*_Imois,_Jour1),DATE(YEAR(_DebAmort),MONTH(_DebAmort)+1+(Z269-1)*_Imois,0)),DATE(YEAR(_DebAmort),MONTH(_DebAmort),_Jour1+(Z269-1)*_Ijour)))</f>
        <v>47788</v>
      </c>
      <c r="AD269" s="156">
        <f t="shared" si="54"/>
        <v>107692.48000000013</v>
      </c>
      <c r="AE269" s="153">
        <f>IF(Z269&lt;=_NoEchMaxi,ROUND(AD269*'Données Projet 1'!A278,_NbDeci),0)</f>
        <v>166.92</v>
      </c>
      <c r="AF269" s="152">
        <f>IF(OR(Z269&lt;=_Différé,Z269&gt;_NoEchMaxi),IF(_DiffTotal,-AE269,0),IF(Z269&gt;=_NoEchRemb,AD269,IF('Données Projet 1'!B278-(AE269*_EchFIXE)&gt;AD269-2,AD269,'Données Projet 1'!B278-(AE269*_EchFIXE))))+U269</f>
        <v>602.06000000000006</v>
      </c>
      <c r="AG269" s="154">
        <f t="shared" si="55"/>
        <v>19.77</v>
      </c>
      <c r="AH269" s="157">
        <f t="shared" si="49"/>
        <v>788.75</v>
      </c>
      <c r="AI269"/>
      <c r="AJ269" s="3"/>
      <c r="AK269" s="164"/>
      <c r="AL269" s="22"/>
      <c r="AM269" s="21"/>
      <c r="AN269" s="23"/>
      <c r="AO269" s="10"/>
      <c r="AP269" s="5" t="str">
        <f t="shared" si="56"/>
        <v/>
      </c>
      <c r="AQ269" s="7" t="str">
        <f t="shared" si="57"/>
        <v/>
      </c>
      <c r="AR269" s="8" t="str">
        <f t="shared" si="50"/>
        <v/>
      </c>
      <c r="AS269" s="31" t="str">
        <f>IF(AT269=0,"",IF(_Ijour1=0,MIN(DATE(YEAR(_DebAmort1),MONTH(_DebAmort1)+(AP269-1)*_Imois1,__Jou1),DATE(YEAR(_DebAmort1),MONTH(_DebAmort1)+1+(AP269-1)*_Imois1,0)),DATE(YEAR(_DebAmort1),MONTH(_DebAmort1),__Jou1+(AP269-1)*_Ijour1)))</f>
        <v/>
      </c>
      <c r="AT269" s="156">
        <f t="shared" si="58"/>
        <v>0</v>
      </c>
      <c r="AU269" s="153">
        <f>IF(AP269&lt;=_NoEchMaxi1,ROUND(AT269*'Données Projet 1'!H278,_NbDeci1),0)</f>
        <v>0</v>
      </c>
      <c r="AV269" s="152">
        <f>IF(OR(AP269&lt;=_Différé1,AP269&gt;_NoEchMaxi1),IF(_DiffTotal1,-AU269,0),IF(AP269&gt;=_NoEchRemb1,AT269,IF('Données Projet 1'!I278-(AU269*_EchFIXE1)&gt;AT269-2,AT269,'Données Projet 1'!I278-(AU269*_EchFIXE1))))+AK269</f>
        <v>0</v>
      </c>
      <c r="AW269" s="154">
        <f t="shared" si="59"/>
        <v>0</v>
      </c>
      <c r="AX269" s="157">
        <f t="shared" si="51"/>
        <v>0</v>
      </c>
    </row>
    <row r="270" spans="20:50" ht="15.75" customHeight="1" x14ac:dyDescent="0.3">
      <c r="T270" s="3"/>
      <c r="U270" s="164"/>
      <c r="V270" s="22"/>
      <c r="W270" s="21"/>
      <c r="X270" s="23"/>
      <c r="Y270" s="10"/>
      <c r="Z270" s="5">
        <f t="shared" si="52"/>
        <v>264</v>
      </c>
      <c r="AA270" s="7">
        <f t="shared" si="53"/>
        <v>157</v>
      </c>
      <c r="AB270" s="8">
        <f t="shared" si="48"/>
        <v>2030</v>
      </c>
      <c r="AC270" s="31">
        <f>IF(AD270=0,"",IF(_Ijour=0,MIN(DATE(YEAR(_DebAmort),MONTH(_DebAmort)+_MoisD+(Z270-1)*_Imois,_Jour2),DATE(YEAR(_DebAmort),MONTH(_DebAmort)+_MoisD+1+(Z270-1)*_Imois,0)),DATE(YEAR(_DebAmort),MONTH(_DebAmort),_Jour1+(Z270-1)*_Ijour)))</f>
        <v>47818</v>
      </c>
      <c r="AD270" s="156">
        <f t="shared" si="54"/>
        <v>107090.42000000013</v>
      </c>
      <c r="AE270" s="153">
        <f>IF(Z270&lt;=_NoEchMaxi,ROUND(AD270*'Données Projet 1'!A279,_NbDeci),0)</f>
        <v>165.99</v>
      </c>
      <c r="AF270" s="152">
        <f>IF(OR(Z270&lt;=_Différé,Z270&gt;_NoEchMaxi),IF(_DiffTotal,-AE270,0),IF(Z270&gt;=_NoEchRemb,AD270,IF('Données Projet 1'!B279-(AE270*_EchFIXE)&gt;AD270-2,AD270,'Données Projet 1'!B279-(AE270*_EchFIXE))))+U270</f>
        <v>602.99</v>
      </c>
      <c r="AG270" s="154">
        <f t="shared" si="55"/>
        <v>19.77</v>
      </c>
      <c r="AH270" s="157">
        <f t="shared" si="49"/>
        <v>788.75</v>
      </c>
      <c r="AI270"/>
      <c r="AJ270" s="3"/>
      <c r="AK270" s="164"/>
      <c r="AL270" s="22"/>
      <c r="AM270" s="21"/>
      <c r="AN270" s="23"/>
      <c r="AO270" s="10"/>
      <c r="AP270" s="5" t="str">
        <f t="shared" si="56"/>
        <v/>
      </c>
      <c r="AQ270" s="7" t="str">
        <f t="shared" si="57"/>
        <v/>
      </c>
      <c r="AR270" s="8" t="str">
        <f t="shared" si="50"/>
        <v/>
      </c>
      <c r="AS270" s="31" t="str">
        <f>IF(AT270=0,"",IF(_Ijour1=0,MIN(DATE(YEAR(_DebAmort1),MONTH(_DebAmort1)+_MoisD1+(AP270-1)*_Imois1,__Jou2),DATE(YEAR(_DebAmort1),MONTH(_DebAmort1)+_MoisD1+1+(AP270-1)*_Imois1,0)),DATE(YEAR(_DebAmort1),MONTH(_DebAmort1),__Jou1+(AP270-1)*_Ijour1)))</f>
        <v/>
      </c>
      <c r="AT270" s="156">
        <f t="shared" si="58"/>
        <v>0</v>
      </c>
      <c r="AU270" s="153">
        <f>IF(AP270&lt;=_NoEchMaxi1,ROUND(AT270*'Données Projet 1'!H279,_NbDeci1),0)</f>
        <v>0</v>
      </c>
      <c r="AV270" s="152">
        <f>IF(OR(AP270&lt;=_Différé1,AP270&gt;_NoEchMaxi1),IF(_DiffTotal1,-AU270,0),IF(AP270&gt;=_NoEchRemb1,AT270,IF('Données Projet 1'!I279-(AU270*_EchFIXE1)&gt;AT270-2,AT270,'Données Projet 1'!I279-(AU270*_EchFIXE1))))+AK270</f>
        <v>0</v>
      </c>
      <c r="AW270" s="154">
        <f t="shared" si="59"/>
        <v>0</v>
      </c>
      <c r="AX270" s="157">
        <f t="shared" si="51"/>
        <v>0</v>
      </c>
    </row>
    <row r="271" spans="20:50" ht="15.75" customHeight="1" x14ac:dyDescent="0.3">
      <c r="T271" s="3"/>
      <c r="U271" s="164"/>
      <c r="V271" s="22"/>
      <c r="W271" s="21"/>
      <c r="X271" s="23"/>
      <c r="Y271" s="10"/>
      <c r="Z271" s="5">
        <f t="shared" si="52"/>
        <v>265</v>
      </c>
      <c r="AA271" s="7">
        <f t="shared" si="53"/>
        <v>156</v>
      </c>
      <c r="AB271" s="8">
        <f t="shared" si="48"/>
        <v>2031</v>
      </c>
      <c r="AC271" s="31">
        <f>IF(AD271=0,"",IF(_Ijour=0,MIN(DATE(YEAR(_DebAmort),MONTH(_DebAmort)+(Z271-1)*_Imois,_Jour1),DATE(YEAR(_DebAmort),MONTH(_DebAmort)+1+(Z271-1)*_Imois,0)),DATE(YEAR(_DebAmort),MONTH(_DebAmort),_Jour1+(Z271-1)*_Ijour)))</f>
        <v>47849</v>
      </c>
      <c r="AD271" s="156">
        <f t="shared" si="54"/>
        <v>106487.43000000012</v>
      </c>
      <c r="AE271" s="153">
        <f>IF(Z271&lt;=_NoEchMaxi,ROUND(AD271*'Données Projet 1'!A280,_NbDeci),0)</f>
        <v>165.06</v>
      </c>
      <c r="AF271" s="152">
        <f>IF(OR(Z271&lt;=_Différé,Z271&gt;_NoEchMaxi),IF(_DiffTotal,-AE271,0),IF(Z271&gt;=_NoEchRemb,AD271,IF('Données Projet 1'!B280-(AE271*_EchFIXE)&gt;AD271-2,AD271,'Données Projet 1'!B280-(AE271*_EchFIXE))))+U271</f>
        <v>603.92000000000007</v>
      </c>
      <c r="AG271" s="154">
        <f t="shared" si="55"/>
        <v>19.77</v>
      </c>
      <c r="AH271" s="157">
        <f t="shared" si="49"/>
        <v>788.75</v>
      </c>
      <c r="AI271"/>
      <c r="AJ271" s="3"/>
      <c r="AK271" s="164"/>
      <c r="AL271" s="22"/>
      <c r="AM271" s="21"/>
      <c r="AN271" s="23"/>
      <c r="AO271" s="10"/>
      <c r="AP271" s="5" t="str">
        <f t="shared" si="56"/>
        <v/>
      </c>
      <c r="AQ271" s="7" t="str">
        <f t="shared" si="57"/>
        <v/>
      </c>
      <c r="AR271" s="8" t="str">
        <f t="shared" si="50"/>
        <v/>
      </c>
      <c r="AS271" s="31" t="str">
        <f>IF(AT271=0,"",IF(_Ijour1=0,MIN(DATE(YEAR(_DebAmort1),MONTH(_DebAmort1)+(AP271-1)*_Imois1,__Jou1),DATE(YEAR(_DebAmort1),MONTH(_DebAmort1)+1+(AP271-1)*_Imois1,0)),DATE(YEAR(_DebAmort1),MONTH(_DebAmort1),__Jou1+(AP271-1)*_Ijour1)))</f>
        <v/>
      </c>
      <c r="AT271" s="156">
        <f t="shared" si="58"/>
        <v>0</v>
      </c>
      <c r="AU271" s="153">
        <f>IF(AP271&lt;=_NoEchMaxi1,ROUND(AT271*'Données Projet 1'!H280,_NbDeci1),0)</f>
        <v>0</v>
      </c>
      <c r="AV271" s="152">
        <f>IF(OR(AP271&lt;=_Différé1,AP271&gt;_NoEchMaxi1),IF(_DiffTotal1,-AU271,0),IF(AP271&gt;=_NoEchRemb1,AT271,IF('Données Projet 1'!I280-(AU271*_EchFIXE1)&gt;AT271-2,AT271,'Données Projet 1'!I280-(AU271*_EchFIXE1))))+AK271</f>
        <v>0</v>
      </c>
      <c r="AW271" s="154">
        <f t="shared" si="59"/>
        <v>0</v>
      </c>
      <c r="AX271" s="157">
        <f t="shared" si="51"/>
        <v>0</v>
      </c>
    </row>
    <row r="272" spans="20:50" ht="15.75" customHeight="1" x14ac:dyDescent="0.3">
      <c r="T272" s="3"/>
      <c r="U272" s="164"/>
      <c r="V272" s="22"/>
      <c r="W272" s="21"/>
      <c r="X272" s="23"/>
      <c r="Y272" s="10"/>
      <c r="Z272" s="5">
        <f t="shared" si="52"/>
        <v>266</v>
      </c>
      <c r="AA272" s="7">
        <f t="shared" si="53"/>
        <v>155</v>
      </c>
      <c r="AB272" s="8">
        <f t="shared" si="48"/>
        <v>2031</v>
      </c>
      <c r="AC272" s="31">
        <f>IF(AD272=0,"",IF(_Ijour=0,MIN(DATE(YEAR(_DebAmort),MONTH(_DebAmort)+_MoisD+(Z272-1)*_Imois,_Jour2),DATE(YEAR(_DebAmort),MONTH(_DebAmort)+_MoisD+1+(Z272-1)*_Imois,0)),DATE(YEAR(_DebAmort),MONTH(_DebAmort),_Jour1+(Z272-1)*_Ijour)))</f>
        <v>47880</v>
      </c>
      <c r="AD272" s="156">
        <f t="shared" si="54"/>
        <v>105883.51000000013</v>
      </c>
      <c r="AE272" s="153">
        <f>IF(Z272&lt;=_NoEchMaxi,ROUND(AD272*'Données Projet 1'!A281,_NbDeci),0)</f>
        <v>164.12</v>
      </c>
      <c r="AF272" s="152">
        <f>IF(OR(Z272&lt;=_Différé,Z272&gt;_NoEchMaxi),IF(_DiffTotal,-AE272,0),IF(Z272&gt;=_NoEchRemb,AD272,IF('Données Projet 1'!B281-(AE272*_EchFIXE)&gt;AD272-2,AD272,'Données Projet 1'!B281-(AE272*_EchFIXE))))+U272</f>
        <v>604.86</v>
      </c>
      <c r="AG272" s="154">
        <f t="shared" si="55"/>
        <v>19.77</v>
      </c>
      <c r="AH272" s="157">
        <f t="shared" si="49"/>
        <v>788.75</v>
      </c>
      <c r="AI272"/>
      <c r="AJ272" s="3"/>
      <c r="AK272" s="164"/>
      <c r="AL272" s="22"/>
      <c r="AM272" s="21"/>
      <c r="AN272" s="23"/>
      <c r="AO272" s="10"/>
      <c r="AP272" s="5" t="str">
        <f t="shared" si="56"/>
        <v/>
      </c>
      <c r="AQ272" s="7" t="str">
        <f t="shared" si="57"/>
        <v/>
      </c>
      <c r="AR272" s="8" t="str">
        <f t="shared" si="50"/>
        <v/>
      </c>
      <c r="AS272" s="31" t="str">
        <f>IF(AT272=0,"",IF(_Ijour1=0,MIN(DATE(YEAR(_DebAmort1),MONTH(_DebAmort1)+_MoisD1+(AP272-1)*_Imois1,__Jou2),DATE(YEAR(_DebAmort1),MONTH(_DebAmort1)+_MoisD1+1+(AP272-1)*_Imois1,0)),DATE(YEAR(_DebAmort1),MONTH(_DebAmort1),__Jou1+(AP272-1)*_Ijour1)))</f>
        <v/>
      </c>
      <c r="AT272" s="156">
        <f t="shared" si="58"/>
        <v>0</v>
      </c>
      <c r="AU272" s="153">
        <f>IF(AP272&lt;=_NoEchMaxi1,ROUND(AT272*'Données Projet 1'!H281,_NbDeci1),0)</f>
        <v>0</v>
      </c>
      <c r="AV272" s="152">
        <f>IF(OR(AP272&lt;=_Différé1,AP272&gt;_NoEchMaxi1),IF(_DiffTotal1,-AU272,0),IF(AP272&gt;=_NoEchRemb1,AT272,IF('Données Projet 1'!I281-(AU272*_EchFIXE1)&gt;AT272-2,AT272,'Données Projet 1'!I281-(AU272*_EchFIXE1))))+AK272</f>
        <v>0</v>
      </c>
      <c r="AW272" s="154">
        <f t="shared" si="59"/>
        <v>0</v>
      </c>
      <c r="AX272" s="157">
        <f t="shared" si="51"/>
        <v>0</v>
      </c>
    </row>
    <row r="273" spans="20:50" ht="15.75" customHeight="1" x14ac:dyDescent="0.3">
      <c r="T273" s="3"/>
      <c r="U273" s="164"/>
      <c r="V273" s="22"/>
      <c r="W273" s="21"/>
      <c r="X273" s="23"/>
      <c r="Y273" s="10"/>
      <c r="Z273" s="5">
        <f t="shared" si="52"/>
        <v>267</v>
      </c>
      <c r="AA273" s="7">
        <f t="shared" si="53"/>
        <v>154</v>
      </c>
      <c r="AB273" s="8">
        <f t="shared" si="48"/>
        <v>2031</v>
      </c>
      <c r="AC273" s="31">
        <f>IF(AD273=0,"",IF(_Ijour=0,MIN(DATE(YEAR(_DebAmort),MONTH(_DebAmort)+(Z273-1)*_Imois,_Jour1),DATE(YEAR(_DebAmort),MONTH(_DebAmort)+1+(Z273-1)*_Imois,0)),DATE(YEAR(_DebAmort),MONTH(_DebAmort),_Jour1+(Z273-1)*_Ijour)))</f>
        <v>47908</v>
      </c>
      <c r="AD273" s="156">
        <f t="shared" si="54"/>
        <v>105278.65000000013</v>
      </c>
      <c r="AE273" s="153">
        <f>IF(Z273&lt;=_NoEchMaxi,ROUND(AD273*'Données Projet 1'!A282,_NbDeci),0)</f>
        <v>163.18</v>
      </c>
      <c r="AF273" s="152">
        <f>IF(OR(Z273&lt;=_Différé,Z273&gt;_NoEchMaxi),IF(_DiffTotal,-AE273,0),IF(Z273&gt;=_NoEchRemb,AD273,IF('Données Projet 1'!B282-(AE273*_EchFIXE)&gt;AD273-2,AD273,'Données Projet 1'!B282-(AE273*_EchFIXE))))+U273</f>
        <v>605.79999999999995</v>
      </c>
      <c r="AG273" s="154">
        <f t="shared" si="55"/>
        <v>19.77</v>
      </c>
      <c r="AH273" s="157">
        <f t="shared" si="49"/>
        <v>788.75</v>
      </c>
      <c r="AI273"/>
      <c r="AJ273" s="3"/>
      <c r="AK273" s="164"/>
      <c r="AL273" s="22"/>
      <c r="AM273" s="21"/>
      <c r="AN273" s="23"/>
      <c r="AO273" s="10"/>
      <c r="AP273" s="5" t="str">
        <f t="shared" si="56"/>
        <v/>
      </c>
      <c r="AQ273" s="7" t="str">
        <f t="shared" si="57"/>
        <v/>
      </c>
      <c r="AR273" s="8" t="str">
        <f t="shared" si="50"/>
        <v/>
      </c>
      <c r="AS273" s="31" t="str">
        <f>IF(AT273=0,"",IF(_Ijour1=0,MIN(DATE(YEAR(_DebAmort1),MONTH(_DebAmort1)+(AP273-1)*_Imois1,__Jou1),DATE(YEAR(_DebAmort1),MONTH(_DebAmort1)+1+(AP273-1)*_Imois1,0)),DATE(YEAR(_DebAmort1),MONTH(_DebAmort1),__Jou1+(AP273-1)*_Ijour1)))</f>
        <v/>
      </c>
      <c r="AT273" s="156">
        <f t="shared" si="58"/>
        <v>0</v>
      </c>
      <c r="AU273" s="153">
        <f>IF(AP273&lt;=_NoEchMaxi1,ROUND(AT273*'Données Projet 1'!H282,_NbDeci1),0)</f>
        <v>0</v>
      </c>
      <c r="AV273" s="152">
        <f>IF(OR(AP273&lt;=_Différé1,AP273&gt;_NoEchMaxi1),IF(_DiffTotal1,-AU273,0),IF(AP273&gt;=_NoEchRemb1,AT273,IF('Données Projet 1'!I282-(AU273*_EchFIXE1)&gt;AT273-2,AT273,'Données Projet 1'!I282-(AU273*_EchFIXE1))))+AK273</f>
        <v>0</v>
      </c>
      <c r="AW273" s="154">
        <f t="shared" si="59"/>
        <v>0</v>
      </c>
      <c r="AX273" s="157">
        <f t="shared" si="51"/>
        <v>0</v>
      </c>
    </row>
    <row r="274" spans="20:50" ht="15.75" customHeight="1" x14ac:dyDescent="0.3">
      <c r="T274" s="3"/>
      <c r="U274" s="164"/>
      <c r="V274" s="22"/>
      <c r="W274" s="21"/>
      <c r="X274" s="23"/>
      <c r="Y274" s="10"/>
      <c r="Z274" s="5">
        <f t="shared" si="52"/>
        <v>268</v>
      </c>
      <c r="AA274" s="7">
        <f t="shared" si="53"/>
        <v>153</v>
      </c>
      <c r="AB274" s="8">
        <f t="shared" si="48"/>
        <v>2031</v>
      </c>
      <c r="AC274" s="31">
        <f>IF(AD274=0,"",IF(_Ijour=0,MIN(DATE(YEAR(_DebAmort),MONTH(_DebAmort)+_MoisD+(Z274-1)*_Imois,_Jour2),DATE(YEAR(_DebAmort),MONTH(_DebAmort)+_MoisD+1+(Z274-1)*_Imois,0)),DATE(YEAR(_DebAmort),MONTH(_DebAmort),_Jour1+(Z274-1)*_Ijour)))</f>
        <v>47939</v>
      </c>
      <c r="AD274" s="156">
        <f t="shared" si="54"/>
        <v>104672.85000000012</v>
      </c>
      <c r="AE274" s="153">
        <f>IF(Z274&lt;=_NoEchMaxi,ROUND(AD274*'Données Projet 1'!A283,_NbDeci),0)</f>
        <v>162.24</v>
      </c>
      <c r="AF274" s="152">
        <f>IF(OR(Z274&lt;=_Différé,Z274&gt;_NoEchMaxi),IF(_DiffTotal,-AE274,0),IF(Z274&gt;=_NoEchRemb,AD274,IF('Données Projet 1'!B283-(AE274*_EchFIXE)&gt;AD274-2,AD274,'Données Projet 1'!B283-(AE274*_EchFIXE))))+U274</f>
        <v>606.74</v>
      </c>
      <c r="AG274" s="154">
        <f t="shared" si="55"/>
        <v>19.77</v>
      </c>
      <c r="AH274" s="157">
        <f t="shared" si="49"/>
        <v>788.75</v>
      </c>
      <c r="AI274"/>
      <c r="AJ274" s="3"/>
      <c r="AK274" s="164"/>
      <c r="AL274" s="22"/>
      <c r="AM274" s="21"/>
      <c r="AN274" s="23"/>
      <c r="AO274" s="10"/>
      <c r="AP274" s="5" t="str">
        <f t="shared" si="56"/>
        <v/>
      </c>
      <c r="AQ274" s="7" t="str">
        <f t="shared" si="57"/>
        <v/>
      </c>
      <c r="AR274" s="8" t="str">
        <f t="shared" si="50"/>
        <v/>
      </c>
      <c r="AS274" s="31" t="str">
        <f>IF(AT274=0,"",IF(_Ijour1=0,MIN(DATE(YEAR(_DebAmort1),MONTH(_DebAmort1)+_MoisD1+(AP274-1)*_Imois1,__Jou2),DATE(YEAR(_DebAmort1),MONTH(_DebAmort1)+_MoisD1+1+(AP274-1)*_Imois1,0)),DATE(YEAR(_DebAmort1),MONTH(_DebAmort1),__Jou1+(AP274-1)*_Ijour1)))</f>
        <v/>
      </c>
      <c r="AT274" s="156">
        <f t="shared" si="58"/>
        <v>0</v>
      </c>
      <c r="AU274" s="153">
        <f>IF(AP274&lt;=_NoEchMaxi1,ROUND(AT274*'Données Projet 1'!H283,_NbDeci1),0)</f>
        <v>0</v>
      </c>
      <c r="AV274" s="152">
        <f>IF(OR(AP274&lt;=_Différé1,AP274&gt;_NoEchMaxi1),IF(_DiffTotal1,-AU274,0),IF(AP274&gt;=_NoEchRemb1,AT274,IF('Données Projet 1'!I283-(AU274*_EchFIXE1)&gt;AT274-2,AT274,'Données Projet 1'!I283-(AU274*_EchFIXE1))))+AK274</f>
        <v>0</v>
      </c>
      <c r="AW274" s="154">
        <f t="shared" si="59"/>
        <v>0</v>
      </c>
      <c r="AX274" s="157">
        <f t="shared" si="51"/>
        <v>0</v>
      </c>
    </row>
    <row r="275" spans="20:50" ht="15.75" customHeight="1" x14ac:dyDescent="0.3">
      <c r="T275" s="3"/>
      <c r="U275" s="164"/>
      <c r="V275" s="22"/>
      <c r="W275" s="21"/>
      <c r="X275" s="23"/>
      <c r="Y275" s="10"/>
      <c r="Z275" s="5">
        <f t="shared" si="52"/>
        <v>269</v>
      </c>
      <c r="AA275" s="7">
        <f t="shared" si="53"/>
        <v>152</v>
      </c>
      <c r="AB275" s="8">
        <f t="shared" si="48"/>
        <v>2031</v>
      </c>
      <c r="AC275" s="31">
        <f>IF(AD275=0,"",IF(_Ijour=0,MIN(DATE(YEAR(_DebAmort),MONTH(_DebAmort)+(Z275-1)*_Imois,_Jour1),DATE(YEAR(_DebAmort),MONTH(_DebAmort)+1+(Z275-1)*_Imois,0)),DATE(YEAR(_DebAmort),MONTH(_DebAmort),_Jour1+(Z275-1)*_Ijour)))</f>
        <v>47969</v>
      </c>
      <c r="AD275" s="156">
        <f t="shared" si="54"/>
        <v>104066.11000000012</v>
      </c>
      <c r="AE275" s="153">
        <f>IF(Z275&lt;=_NoEchMaxi,ROUND(AD275*'Données Projet 1'!A284,_NbDeci),0)</f>
        <v>161.30000000000001</v>
      </c>
      <c r="AF275" s="152">
        <f>IF(OR(Z275&lt;=_Différé,Z275&gt;_NoEchMaxi),IF(_DiffTotal,-AE275,0),IF(Z275&gt;=_NoEchRemb,AD275,IF('Données Projet 1'!B284-(AE275*_EchFIXE)&gt;AD275-2,AD275,'Données Projet 1'!B284-(AE275*_EchFIXE))))+U275</f>
        <v>607.68000000000006</v>
      </c>
      <c r="AG275" s="154">
        <f t="shared" si="55"/>
        <v>19.77</v>
      </c>
      <c r="AH275" s="157">
        <f t="shared" si="49"/>
        <v>788.75</v>
      </c>
      <c r="AI275"/>
      <c r="AJ275" s="3"/>
      <c r="AK275" s="164"/>
      <c r="AL275" s="22"/>
      <c r="AM275" s="21"/>
      <c r="AN275" s="23"/>
      <c r="AO275" s="10"/>
      <c r="AP275" s="5" t="str">
        <f t="shared" si="56"/>
        <v/>
      </c>
      <c r="AQ275" s="7" t="str">
        <f t="shared" si="57"/>
        <v/>
      </c>
      <c r="AR275" s="8" t="str">
        <f t="shared" si="50"/>
        <v/>
      </c>
      <c r="AS275" s="31" t="str">
        <f>IF(AT275=0,"",IF(_Ijour1=0,MIN(DATE(YEAR(_DebAmort1),MONTH(_DebAmort1)+(AP275-1)*_Imois1,__Jou1),DATE(YEAR(_DebAmort1),MONTH(_DebAmort1)+1+(AP275-1)*_Imois1,0)),DATE(YEAR(_DebAmort1),MONTH(_DebAmort1),__Jou1+(AP275-1)*_Ijour1)))</f>
        <v/>
      </c>
      <c r="AT275" s="156">
        <f t="shared" si="58"/>
        <v>0</v>
      </c>
      <c r="AU275" s="153">
        <f>IF(AP275&lt;=_NoEchMaxi1,ROUND(AT275*'Données Projet 1'!H284,_NbDeci1),0)</f>
        <v>0</v>
      </c>
      <c r="AV275" s="152">
        <f>IF(OR(AP275&lt;=_Différé1,AP275&gt;_NoEchMaxi1),IF(_DiffTotal1,-AU275,0),IF(AP275&gt;=_NoEchRemb1,AT275,IF('Données Projet 1'!I284-(AU275*_EchFIXE1)&gt;AT275-2,AT275,'Données Projet 1'!I284-(AU275*_EchFIXE1))))+AK275</f>
        <v>0</v>
      </c>
      <c r="AW275" s="154">
        <f t="shared" si="59"/>
        <v>0</v>
      </c>
      <c r="AX275" s="157">
        <f t="shared" si="51"/>
        <v>0</v>
      </c>
    </row>
    <row r="276" spans="20:50" ht="15.75" customHeight="1" x14ac:dyDescent="0.3">
      <c r="T276" s="3"/>
      <c r="U276" s="164"/>
      <c r="V276" s="22"/>
      <c r="W276" s="21"/>
      <c r="X276" s="23"/>
      <c r="Y276" s="10"/>
      <c r="Z276" s="5">
        <f t="shared" si="52"/>
        <v>270</v>
      </c>
      <c r="AA276" s="7">
        <f t="shared" si="53"/>
        <v>151</v>
      </c>
      <c r="AB276" s="8">
        <f t="shared" si="48"/>
        <v>2031</v>
      </c>
      <c r="AC276" s="31">
        <f>IF(AD276=0,"",IF(_Ijour=0,MIN(DATE(YEAR(_DebAmort),MONTH(_DebAmort)+_MoisD+(Z276-1)*_Imois,_Jour2),DATE(YEAR(_DebAmort),MONTH(_DebAmort)+_MoisD+1+(Z276-1)*_Imois,0)),DATE(YEAR(_DebAmort),MONTH(_DebAmort),_Jour1+(Z276-1)*_Ijour)))</f>
        <v>48000</v>
      </c>
      <c r="AD276" s="156">
        <f t="shared" si="54"/>
        <v>103458.43000000012</v>
      </c>
      <c r="AE276" s="153">
        <f>IF(Z276&lt;=_NoEchMaxi,ROUND(AD276*'Données Projet 1'!A285,_NbDeci),0)</f>
        <v>160.36000000000001</v>
      </c>
      <c r="AF276" s="152">
        <f>IF(OR(Z276&lt;=_Différé,Z276&gt;_NoEchMaxi),IF(_DiffTotal,-AE276,0),IF(Z276&gt;=_NoEchRemb,AD276,IF('Données Projet 1'!B285-(AE276*_EchFIXE)&gt;AD276-2,AD276,'Données Projet 1'!B285-(AE276*_EchFIXE))))+U276</f>
        <v>608.62</v>
      </c>
      <c r="AG276" s="154">
        <f t="shared" si="55"/>
        <v>19.77</v>
      </c>
      <c r="AH276" s="157">
        <f t="shared" si="49"/>
        <v>788.75</v>
      </c>
      <c r="AI276"/>
      <c r="AJ276" s="3"/>
      <c r="AK276" s="164"/>
      <c r="AL276" s="22"/>
      <c r="AM276" s="21"/>
      <c r="AN276" s="23"/>
      <c r="AO276" s="10"/>
      <c r="AP276" s="5" t="str">
        <f t="shared" si="56"/>
        <v/>
      </c>
      <c r="AQ276" s="7" t="str">
        <f t="shared" si="57"/>
        <v/>
      </c>
      <c r="AR276" s="8" t="str">
        <f t="shared" si="50"/>
        <v/>
      </c>
      <c r="AS276" s="31" t="str">
        <f>IF(AT276=0,"",IF(_Ijour1=0,MIN(DATE(YEAR(_DebAmort1),MONTH(_DebAmort1)+_MoisD1+(AP276-1)*_Imois1,__Jou2),DATE(YEAR(_DebAmort1),MONTH(_DebAmort1)+_MoisD1+1+(AP276-1)*_Imois1,0)),DATE(YEAR(_DebAmort1),MONTH(_DebAmort1),__Jou1+(AP276-1)*_Ijour1)))</f>
        <v/>
      </c>
      <c r="AT276" s="156">
        <f t="shared" si="58"/>
        <v>0</v>
      </c>
      <c r="AU276" s="153">
        <f>IF(AP276&lt;=_NoEchMaxi1,ROUND(AT276*'Données Projet 1'!H285,_NbDeci1),0)</f>
        <v>0</v>
      </c>
      <c r="AV276" s="152">
        <f>IF(OR(AP276&lt;=_Différé1,AP276&gt;_NoEchMaxi1),IF(_DiffTotal1,-AU276,0),IF(AP276&gt;=_NoEchRemb1,AT276,IF('Données Projet 1'!I285-(AU276*_EchFIXE1)&gt;AT276-2,AT276,'Données Projet 1'!I285-(AU276*_EchFIXE1))))+AK276</f>
        <v>0</v>
      </c>
      <c r="AW276" s="154">
        <f t="shared" si="59"/>
        <v>0</v>
      </c>
      <c r="AX276" s="157">
        <f t="shared" si="51"/>
        <v>0</v>
      </c>
    </row>
    <row r="277" spans="20:50" ht="15.75" customHeight="1" x14ac:dyDescent="0.3">
      <c r="T277" s="3"/>
      <c r="U277" s="164"/>
      <c r="V277" s="22"/>
      <c r="W277" s="21"/>
      <c r="X277" s="23"/>
      <c r="Y277" s="10"/>
      <c r="Z277" s="5">
        <f t="shared" si="52"/>
        <v>271</v>
      </c>
      <c r="AA277" s="7">
        <f t="shared" si="53"/>
        <v>150</v>
      </c>
      <c r="AB277" s="8">
        <f t="shared" si="48"/>
        <v>2031</v>
      </c>
      <c r="AC277" s="31">
        <f>IF(AD277=0,"",IF(_Ijour=0,MIN(DATE(YEAR(_DebAmort),MONTH(_DebAmort)+(Z277-1)*_Imois,_Jour1),DATE(YEAR(_DebAmort),MONTH(_DebAmort)+1+(Z277-1)*_Imois,0)),DATE(YEAR(_DebAmort),MONTH(_DebAmort),_Jour1+(Z277-1)*_Ijour)))</f>
        <v>48030</v>
      </c>
      <c r="AD277" s="156">
        <f t="shared" si="54"/>
        <v>102849.81000000013</v>
      </c>
      <c r="AE277" s="153">
        <f>IF(Z277&lt;=_NoEchMaxi,ROUND(AD277*'Données Projet 1'!A286,_NbDeci),0)</f>
        <v>159.41999999999999</v>
      </c>
      <c r="AF277" s="152">
        <f>IF(OR(Z277&lt;=_Différé,Z277&gt;_NoEchMaxi),IF(_DiffTotal,-AE277,0),IF(Z277&gt;=_NoEchRemb,AD277,IF('Données Projet 1'!B286-(AE277*_EchFIXE)&gt;AD277-2,AD277,'Données Projet 1'!B286-(AE277*_EchFIXE))))+U277</f>
        <v>609.56000000000006</v>
      </c>
      <c r="AG277" s="154">
        <f t="shared" si="55"/>
        <v>19.77</v>
      </c>
      <c r="AH277" s="157">
        <f t="shared" si="49"/>
        <v>788.75</v>
      </c>
      <c r="AI277"/>
      <c r="AJ277" s="3"/>
      <c r="AK277" s="164"/>
      <c r="AL277" s="22"/>
      <c r="AM277" s="21"/>
      <c r="AN277" s="23"/>
      <c r="AO277" s="10"/>
      <c r="AP277" s="5" t="str">
        <f t="shared" si="56"/>
        <v/>
      </c>
      <c r="AQ277" s="7" t="str">
        <f t="shared" si="57"/>
        <v/>
      </c>
      <c r="AR277" s="8" t="str">
        <f t="shared" si="50"/>
        <v/>
      </c>
      <c r="AS277" s="31" t="str">
        <f>IF(AT277=0,"",IF(_Ijour1=0,MIN(DATE(YEAR(_DebAmort1),MONTH(_DebAmort1)+(AP277-1)*_Imois1,__Jou1),DATE(YEAR(_DebAmort1),MONTH(_DebAmort1)+1+(AP277-1)*_Imois1,0)),DATE(YEAR(_DebAmort1),MONTH(_DebAmort1),__Jou1+(AP277-1)*_Ijour1)))</f>
        <v/>
      </c>
      <c r="AT277" s="156">
        <f t="shared" si="58"/>
        <v>0</v>
      </c>
      <c r="AU277" s="153">
        <f>IF(AP277&lt;=_NoEchMaxi1,ROUND(AT277*'Données Projet 1'!H286,_NbDeci1),0)</f>
        <v>0</v>
      </c>
      <c r="AV277" s="152">
        <f>IF(OR(AP277&lt;=_Différé1,AP277&gt;_NoEchMaxi1),IF(_DiffTotal1,-AU277,0),IF(AP277&gt;=_NoEchRemb1,AT277,IF('Données Projet 1'!I286-(AU277*_EchFIXE1)&gt;AT277-2,AT277,'Données Projet 1'!I286-(AU277*_EchFIXE1))))+AK277</f>
        <v>0</v>
      </c>
      <c r="AW277" s="154">
        <f t="shared" si="59"/>
        <v>0</v>
      </c>
      <c r="AX277" s="157">
        <f t="shared" si="51"/>
        <v>0</v>
      </c>
    </row>
    <row r="278" spans="20:50" ht="15.75" customHeight="1" x14ac:dyDescent="0.3">
      <c r="T278" s="3"/>
      <c r="U278" s="164"/>
      <c r="V278" s="22"/>
      <c r="W278" s="21"/>
      <c r="X278" s="23"/>
      <c r="Y278" s="10"/>
      <c r="Z278" s="5">
        <f t="shared" si="52"/>
        <v>272</v>
      </c>
      <c r="AA278" s="7">
        <f t="shared" si="53"/>
        <v>149</v>
      </c>
      <c r="AB278" s="8">
        <f t="shared" si="48"/>
        <v>2031</v>
      </c>
      <c r="AC278" s="31">
        <f>IF(AD278=0,"",IF(_Ijour=0,MIN(DATE(YEAR(_DebAmort),MONTH(_DebAmort)+_MoisD+(Z278-1)*_Imois,_Jour2),DATE(YEAR(_DebAmort),MONTH(_DebAmort)+_MoisD+1+(Z278-1)*_Imois,0)),DATE(YEAR(_DebAmort),MONTH(_DebAmort),_Jour1+(Z278-1)*_Ijour)))</f>
        <v>48061</v>
      </c>
      <c r="AD278" s="156">
        <f t="shared" si="54"/>
        <v>102240.25000000013</v>
      </c>
      <c r="AE278" s="153">
        <f>IF(Z278&lt;=_NoEchMaxi,ROUND(AD278*'Données Projet 1'!A287,_NbDeci),0)</f>
        <v>158.47</v>
      </c>
      <c r="AF278" s="152">
        <f>IF(OR(Z278&lt;=_Différé,Z278&gt;_NoEchMaxi),IF(_DiffTotal,-AE278,0),IF(Z278&gt;=_NoEchRemb,AD278,IF('Données Projet 1'!B287-(AE278*_EchFIXE)&gt;AD278-2,AD278,'Données Projet 1'!B287-(AE278*_EchFIXE))))+U278</f>
        <v>610.51</v>
      </c>
      <c r="AG278" s="154">
        <f t="shared" si="55"/>
        <v>19.77</v>
      </c>
      <c r="AH278" s="157">
        <f t="shared" si="49"/>
        <v>788.75</v>
      </c>
      <c r="AI278"/>
      <c r="AJ278" s="3"/>
      <c r="AK278" s="164"/>
      <c r="AL278" s="22"/>
      <c r="AM278" s="21"/>
      <c r="AN278" s="23"/>
      <c r="AO278" s="10"/>
      <c r="AP278" s="5" t="str">
        <f t="shared" si="56"/>
        <v/>
      </c>
      <c r="AQ278" s="7" t="str">
        <f t="shared" si="57"/>
        <v/>
      </c>
      <c r="AR278" s="8" t="str">
        <f t="shared" si="50"/>
        <v/>
      </c>
      <c r="AS278" s="31" t="str">
        <f>IF(AT278=0,"",IF(_Ijour1=0,MIN(DATE(YEAR(_DebAmort1),MONTH(_DebAmort1)+_MoisD1+(AP278-1)*_Imois1,__Jou2),DATE(YEAR(_DebAmort1),MONTH(_DebAmort1)+_MoisD1+1+(AP278-1)*_Imois1,0)),DATE(YEAR(_DebAmort1),MONTH(_DebAmort1),__Jou1+(AP278-1)*_Ijour1)))</f>
        <v/>
      </c>
      <c r="AT278" s="156">
        <f t="shared" si="58"/>
        <v>0</v>
      </c>
      <c r="AU278" s="153">
        <f>IF(AP278&lt;=_NoEchMaxi1,ROUND(AT278*'Données Projet 1'!H287,_NbDeci1),0)</f>
        <v>0</v>
      </c>
      <c r="AV278" s="152">
        <f>IF(OR(AP278&lt;=_Différé1,AP278&gt;_NoEchMaxi1),IF(_DiffTotal1,-AU278,0),IF(AP278&gt;=_NoEchRemb1,AT278,IF('Données Projet 1'!I287-(AU278*_EchFIXE1)&gt;AT278-2,AT278,'Données Projet 1'!I287-(AU278*_EchFIXE1))))+AK278</f>
        <v>0</v>
      </c>
      <c r="AW278" s="154">
        <f t="shared" si="59"/>
        <v>0</v>
      </c>
      <c r="AX278" s="157">
        <f t="shared" si="51"/>
        <v>0</v>
      </c>
    </row>
    <row r="279" spans="20:50" ht="15.75" customHeight="1" x14ac:dyDescent="0.3">
      <c r="T279" s="3"/>
      <c r="U279" s="164"/>
      <c r="V279" s="22"/>
      <c r="W279" s="21"/>
      <c r="X279" s="23"/>
      <c r="Y279" s="10"/>
      <c r="Z279" s="5">
        <f t="shared" si="52"/>
        <v>273</v>
      </c>
      <c r="AA279" s="7">
        <f t="shared" si="53"/>
        <v>148</v>
      </c>
      <c r="AB279" s="8">
        <f t="shared" si="48"/>
        <v>2031</v>
      </c>
      <c r="AC279" s="31">
        <f>IF(AD279=0,"",IF(_Ijour=0,MIN(DATE(YEAR(_DebAmort),MONTH(_DebAmort)+(Z279-1)*_Imois,_Jour1),DATE(YEAR(_DebAmort),MONTH(_DebAmort)+1+(Z279-1)*_Imois,0)),DATE(YEAR(_DebAmort),MONTH(_DebAmort),_Jour1+(Z279-1)*_Ijour)))</f>
        <v>48092</v>
      </c>
      <c r="AD279" s="156">
        <f t="shared" si="54"/>
        <v>101629.74000000014</v>
      </c>
      <c r="AE279" s="153">
        <f>IF(Z279&lt;=_NoEchMaxi,ROUND(AD279*'Données Projet 1'!A288,_NbDeci),0)</f>
        <v>157.53</v>
      </c>
      <c r="AF279" s="152">
        <f>IF(OR(Z279&lt;=_Différé,Z279&gt;_NoEchMaxi),IF(_DiffTotal,-AE279,0),IF(Z279&gt;=_NoEchRemb,AD279,IF('Données Projet 1'!B288-(AE279*_EchFIXE)&gt;AD279-2,AD279,'Données Projet 1'!B288-(AE279*_EchFIXE))))+U279</f>
        <v>611.45000000000005</v>
      </c>
      <c r="AG279" s="154">
        <f t="shared" si="55"/>
        <v>19.77</v>
      </c>
      <c r="AH279" s="157">
        <f t="shared" si="49"/>
        <v>788.75</v>
      </c>
      <c r="AI279"/>
      <c r="AJ279" s="3"/>
      <c r="AK279" s="164"/>
      <c r="AL279" s="22"/>
      <c r="AM279" s="21"/>
      <c r="AN279" s="23"/>
      <c r="AO279" s="10"/>
      <c r="AP279" s="5" t="str">
        <f t="shared" si="56"/>
        <v/>
      </c>
      <c r="AQ279" s="7" t="str">
        <f t="shared" si="57"/>
        <v/>
      </c>
      <c r="AR279" s="8" t="str">
        <f t="shared" si="50"/>
        <v/>
      </c>
      <c r="AS279" s="31" t="str">
        <f>IF(AT279=0,"",IF(_Ijour1=0,MIN(DATE(YEAR(_DebAmort1),MONTH(_DebAmort1)+(AP279-1)*_Imois1,__Jou1),DATE(YEAR(_DebAmort1),MONTH(_DebAmort1)+1+(AP279-1)*_Imois1,0)),DATE(YEAR(_DebAmort1),MONTH(_DebAmort1),__Jou1+(AP279-1)*_Ijour1)))</f>
        <v/>
      </c>
      <c r="AT279" s="156">
        <f t="shared" si="58"/>
        <v>0</v>
      </c>
      <c r="AU279" s="153">
        <f>IF(AP279&lt;=_NoEchMaxi1,ROUND(AT279*'Données Projet 1'!H288,_NbDeci1),0)</f>
        <v>0</v>
      </c>
      <c r="AV279" s="152">
        <f>IF(OR(AP279&lt;=_Différé1,AP279&gt;_NoEchMaxi1),IF(_DiffTotal1,-AU279,0),IF(AP279&gt;=_NoEchRemb1,AT279,IF('Données Projet 1'!I288-(AU279*_EchFIXE1)&gt;AT279-2,AT279,'Données Projet 1'!I288-(AU279*_EchFIXE1))))+AK279</f>
        <v>0</v>
      </c>
      <c r="AW279" s="154">
        <f t="shared" si="59"/>
        <v>0</v>
      </c>
      <c r="AX279" s="157">
        <f t="shared" si="51"/>
        <v>0</v>
      </c>
    </row>
    <row r="280" spans="20:50" ht="15.75" customHeight="1" x14ac:dyDescent="0.3">
      <c r="T280" s="3"/>
      <c r="U280" s="164"/>
      <c r="V280" s="22"/>
      <c r="W280" s="21"/>
      <c r="X280" s="23"/>
      <c r="Y280" s="10"/>
      <c r="Z280" s="5">
        <f t="shared" si="52"/>
        <v>274</v>
      </c>
      <c r="AA280" s="7">
        <f t="shared" si="53"/>
        <v>147</v>
      </c>
      <c r="AB280" s="8">
        <f t="shared" si="48"/>
        <v>2031</v>
      </c>
      <c r="AC280" s="31">
        <f>IF(AD280=0,"",IF(_Ijour=0,MIN(DATE(YEAR(_DebAmort),MONTH(_DebAmort)+_MoisD+(Z280-1)*_Imois,_Jour2),DATE(YEAR(_DebAmort),MONTH(_DebAmort)+_MoisD+1+(Z280-1)*_Imois,0)),DATE(YEAR(_DebAmort),MONTH(_DebAmort),_Jour1+(Z280-1)*_Ijour)))</f>
        <v>48122</v>
      </c>
      <c r="AD280" s="156">
        <f t="shared" si="54"/>
        <v>101018.29000000014</v>
      </c>
      <c r="AE280" s="153">
        <f>IF(Z280&lt;=_NoEchMaxi,ROUND(AD280*'Données Projet 1'!A289,_NbDeci),0)</f>
        <v>156.58000000000001</v>
      </c>
      <c r="AF280" s="152">
        <f>IF(OR(Z280&lt;=_Différé,Z280&gt;_NoEchMaxi),IF(_DiffTotal,-AE280,0),IF(Z280&gt;=_NoEchRemb,AD280,IF('Données Projet 1'!B289-(AE280*_EchFIXE)&gt;AD280-2,AD280,'Données Projet 1'!B289-(AE280*_EchFIXE))))+U280</f>
        <v>612.4</v>
      </c>
      <c r="AG280" s="154">
        <f t="shared" si="55"/>
        <v>19.77</v>
      </c>
      <c r="AH280" s="157">
        <f t="shared" si="49"/>
        <v>788.75</v>
      </c>
      <c r="AI280"/>
      <c r="AJ280" s="3"/>
      <c r="AK280" s="164"/>
      <c r="AL280" s="22"/>
      <c r="AM280" s="21"/>
      <c r="AN280" s="23"/>
      <c r="AO280" s="10"/>
      <c r="AP280" s="5" t="str">
        <f t="shared" si="56"/>
        <v/>
      </c>
      <c r="AQ280" s="7" t="str">
        <f t="shared" si="57"/>
        <v/>
      </c>
      <c r="AR280" s="8" t="str">
        <f t="shared" si="50"/>
        <v/>
      </c>
      <c r="AS280" s="31" t="str">
        <f>IF(AT280=0,"",IF(_Ijour1=0,MIN(DATE(YEAR(_DebAmort1),MONTH(_DebAmort1)+_MoisD1+(AP280-1)*_Imois1,__Jou2),DATE(YEAR(_DebAmort1),MONTH(_DebAmort1)+_MoisD1+1+(AP280-1)*_Imois1,0)),DATE(YEAR(_DebAmort1),MONTH(_DebAmort1),__Jou1+(AP280-1)*_Ijour1)))</f>
        <v/>
      </c>
      <c r="AT280" s="156">
        <f t="shared" si="58"/>
        <v>0</v>
      </c>
      <c r="AU280" s="153">
        <f>IF(AP280&lt;=_NoEchMaxi1,ROUND(AT280*'Données Projet 1'!H289,_NbDeci1),0)</f>
        <v>0</v>
      </c>
      <c r="AV280" s="152">
        <f>IF(OR(AP280&lt;=_Différé1,AP280&gt;_NoEchMaxi1),IF(_DiffTotal1,-AU280,0),IF(AP280&gt;=_NoEchRemb1,AT280,IF('Données Projet 1'!I289-(AU280*_EchFIXE1)&gt;AT280-2,AT280,'Données Projet 1'!I289-(AU280*_EchFIXE1))))+AK280</f>
        <v>0</v>
      </c>
      <c r="AW280" s="154">
        <f t="shared" si="59"/>
        <v>0</v>
      </c>
      <c r="AX280" s="157">
        <f t="shared" si="51"/>
        <v>0</v>
      </c>
    </row>
    <row r="281" spans="20:50" ht="15.75" customHeight="1" x14ac:dyDescent="0.3">
      <c r="T281" s="3"/>
      <c r="U281" s="164"/>
      <c r="V281" s="22"/>
      <c r="W281" s="21"/>
      <c r="X281" s="23"/>
      <c r="Y281" s="10"/>
      <c r="Z281" s="5">
        <f t="shared" si="52"/>
        <v>275</v>
      </c>
      <c r="AA281" s="7">
        <f t="shared" si="53"/>
        <v>146</v>
      </c>
      <c r="AB281" s="8">
        <f t="shared" si="48"/>
        <v>2031</v>
      </c>
      <c r="AC281" s="31">
        <f>IF(AD281=0,"",IF(_Ijour=0,MIN(DATE(YEAR(_DebAmort),MONTH(_DebAmort)+(Z281-1)*_Imois,_Jour1),DATE(YEAR(_DebAmort),MONTH(_DebAmort)+1+(Z281-1)*_Imois,0)),DATE(YEAR(_DebAmort),MONTH(_DebAmort),_Jour1+(Z281-1)*_Ijour)))</f>
        <v>48153</v>
      </c>
      <c r="AD281" s="156">
        <f t="shared" si="54"/>
        <v>100405.89000000014</v>
      </c>
      <c r="AE281" s="153">
        <f>IF(Z281&lt;=_NoEchMaxi,ROUND(AD281*'Données Projet 1'!A290,_NbDeci),0)</f>
        <v>155.63</v>
      </c>
      <c r="AF281" s="152">
        <f>IF(OR(Z281&lt;=_Différé,Z281&gt;_NoEchMaxi),IF(_DiffTotal,-AE281,0),IF(Z281&gt;=_NoEchRemb,AD281,IF('Données Projet 1'!B290-(AE281*_EchFIXE)&gt;AD281-2,AD281,'Données Projet 1'!B290-(AE281*_EchFIXE))))+U281</f>
        <v>613.35</v>
      </c>
      <c r="AG281" s="154">
        <f t="shared" si="55"/>
        <v>19.77</v>
      </c>
      <c r="AH281" s="157">
        <f t="shared" si="49"/>
        <v>788.75</v>
      </c>
      <c r="AI281"/>
      <c r="AJ281" s="3"/>
      <c r="AK281" s="164"/>
      <c r="AL281" s="22"/>
      <c r="AM281" s="21"/>
      <c r="AN281" s="23"/>
      <c r="AO281" s="10"/>
      <c r="AP281" s="5" t="str">
        <f t="shared" si="56"/>
        <v/>
      </c>
      <c r="AQ281" s="7" t="str">
        <f t="shared" si="57"/>
        <v/>
      </c>
      <c r="AR281" s="8" t="str">
        <f t="shared" si="50"/>
        <v/>
      </c>
      <c r="AS281" s="31" t="str">
        <f>IF(AT281=0,"",IF(_Ijour1=0,MIN(DATE(YEAR(_DebAmort1),MONTH(_DebAmort1)+(AP281-1)*_Imois1,__Jou1),DATE(YEAR(_DebAmort1),MONTH(_DebAmort1)+1+(AP281-1)*_Imois1,0)),DATE(YEAR(_DebAmort1),MONTH(_DebAmort1),__Jou1+(AP281-1)*_Ijour1)))</f>
        <v/>
      </c>
      <c r="AT281" s="156">
        <f t="shared" si="58"/>
        <v>0</v>
      </c>
      <c r="AU281" s="153">
        <f>IF(AP281&lt;=_NoEchMaxi1,ROUND(AT281*'Données Projet 1'!H290,_NbDeci1),0)</f>
        <v>0</v>
      </c>
      <c r="AV281" s="152">
        <f>IF(OR(AP281&lt;=_Différé1,AP281&gt;_NoEchMaxi1),IF(_DiffTotal1,-AU281,0),IF(AP281&gt;=_NoEchRemb1,AT281,IF('Données Projet 1'!I290-(AU281*_EchFIXE1)&gt;AT281-2,AT281,'Données Projet 1'!I290-(AU281*_EchFIXE1))))+AK281</f>
        <v>0</v>
      </c>
      <c r="AW281" s="154">
        <f t="shared" si="59"/>
        <v>0</v>
      </c>
      <c r="AX281" s="157">
        <f t="shared" si="51"/>
        <v>0</v>
      </c>
    </row>
    <row r="282" spans="20:50" ht="15.75" customHeight="1" x14ac:dyDescent="0.3">
      <c r="T282" s="3"/>
      <c r="U282" s="164"/>
      <c r="V282" s="22"/>
      <c r="W282" s="21"/>
      <c r="X282" s="23"/>
      <c r="Y282" s="10"/>
      <c r="Z282" s="5">
        <f t="shared" si="52"/>
        <v>276</v>
      </c>
      <c r="AA282" s="7">
        <f t="shared" si="53"/>
        <v>145</v>
      </c>
      <c r="AB282" s="8">
        <f t="shared" si="48"/>
        <v>2031</v>
      </c>
      <c r="AC282" s="31">
        <f>IF(AD282=0,"",IF(_Ijour=0,MIN(DATE(YEAR(_DebAmort),MONTH(_DebAmort)+_MoisD+(Z282-1)*_Imois,_Jour2),DATE(YEAR(_DebAmort),MONTH(_DebAmort)+_MoisD+1+(Z282-1)*_Imois,0)),DATE(YEAR(_DebAmort),MONTH(_DebAmort),_Jour1+(Z282-1)*_Ijour)))</f>
        <v>48183</v>
      </c>
      <c r="AD282" s="156">
        <f t="shared" si="54"/>
        <v>99792.540000000139</v>
      </c>
      <c r="AE282" s="153">
        <f>IF(Z282&lt;=_NoEchMaxi,ROUND(AD282*'Données Projet 1'!A291,_NbDeci),0)</f>
        <v>154.68</v>
      </c>
      <c r="AF282" s="152">
        <f>IF(OR(Z282&lt;=_Différé,Z282&gt;_NoEchMaxi),IF(_DiffTotal,-AE282,0),IF(Z282&gt;=_NoEchRemb,AD282,IF('Données Projet 1'!B291-(AE282*_EchFIXE)&gt;AD282-2,AD282,'Données Projet 1'!B291-(AE282*_EchFIXE))))+U282</f>
        <v>614.29999999999995</v>
      </c>
      <c r="AG282" s="154">
        <f t="shared" si="55"/>
        <v>19.77</v>
      </c>
      <c r="AH282" s="157">
        <f t="shared" si="49"/>
        <v>788.75</v>
      </c>
      <c r="AI282"/>
      <c r="AJ282" s="3"/>
      <c r="AK282" s="164"/>
      <c r="AL282" s="22"/>
      <c r="AM282" s="21"/>
      <c r="AN282" s="23"/>
      <c r="AO282" s="10"/>
      <c r="AP282" s="5" t="str">
        <f t="shared" si="56"/>
        <v/>
      </c>
      <c r="AQ282" s="7" t="str">
        <f t="shared" si="57"/>
        <v/>
      </c>
      <c r="AR282" s="8" t="str">
        <f t="shared" si="50"/>
        <v/>
      </c>
      <c r="AS282" s="31" t="str">
        <f>IF(AT282=0,"",IF(_Ijour1=0,MIN(DATE(YEAR(_DebAmort1),MONTH(_DebAmort1)+_MoisD1+(AP282-1)*_Imois1,__Jou2),DATE(YEAR(_DebAmort1),MONTH(_DebAmort1)+_MoisD1+1+(AP282-1)*_Imois1,0)),DATE(YEAR(_DebAmort1),MONTH(_DebAmort1),__Jou1+(AP282-1)*_Ijour1)))</f>
        <v/>
      </c>
      <c r="AT282" s="156">
        <f t="shared" si="58"/>
        <v>0</v>
      </c>
      <c r="AU282" s="153">
        <f>IF(AP282&lt;=_NoEchMaxi1,ROUND(AT282*'Données Projet 1'!H291,_NbDeci1),0)</f>
        <v>0</v>
      </c>
      <c r="AV282" s="152">
        <f>IF(OR(AP282&lt;=_Différé1,AP282&gt;_NoEchMaxi1),IF(_DiffTotal1,-AU282,0),IF(AP282&gt;=_NoEchRemb1,AT282,IF('Données Projet 1'!I291-(AU282*_EchFIXE1)&gt;AT282-2,AT282,'Données Projet 1'!I291-(AU282*_EchFIXE1))))+AK282</f>
        <v>0</v>
      </c>
      <c r="AW282" s="154">
        <f t="shared" si="59"/>
        <v>0</v>
      </c>
      <c r="AX282" s="157">
        <f t="shared" si="51"/>
        <v>0</v>
      </c>
    </row>
    <row r="283" spans="20:50" ht="15.75" customHeight="1" x14ac:dyDescent="0.3">
      <c r="T283" s="3"/>
      <c r="U283" s="164"/>
      <c r="V283" s="22"/>
      <c r="W283" s="21"/>
      <c r="X283" s="23"/>
      <c r="Y283" s="10"/>
      <c r="Z283" s="5">
        <f t="shared" si="52"/>
        <v>277</v>
      </c>
      <c r="AA283" s="7">
        <f t="shared" si="53"/>
        <v>144</v>
      </c>
      <c r="AB283" s="8">
        <f t="shared" si="48"/>
        <v>2032</v>
      </c>
      <c r="AC283" s="31">
        <f>IF(AD283=0,"",IF(_Ijour=0,MIN(DATE(YEAR(_DebAmort),MONTH(_DebAmort)+(Z283-1)*_Imois,_Jour1),DATE(YEAR(_DebAmort),MONTH(_DebAmort)+1+(Z283-1)*_Imois,0)),DATE(YEAR(_DebAmort),MONTH(_DebAmort),_Jour1+(Z283-1)*_Ijour)))</f>
        <v>48214</v>
      </c>
      <c r="AD283" s="156">
        <f t="shared" si="54"/>
        <v>99178.240000000136</v>
      </c>
      <c r="AE283" s="153">
        <f>IF(Z283&lt;=_NoEchMaxi,ROUND(AD283*'Données Projet 1'!A292,_NbDeci),0)</f>
        <v>153.72999999999999</v>
      </c>
      <c r="AF283" s="152">
        <f>IF(OR(Z283&lt;=_Différé,Z283&gt;_NoEchMaxi),IF(_DiffTotal,-AE283,0),IF(Z283&gt;=_NoEchRemb,AD283,IF('Données Projet 1'!B292-(AE283*_EchFIXE)&gt;AD283-2,AD283,'Données Projet 1'!B292-(AE283*_EchFIXE))))+U283</f>
        <v>615.25</v>
      </c>
      <c r="AG283" s="154">
        <f t="shared" si="55"/>
        <v>19.77</v>
      </c>
      <c r="AH283" s="157">
        <f t="shared" si="49"/>
        <v>788.75</v>
      </c>
      <c r="AI283"/>
      <c r="AJ283" s="3"/>
      <c r="AK283" s="164"/>
      <c r="AL283" s="22"/>
      <c r="AM283" s="21"/>
      <c r="AN283" s="23"/>
      <c r="AO283" s="10"/>
      <c r="AP283" s="5" t="str">
        <f t="shared" si="56"/>
        <v/>
      </c>
      <c r="AQ283" s="7" t="str">
        <f t="shared" si="57"/>
        <v/>
      </c>
      <c r="AR283" s="8" t="str">
        <f t="shared" si="50"/>
        <v/>
      </c>
      <c r="AS283" s="31" t="str">
        <f>IF(AT283=0,"",IF(_Ijour1=0,MIN(DATE(YEAR(_DebAmort1),MONTH(_DebAmort1)+(AP283-1)*_Imois1,__Jou1),DATE(YEAR(_DebAmort1),MONTH(_DebAmort1)+1+(AP283-1)*_Imois1,0)),DATE(YEAR(_DebAmort1),MONTH(_DebAmort1),__Jou1+(AP283-1)*_Ijour1)))</f>
        <v/>
      </c>
      <c r="AT283" s="156">
        <f t="shared" si="58"/>
        <v>0</v>
      </c>
      <c r="AU283" s="153">
        <f>IF(AP283&lt;=_NoEchMaxi1,ROUND(AT283*'Données Projet 1'!H292,_NbDeci1),0)</f>
        <v>0</v>
      </c>
      <c r="AV283" s="152">
        <f>IF(OR(AP283&lt;=_Différé1,AP283&gt;_NoEchMaxi1),IF(_DiffTotal1,-AU283,0),IF(AP283&gt;=_NoEchRemb1,AT283,IF('Données Projet 1'!I292-(AU283*_EchFIXE1)&gt;AT283-2,AT283,'Données Projet 1'!I292-(AU283*_EchFIXE1))))+AK283</f>
        <v>0</v>
      </c>
      <c r="AW283" s="154">
        <f t="shared" si="59"/>
        <v>0</v>
      </c>
      <c r="AX283" s="157">
        <f t="shared" si="51"/>
        <v>0</v>
      </c>
    </row>
    <row r="284" spans="20:50" ht="15.75" customHeight="1" x14ac:dyDescent="0.3">
      <c r="T284" s="3"/>
      <c r="U284" s="164"/>
      <c r="V284" s="22"/>
      <c r="W284" s="21"/>
      <c r="X284" s="23"/>
      <c r="Y284" s="10"/>
      <c r="Z284" s="5">
        <f t="shared" si="52"/>
        <v>278</v>
      </c>
      <c r="AA284" s="7">
        <f t="shared" si="53"/>
        <v>143</v>
      </c>
      <c r="AB284" s="8">
        <f t="shared" si="48"/>
        <v>2032</v>
      </c>
      <c r="AC284" s="31">
        <f>IF(AD284=0,"",IF(_Ijour=0,MIN(DATE(YEAR(_DebAmort),MONTH(_DebAmort)+_MoisD+(Z284-1)*_Imois,_Jour2),DATE(YEAR(_DebAmort),MONTH(_DebAmort)+_MoisD+1+(Z284-1)*_Imois,0)),DATE(YEAR(_DebAmort),MONTH(_DebAmort),_Jour1+(Z284-1)*_Ijour)))</f>
        <v>48245</v>
      </c>
      <c r="AD284" s="156">
        <f t="shared" si="54"/>
        <v>98562.990000000136</v>
      </c>
      <c r="AE284" s="153">
        <f>IF(Z284&lt;=_NoEchMaxi,ROUND(AD284*'Données Projet 1'!A293,_NbDeci),0)</f>
        <v>152.77000000000001</v>
      </c>
      <c r="AF284" s="152">
        <f>IF(OR(Z284&lt;=_Différé,Z284&gt;_NoEchMaxi),IF(_DiffTotal,-AE284,0),IF(Z284&gt;=_NoEchRemb,AD284,IF('Données Projet 1'!B293-(AE284*_EchFIXE)&gt;AD284-2,AD284,'Données Projet 1'!B293-(AE284*_EchFIXE))))+U284</f>
        <v>616.21</v>
      </c>
      <c r="AG284" s="154">
        <f t="shared" si="55"/>
        <v>19.77</v>
      </c>
      <c r="AH284" s="157">
        <f t="shared" si="49"/>
        <v>788.75</v>
      </c>
      <c r="AI284"/>
      <c r="AJ284" s="3"/>
      <c r="AK284" s="164"/>
      <c r="AL284" s="22"/>
      <c r="AM284" s="21"/>
      <c r="AN284" s="23"/>
      <c r="AO284" s="10"/>
      <c r="AP284" s="5" t="str">
        <f t="shared" si="56"/>
        <v/>
      </c>
      <c r="AQ284" s="7" t="str">
        <f t="shared" si="57"/>
        <v/>
      </c>
      <c r="AR284" s="8" t="str">
        <f t="shared" si="50"/>
        <v/>
      </c>
      <c r="AS284" s="31" t="str">
        <f>IF(AT284=0,"",IF(_Ijour1=0,MIN(DATE(YEAR(_DebAmort1),MONTH(_DebAmort1)+_MoisD1+(AP284-1)*_Imois1,__Jou2),DATE(YEAR(_DebAmort1),MONTH(_DebAmort1)+_MoisD1+1+(AP284-1)*_Imois1,0)),DATE(YEAR(_DebAmort1),MONTH(_DebAmort1),__Jou1+(AP284-1)*_Ijour1)))</f>
        <v/>
      </c>
      <c r="AT284" s="156">
        <f t="shared" si="58"/>
        <v>0</v>
      </c>
      <c r="AU284" s="153">
        <f>IF(AP284&lt;=_NoEchMaxi1,ROUND(AT284*'Données Projet 1'!H293,_NbDeci1),0)</f>
        <v>0</v>
      </c>
      <c r="AV284" s="152">
        <f>IF(OR(AP284&lt;=_Différé1,AP284&gt;_NoEchMaxi1),IF(_DiffTotal1,-AU284,0),IF(AP284&gt;=_NoEchRemb1,AT284,IF('Données Projet 1'!I293-(AU284*_EchFIXE1)&gt;AT284-2,AT284,'Données Projet 1'!I293-(AU284*_EchFIXE1))))+AK284</f>
        <v>0</v>
      </c>
      <c r="AW284" s="154">
        <f t="shared" si="59"/>
        <v>0</v>
      </c>
      <c r="AX284" s="157">
        <f t="shared" si="51"/>
        <v>0</v>
      </c>
    </row>
    <row r="285" spans="20:50" ht="15.75" customHeight="1" x14ac:dyDescent="0.3">
      <c r="T285" s="3"/>
      <c r="U285" s="164"/>
      <c r="V285" s="22"/>
      <c r="W285" s="21"/>
      <c r="X285" s="23"/>
      <c r="Y285" s="10"/>
      <c r="Z285" s="5">
        <f t="shared" si="52"/>
        <v>279</v>
      </c>
      <c r="AA285" s="7">
        <f t="shared" si="53"/>
        <v>142</v>
      </c>
      <c r="AB285" s="8">
        <f t="shared" si="48"/>
        <v>2032</v>
      </c>
      <c r="AC285" s="31">
        <f>IF(AD285=0,"",IF(_Ijour=0,MIN(DATE(YEAR(_DebAmort),MONTH(_DebAmort)+(Z285-1)*_Imois,_Jour1),DATE(YEAR(_DebAmort),MONTH(_DebAmort)+1+(Z285-1)*_Imois,0)),DATE(YEAR(_DebAmort),MONTH(_DebAmort),_Jour1+(Z285-1)*_Ijour)))</f>
        <v>48274</v>
      </c>
      <c r="AD285" s="156">
        <f t="shared" si="54"/>
        <v>97946.78000000013</v>
      </c>
      <c r="AE285" s="153">
        <f>IF(Z285&lt;=_NoEchMaxi,ROUND(AD285*'Données Projet 1'!A294,_NbDeci),0)</f>
        <v>151.82</v>
      </c>
      <c r="AF285" s="152">
        <f>IF(OR(Z285&lt;=_Différé,Z285&gt;_NoEchMaxi),IF(_DiffTotal,-AE285,0),IF(Z285&gt;=_NoEchRemb,AD285,IF('Données Projet 1'!B294-(AE285*_EchFIXE)&gt;AD285-2,AD285,'Données Projet 1'!B294-(AE285*_EchFIXE))))+U285</f>
        <v>617.16000000000008</v>
      </c>
      <c r="AG285" s="154">
        <f t="shared" si="55"/>
        <v>19.77</v>
      </c>
      <c r="AH285" s="157">
        <f t="shared" si="49"/>
        <v>788.75</v>
      </c>
      <c r="AI285"/>
      <c r="AJ285" s="3"/>
      <c r="AK285" s="164"/>
      <c r="AL285" s="22"/>
      <c r="AM285" s="21"/>
      <c r="AN285" s="23"/>
      <c r="AO285" s="10"/>
      <c r="AP285" s="5" t="str">
        <f t="shared" si="56"/>
        <v/>
      </c>
      <c r="AQ285" s="7" t="str">
        <f t="shared" si="57"/>
        <v/>
      </c>
      <c r="AR285" s="8" t="str">
        <f t="shared" si="50"/>
        <v/>
      </c>
      <c r="AS285" s="31" t="str">
        <f>IF(AT285=0,"",IF(_Ijour1=0,MIN(DATE(YEAR(_DebAmort1),MONTH(_DebAmort1)+(AP285-1)*_Imois1,__Jou1),DATE(YEAR(_DebAmort1),MONTH(_DebAmort1)+1+(AP285-1)*_Imois1,0)),DATE(YEAR(_DebAmort1),MONTH(_DebAmort1),__Jou1+(AP285-1)*_Ijour1)))</f>
        <v/>
      </c>
      <c r="AT285" s="156">
        <f t="shared" si="58"/>
        <v>0</v>
      </c>
      <c r="AU285" s="153">
        <f>IF(AP285&lt;=_NoEchMaxi1,ROUND(AT285*'Données Projet 1'!H294,_NbDeci1),0)</f>
        <v>0</v>
      </c>
      <c r="AV285" s="152">
        <f>IF(OR(AP285&lt;=_Différé1,AP285&gt;_NoEchMaxi1),IF(_DiffTotal1,-AU285,0),IF(AP285&gt;=_NoEchRemb1,AT285,IF('Données Projet 1'!I294-(AU285*_EchFIXE1)&gt;AT285-2,AT285,'Données Projet 1'!I294-(AU285*_EchFIXE1))))+AK285</f>
        <v>0</v>
      </c>
      <c r="AW285" s="154">
        <f t="shared" si="59"/>
        <v>0</v>
      </c>
      <c r="AX285" s="157">
        <f t="shared" si="51"/>
        <v>0</v>
      </c>
    </row>
    <row r="286" spans="20:50" ht="15.75" customHeight="1" x14ac:dyDescent="0.3">
      <c r="T286" s="3"/>
      <c r="U286" s="164"/>
      <c r="V286" s="22"/>
      <c r="W286" s="21"/>
      <c r="X286" s="23"/>
      <c r="Y286" s="10"/>
      <c r="Z286" s="5">
        <f t="shared" si="52"/>
        <v>280</v>
      </c>
      <c r="AA286" s="7">
        <f t="shared" si="53"/>
        <v>141</v>
      </c>
      <c r="AB286" s="8">
        <f t="shared" si="48"/>
        <v>2032</v>
      </c>
      <c r="AC286" s="31">
        <f>IF(AD286=0,"",IF(_Ijour=0,MIN(DATE(YEAR(_DebAmort),MONTH(_DebAmort)+_MoisD+(Z286-1)*_Imois,_Jour2),DATE(YEAR(_DebAmort),MONTH(_DebAmort)+_MoisD+1+(Z286-1)*_Imois,0)),DATE(YEAR(_DebAmort),MONTH(_DebAmort),_Jour1+(Z286-1)*_Ijour)))</f>
        <v>48305</v>
      </c>
      <c r="AD286" s="156">
        <f t="shared" si="54"/>
        <v>97329.620000000126</v>
      </c>
      <c r="AE286" s="153">
        <f>IF(Z286&lt;=_NoEchMaxi,ROUND(AD286*'Données Projet 1'!A295,_NbDeci),0)</f>
        <v>150.86000000000001</v>
      </c>
      <c r="AF286" s="152">
        <f>IF(OR(Z286&lt;=_Différé,Z286&gt;_NoEchMaxi),IF(_DiffTotal,-AE286,0),IF(Z286&gt;=_NoEchRemb,AD286,IF('Données Projet 1'!B295-(AE286*_EchFIXE)&gt;AD286-2,AD286,'Données Projet 1'!B295-(AE286*_EchFIXE))))+U286</f>
        <v>618.12</v>
      </c>
      <c r="AG286" s="154">
        <f t="shared" si="55"/>
        <v>19.77</v>
      </c>
      <c r="AH286" s="157">
        <f t="shared" si="49"/>
        <v>788.75</v>
      </c>
      <c r="AI286"/>
      <c r="AJ286" s="3"/>
      <c r="AK286" s="164"/>
      <c r="AL286" s="22"/>
      <c r="AM286" s="21"/>
      <c r="AN286" s="23"/>
      <c r="AO286" s="10"/>
      <c r="AP286" s="5" t="str">
        <f t="shared" si="56"/>
        <v/>
      </c>
      <c r="AQ286" s="7" t="str">
        <f t="shared" si="57"/>
        <v/>
      </c>
      <c r="AR286" s="8" t="str">
        <f t="shared" si="50"/>
        <v/>
      </c>
      <c r="AS286" s="31" t="str">
        <f>IF(AT286=0,"",IF(_Ijour1=0,MIN(DATE(YEAR(_DebAmort1),MONTH(_DebAmort1)+_MoisD1+(AP286-1)*_Imois1,__Jou2),DATE(YEAR(_DebAmort1),MONTH(_DebAmort1)+_MoisD1+1+(AP286-1)*_Imois1,0)),DATE(YEAR(_DebAmort1),MONTH(_DebAmort1),__Jou1+(AP286-1)*_Ijour1)))</f>
        <v/>
      </c>
      <c r="AT286" s="156">
        <f t="shared" si="58"/>
        <v>0</v>
      </c>
      <c r="AU286" s="153">
        <f>IF(AP286&lt;=_NoEchMaxi1,ROUND(AT286*'Données Projet 1'!H295,_NbDeci1),0)</f>
        <v>0</v>
      </c>
      <c r="AV286" s="152">
        <f>IF(OR(AP286&lt;=_Différé1,AP286&gt;_NoEchMaxi1),IF(_DiffTotal1,-AU286,0),IF(AP286&gt;=_NoEchRemb1,AT286,IF('Données Projet 1'!I295-(AU286*_EchFIXE1)&gt;AT286-2,AT286,'Données Projet 1'!I295-(AU286*_EchFIXE1))))+AK286</f>
        <v>0</v>
      </c>
      <c r="AW286" s="154">
        <f t="shared" si="59"/>
        <v>0</v>
      </c>
      <c r="AX286" s="157">
        <f t="shared" si="51"/>
        <v>0</v>
      </c>
    </row>
    <row r="287" spans="20:50" ht="15.75" customHeight="1" x14ac:dyDescent="0.3">
      <c r="T287" s="3"/>
      <c r="U287" s="164"/>
      <c r="V287" s="22"/>
      <c r="W287" s="21"/>
      <c r="X287" s="23"/>
      <c r="Y287" s="10"/>
      <c r="Z287" s="5">
        <f t="shared" si="52"/>
        <v>281</v>
      </c>
      <c r="AA287" s="7">
        <f t="shared" si="53"/>
        <v>140</v>
      </c>
      <c r="AB287" s="8">
        <f t="shared" si="48"/>
        <v>2032</v>
      </c>
      <c r="AC287" s="31">
        <f>IF(AD287=0,"",IF(_Ijour=0,MIN(DATE(YEAR(_DebAmort),MONTH(_DebAmort)+(Z287-1)*_Imois,_Jour1),DATE(YEAR(_DebAmort),MONTH(_DebAmort)+1+(Z287-1)*_Imois,0)),DATE(YEAR(_DebAmort),MONTH(_DebAmort),_Jour1+(Z287-1)*_Ijour)))</f>
        <v>48335</v>
      </c>
      <c r="AD287" s="156">
        <f t="shared" si="54"/>
        <v>96711.500000000131</v>
      </c>
      <c r="AE287" s="153">
        <f>IF(Z287&lt;=_NoEchMaxi,ROUND(AD287*'Données Projet 1'!A296,_NbDeci),0)</f>
        <v>149.9</v>
      </c>
      <c r="AF287" s="152">
        <f>IF(OR(Z287&lt;=_Différé,Z287&gt;_NoEchMaxi),IF(_DiffTotal,-AE287,0),IF(Z287&gt;=_NoEchRemb,AD287,IF('Données Projet 1'!B296-(AE287*_EchFIXE)&gt;AD287-2,AD287,'Données Projet 1'!B296-(AE287*_EchFIXE))))+U287</f>
        <v>619.08000000000004</v>
      </c>
      <c r="AG287" s="154">
        <f t="shared" si="55"/>
        <v>19.77</v>
      </c>
      <c r="AH287" s="157">
        <f t="shared" si="49"/>
        <v>788.75</v>
      </c>
      <c r="AI287"/>
      <c r="AJ287" s="3"/>
      <c r="AK287" s="164"/>
      <c r="AL287" s="22"/>
      <c r="AM287" s="21"/>
      <c r="AN287" s="23"/>
      <c r="AO287" s="10"/>
      <c r="AP287" s="5" t="str">
        <f t="shared" si="56"/>
        <v/>
      </c>
      <c r="AQ287" s="7" t="str">
        <f t="shared" si="57"/>
        <v/>
      </c>
      <c r="AR287" s="8" t="str">
        <f t="shared" si="50"/>
        <v/>
      </c>
      <c r="AS287" s="31" t="str">
        <f>IF(AT287=0,"",IF(_Ijour1=0,MIN(DATE(YEAR(_DebAmort1),MONTH(_DebAmort1)+(AP287-1)*_Imois1,__Jou1),DATE(YEAR(_DebAmort1),MONTH(_DebAmort1)+1+(AP287-1)*_Imois1,0)),DATE(YEAR(_DebAmort1),MONTH(_DebAmort1),__Jou1+(AP287-1)*_Ijour1)))</f>
        <v/>
      </c>
      <c r="AT287" s="156">
        <f t="shared" si="58"/>
        <v>0</v>
      </c>
      <c r="AU287" s="153">
        <f>IF(AP287&lt;=_NoEchMaxi1,ROUND(AT287*'Données Projet 1'!H296,_NbDeci1),0)</f>
        <v>0</v>
      </c>
      <c r="AV287" s="152">
        <f>IF(OR(AP287&lt;=_Différé1,AP287&gt;_NoEchMaxi1),IF(_DiffTotal1,-AU287,0),IF(AP287&gt;=_NoEchRemb1,AT287,IF('Données Projet 1'!I296-(AU287*_EchFIXE1)&gt;AT287-2,AT287,'Données Projet 1'!I296-(AU287*_EchFIXE1))))+AK287</f>
        <v>0</v>
      </c>
      <c r="AW287" s="154">
        <f t="shared" si="59"/>
        <v>0</v>
      </c>
      <c r="AX287" s="157">
        <f t="shared" si="51"/>
        <v>0</v>
      </c>
    </row>
    <row r="288" spans="20:50" ht="15.75" customHeight="1" x14ac:dyDescent="0.3">
      <c r="T288" s="3"/>
      <c r="U288" s="164"/>
      <c r="V288" s="22"/>
      <c r="W288" s="21"/>
      <c r="X288" s="23"/>
      <c r="Y288" s="10"/>
      <c r="Z288" s="5">
        <f t="shared" si="52"/>
        <v>282</v>
      </c>
      <c r="AA288" s="7">
        <f t="shared" si="53"/>
        <v>139</v>
      </c>
      <c r="AB288" s="8">
        <f t="shared" si="48"/>
        <v>2032</v>
      </c>
      <c r="AC288" s="31">
        <f>IF(AD288=0,"",IF(_Ijour=0,MIN(DATE(YEAR(_DebAmort),MONTH(_DebAmort)+_MoisD+(Z288-1)*_Imois,_Jour2),DATE(YEAR(_DebAmort),MONTH(_DebAmort)+_MoisD+1+(Z288-1)*_Imois,0)),DATE(YEAR(_DebAmort),MONTH(_DebAmort),_Jour1+(Z288-1)*_Ijour)))</f>
        <v>48366</v>
      </c>
      <c r="AD288" s="156">
        <f t="shared" si="54"/>
        <v>96092.420000000129</v>
      </c>
      <c r="AE288" s="153">
        <f>IF(Z288&lt;=_NoEchMaxi,ROUND(AD288*'Données Projet 1'!A297,_NbDeci),0)</f>
        <v>148.94</v>
      </c>
      <c r="AF288" s="152">
        <f>IF(OR(Z288&lt;=_Différé,Z288&gt;_NoEchMaxi),IF(_DiffTotal,-AE288,0),IF(Z288&gt;=_NoEchRemb,AD288,IF('Données Projet 1'!B297-(AE288*_EchFIXE)&gt;AD288-2,AD288,'Données Projet 1'!B297-(AE288*_EchFIXE))))+U288</f>
        <v>620.04</v>
      </c>
      <c r="AG288" s="154">
        <f t="shared" si="55"/>
        <v>19.77</v>
      </c>
      <c r="AH288" s="157">
        <f t="shared" si="49"/>
        <v>788.75</v>
      </c>
      <c r="AI288"/>
      <c r="AJ288" s="3"/>
      <c r="AK288" s="164"/>
      <c r="AL288" s="22"/>
      <c r="AM288" s="21"/>
      <c r="AN288" s="23"/>
      <c r="AO288" s="10"/>
      <c r="AP288" s="5" t="str">
        <f t="shared" si="56"/>
        <v/>
      </c>
      <c r="AQ288" s="7" t="str">
        <f t="shared" si="57"/>
        <v/>
      </c>
      <c r="AR288" s="8" t="str">
        <f t="shared" si="50"/>
        <v/>
      </c>
      <c r="AS288" s="31" t="str">
        <f>IF(AT288=0,"",IF(_Ijour1=0,MIN(DATE(YEAR(_DebAmort1),MONTH(_DebAmort1)+_MoisD1+(AP288-1)*_Imois1,__Jou2),DATE(YEAR(_DebAmort1),MONTH(_DebAmort1)+_MoisD1+1+(AP288-1)*_Imois1,0)),DATE(YEAR(_DebAmort1),MONTH(_DebAmort1),__Jou1+(AP288-1)*_Ijour1)))</f>
        <v/>
      </c>
      <c r="AT288" s="156">
        <f t="shared" si="58"/>
        <v>0</v>
      </c>
      <c r="AU288" s="153">
        <f>IF(AP288&lt;=_NoEchMaxi1,ROUND(AT288*'Données Projet 1'!H297,_NbDeci1),0)</f>
        <v>0</v>
      </c>
      <c r="AV288" s="152">
        <f>IF(OR(AP288&lt;=_Différé1,AP288&gt;_NoEchMaxi1),IF(_DiffTotal1,-AU288,0),IF(AP288&gt;=_NoEchRemb1,AT288,IF('Données Projet 1'!I297-(AU288*_EchFIXE1)&gt;AT288-2,AT288,'Données Projet 1'!I297-(AU288*_EchFIXE1))))+AK288</f>
        <v>0</v>
      </c>
      <c r="AW288" s="154">
        <f t="shared" si="59"/>
        <v>0</v>
      </c>
      <c r="AX288" s="157">
        <f t="shared" si="51"/>
        <v>0</v>
      </c>
    </row>
    <row r="289" spans="20:50" ht="15.75" customHeight="1" x14ac:dyDescent="0.3">
      <c r="T289" s="3"/>
      <c r="U289" s="164"/>
      <c r="V289" s="22"/>
      <c r="W289" s="21"/>
      <c r="X289" s="23"/>
      <c r="Y289" s="10"/>
      <c r="Z289" s="5">
        <f t="shared" si="52"/>
        <v>283</v>
      </c>
      <c r="AA289" s="7">
        <f t="shared" si="53"/>
        <v>138</v>
      </c>
      <c r="AB289" s="8">
        <f t="shared" si="48"/>
        <v>2032</v>
      </c>
      <c r="AC289" s="31">
        <f>IF(AD289=0,"",IF(_Ijour=0,MIN(DATE(YEAR(_DebAmort),MONTH(_DebAmort)+(Z289-1)*_Imois,_Jour1),DATE(YEAR(_DebAmort),MONTH(_DebAmort)+1+(Z289-1)*_Imois,0)),DATE(YEAR(_DebAmort),MONTH(_DebAmort),_Jour1+(Z289-1)*_Ijour)))</f>
        <v>48396</v>
      </c>
      <c r="AD289" s="156">
        <f t="shared" si="54"/>
        <v>95472.380000000136</v>
      </c>
      <c r="AE289" s="153">
        <f>IF(Z289&lt;=_NoEchMaxi,ROUND(AD289*'Données Projet 1'!A298,_NbDeci),0)</f>
        <v>147.97999999999999</v>
      </c>
      <c r="AF289" s="152">
        <f>IF(OR(Z289&lt;=_Différé,Z289&gt;_NoEchMaxi),IF(_DiffTotal,-AE289,0),IF(Z289&gt;=_NoEchRemb,AD289,IF('Données Projet 1'!B298-(AE289*_EchFIXE)&gt;AD289-2,AD289,'Données Projet 1'!B298-(AE289*_EchFIXE))))+U289</f>
        <v>621</v>
      </c>
      <c r="AG289" s="154">
        <f t="shared" si="55"/>
        <v>19.77</v>
      </c>
      <c r="AH289" s="157">
        <f t="shared" si="49"/>
        <v>788.75</v>
      </c>
      <c r="AI289"/>
      <c r="AJ289" s="3"/>
      <c r="AK289" s="164"/>
      <c r="AL289" s="22"/>
      <c r="AM289" s="21"/>
      <c r="AN289" s="23"/>
      <c r="AO289" s="10"/>
      <c r="AP289" s="5" t="str">
        <f t="shared" si="56"/>
        <v/>
      </c>
      <c r="AQ289" s="7" t="str">
        <f t="shared" si="57"/>
        <v/>
      </c>
      <c r="AR289" s="8" t="str">
        <f t="shared" si="50"/>
        <v/>
      </c>
      <c r="AS289" s="31" t="str">
        <f>IF(AT289=0,"",IF(_Ijour1=0,MIN(DATE(YEAR(_DebAmort1),MONTH(_DebAmort1)+(AP289-1)*_Imois1,__Jou1),DATE(YEAR(_DebAmort1),MONTH(_DebAmort1)+1+(AP289-1)*_Imois1,0)),DATE(YEAR(_DebAmort1),MONTH(_DebAmort1),__Jou1+(AP289-1)*_Ijour1)))</f>
        <v/>
      </c>
      <c r="AT289" s="156">
        <f t="shared" si="58"/>
        <v>0</v>
      </c>
      <c r="AU289" s="153">
        <f>IF(AP289&lt;=_NoEchMaxi1,ROUND(AT289*'Données Projet 1'!H298,_NbDeci1),0)</f>
        <v>0</v>
      </c>
      <c r="AV289" s="152">
        <f>IF(OR(AP289&lt;=_Différé1,AP289&gt;_NoEchMaxi1),IF(_DiffTotal1,-AU289,0),IF(AP289&gt;=_NoEchRemb1,AT289,IF('Données Projet 1'!I298-(AU289*_EchFIXE1)&gt;AT289-2,AT289,'Données Projet 1'!I298-(AU289*_EchFIXE1))))+AK289</f>
        <v>0</v>
      </c>
      <c r="AW289" s="154">
        <f t="shared" si="59"/>
        <v>0</v>
      </c>
      <c r="AX289" s="157">
        <f t="shared" si="51"/>
        <v>0</v>
      </c>
    </row>
    <row r="290" spans="20:50" ht="15.75" customHeight="1" x14ac:dyDescent="0.3">
      <c r="T290" s="3"/>
      <c r="U290" s="164"/>
      <c r="V290" s="22"/>
      <c r="W290" s="21"/>
      <c r="X290" s="23"/>
      <c r="Y290" s="10"/>
      <c r="Z290" s="5">
        <f t="shared" si="52"/>
        <v>284</v>
      </c>
      <c r="AA290" s="7">
        <f t="shared" si="53"/>
        <v>137</v>
      </c>
      <c r="AB290" s="8">
        <f t="shared" si="48"/>
        <v>2032</v>
      </c>
      <c r="AC290" s="31">
        <f>IF(AD290=0,"",IF(_Ijour=0,MIN(DATE(YEAR(_DebAmort),MONTH(_DebAmort)+_MoisD+(Z290-1)*_Imois,_Jour2),DATE(YEAR(_DebAmort),MONTH(_DebAmort)+_MoisD+1+(Z290-1)*_Imois,0)),DATE(YEAR(_DebAmort),MONTH(_DebAmort),_Jour1+(Z290-1)*_Ijour)))</f>
        <v>48427</v>
      </c>
      <c r="AD290" s="156">
        <f t="shared" si="54"/>
        <v>94851.380000000136</v>
      </c>
      <c r="AE290" s="153">
        <f>IF(Z290&lt;=_NoEchMaxi,ROUND(AD290*'Données Projet 1'!A299,_NbDeci),0)</f>
        <v>147.02000000000001</v>
      </c>
      <c r="AF290" s="152">
        <f>IF(OR(Z290&lt;=_Différé,Z290&gt;_NoEchMaxi),IF(_DiffTotal,-AE290,0),IF(Z290&gt;=_NoEchRemb,AD290,IF('Données Projet 1'!B299-(AE290*_EchFIXE)&gt;AD290-2,AD290,'Données Projet 1'!B299-(AE290*_EchFIXE))))+U290</f>
        <v>621.96</v>
      </c>
      <c r="AG290" s="154">
        <f t="shared" si="55"/>
        <v>19.77</v>
      </c>
      <c r="AH290" s="157">
        <f t="shared" si="49"/>
        <v>788.75</v>
      </c>
      <c r="AI290"/>
      <c r="AJ290" s="3"/>
      <c r="AK290" s="164"/>
      <c r="AL290" s="22"/>
      <c r="AM290" s="21"/>
      <c r="AN290" s="23"/>
      <c r="AO290" s="10"/>
      <c r="AP290" s="5" t="str">
        <f t="shared" si="56"/>
        <v/>
      </c>
      <c r="AQ290" s="7" t="str">
        <f t="shared" si="57"/>
        <v/>
      </c>
      <c r="AR290" s="8" t="str">
        <f t="shared" si="50"/>
        <v/>
      </c>
      <c r="AS290" s="31" t="str">
        <f>IF(AT290=0,"",IF(_Ijour1=0,MIN(DATE(YEAR(_DebAmort1),MONTH(_DebAmort1)+_MoisD1+(AP290-1)*_Imois1,__Jou2),DATE(YEAR(_DebAmort1),MONTH(_DebAmort1)+_MoisD1+1+(AP290-1)*_Imois1,0)),DATE(YEAR(_DebAmort1),MONTH(_DebAmort1),__Jou1+(AP290-1)*_Ijour1)))</f>
        <v/>
      </c>
      <c r="AT290" s="156">
        <f t="shared" si="58"/>
        <v>0</v>
      </c>
      <c r="AU290" s="153">
        <f>IF(AP290&lt;=_NoEchMaxi1,ROUND(AT290*'Données Projet 1'!H299,_NbDeci1),0)</f>
        <v>0</v>
      </c>
      <c r="AV290" s="152">
        <f>IF(OR(AP290&lt;=_Différé1,AP290&gt;_NoEchMaxi1),IF(_DiffTotal1,-AU290,0),IF(AP290&gt;=_NoEchRemb1,AT290,IF('Données Projet 1'!I299-(AU290*_EchFIXE1)&gt;AT290-2,AT290,'Données Projet 1'!I299-(AU290*_EchFIXE1))))+AK290</f>
        <v>0</v>
      </c>
      <c r="AW290" s="154">
        <f t="shared" si="59"/>
        <v>0</v>
      </c>
      <c r="AX290" s="157">
        <f t="shared" si="51"/>
        <v>0</v>
      </c>
    </row>
    <row r="291" spans="20:50" ht="15.75" customHeight="1" x14ac:dyDescent="0.3">
      <c r="T291" s="3"/>
      <c r="U291" s="164"/>
      <c r="V291" s="22"/>
      <c r="W291" s="21"/>
      <c r="X291" s="23"/>
      <c r="Y291" s="10"/>
      <c r="Z291" s="5">
        <f t="shared" si="52"/>
        <v>285</v>
      </c>
      <c r="AA291" s="7">
        <f t="shared" si="53"/>
        <v>136</v>
      </c>
      <c r="AB291" s="8">
        <f t="shared" si="48"/>
        <v>2032</v>
      </c>
      <c r="AC291" s="31">
        <f>IF(AD291=0,"",IF(_Ijour=0,MIN(DATE(YEAR(_DebAmort),MONTH(_DebAmort)+(Z291-1)*_Imois,_Jour1),DATE(YEAR(_DebAmort),MONTH(_DebAmort)+1+(Z291-1)*_Imois,0)),DATE(YEAR(_DebAmort),MONTH(_DebAmort),_Jour1+(Z291-1)*_Ijour)))</f>
        <v>48458</v>
      </c>
      <c r="AD291" s="156">
        <f t="shared" si="54"/>
        <v>94229.420000000129</v>
      </c>
      <c r="AE291" s="153">
        <f>IF(Z291&lt;=_NoEchMaxi,ROUND(AD291*'Données Projet 1'!A300,_NbDeci),0)</f>
        <v>146.06</v>
      </c>
      <c r="AF291" s="152">
        <f>IF(OR(Z291&lt;=_Différé,Z291&gt;_NoEchMaxi),IF(_DiffTotal,-AE291,0),IF(Z291&gt;=_NoEchRemb,AD291,IF('Données Projet 1'!B300-(AE291*_EchFIXE)&gt;AD291-2,AD291,'Données Projet 1'!B300-(AE291*_EchFIXE))))+U291</f>
        <v>622.92000000000007</v>
      </c>
      <c r="AG291" s="154">
        <f t="shared" si="55"/>
        <v>19.77</v>
      </c>
      <c r="AH291" s="157">
        <f t="shared" si="49"/>
        <v>788.75</v>
      </c>
      <c r="AI291"/>
      <c r="AJ291" s="3"/>
      <c r="AK291" s="164"/>
      <c r="AL291" s="22"/>
      <c r="AM291" s="21"/>
      <c r="AN291" s="23"/>
      <c r="AO291" s="10"/>
      <c r="AP291" s="5" t="str">
        <f t="shared" si="56"/>
        <v/>
      </c>
      <c r="AQ291" s="7" t="str">
        <f t="shared" si="57"/>
        <v/>
      </c>
      <c r="AR291" s="8" t="str">
        <f t="shared" si="50"/>
        <v/>
      </c>
      <c r="AS291" s="31" t="str">
        <f>IF(AT291=0,"",IF(_Ijour1=0,MIN(DATE(YEAR(_DebAmort1),MONTH(_DebAmort1)+(AP291-1)*_Imois1,__Jou1),DATE(YEAR(_DebAmort1),MONTH(_DebAmort1)+1+(AP291-1)*_Imois1,0)),DATE(YEAR(_DebAmort1),MONTH(_DebAmort1),__Jou1+(AP291-1)*_Ijour1)))</f>
        <v/>
      </c>
      <c r="AT291" s="156">
        <f t="shared" si="58"/>
        <v>0</v>
      </c>
      <c r="AU291" s="153">
        <f>IF(AP291&lt;=_NoEchMaxi1,ROUND(AT291*'Données Projet 1'!H300,_NbDeci1),0)</f>
        <v>0</v>
      </c>
      <c r="AV291" s="152">
        <f>IF(OR(AP291&lt;=_Différé1,AP291&gt;_NoEchMaxi1),IF(_DiffTotal1,-AU291,0),IF(AP291&gt;=_NoEchRemb1,AT291,IF('Données Projet 1'!I300-(AU291*_EchFIXE1)&gt;AT291-2,AT291,'Données Projet 1'!I300-(AU291*_EchFIXE1))))+AK291</f>
        <v>0</v>
      </c>
      <c r="AW291" s="154">
        <f t="shared" si="59"/>
        <v>0</v>
      </c>
      <c r="AX291" s="157">
        <f t="shared" si="51"/>
        <v>0</v>
      </c>
    </row>
    <row r="292" spans="20:50" ht="15.75" customHeight="1" x14ac:dyDescent="0.3">
      <c r="T292" s="3"/>
      <c r="U292" s="164"/>
      <c r="V292" s="22"/>
      <c r="W292" s="21"/>
      <c r="X292" s="23"/>
      <c r="Y292" s="10"/>
      <c r="Z292" s="5">
        <f t="shared" si="52"/>
        <v>286</v>
      </c>
      <c r="AA292" s="7">
        <f t="shared" si="53"/>
        <v>135</v>
      </c>
      <c r="AB292" s="8">
        <f t="shared" si="48"/>
        <v>2032</v>
      </c>
      <c r="AC292" s="31">
        <f>IF(AD292=0,"",IF(_Ijour=0,MIN(DATE(YEAR(_DebAmort),MONTH(_DebAmort)+_MoisD+(Z292-1)*_Imois,_Jour2),DATE(YEAR(_DebAmort),MONTH(_DebAmort)+_MoisD+1+(Z292-1)*_Imois,0)),DATE(YEAR(_DebAmort),MONTH(_DebAmort),_Jour1+(Z292-1)*_Ijour)))</f>
        <v>48488</v>
      </c>
      <c r="AD292" s="156">
        <f t="shared" si="54"/>
        <v>93606.500000000131</v>
      </c>
      <c r="AE292" s="153">
        <f>IF(Z292&lt;=_NoEchMaxi,ROUND(AD292*'Données Projet 1'!A301,_NbDeci),0)</f>
        <v>145.09</v>
      </c>
      <c r="AF292" s="152">
        <f>IF(OR(Z292&lt;=_Différé,Z292&gt;_NoEchMaxi),IF(_DiffTotal,-AE292,0),IF(Z292&gt;=_NoEchRemb,AD292,IF('Données Projet 1'!B301-(AE292*_EchFIXE)&gt;AD292-2,AD292,'Données Projet 1'!B301-(AE292*_EchFIXE))))+U292</f>
        <v>623.89</v>
      </c>
      <c r="AG292" s="154">
        <f t="shared" si="55"/>
        <v>19.77</v>
      </c>
      <c r="AH292" s="157">
        <f t="shared" si="49"/>
        <v>788.75</v>
      </c>
      <c r="AI292"/>
      <c r="AJ292" s="3"/>
      <c r="AK292" s="164"/>
      <c r="AL292" s="22"/>
      <c r="AM292" s="21"/>
      <c r="AN292" s="23"/>
      <c r="AO292" s="10"/>
      <c r="AP292" s="5" t="str">
        <f t="shared" si="56"/>
        <v/>
      </c>
      <c r="AQ292" s="7" t="str">
        <f t="shared" si="57"/>
        <v/>
      </c>
      <c r="AR292" s="8" t="str">
        <f t="shared" si="50"/>
        <v/>
      </c>
      <c r="AS292" s="31" t="str">
        <f>IF(AT292=0,"",IF(_Ijour1=0,MIN(DATE(YEAR(_DebAmort1),MONTH(_DebAmort1)+_MoisD1+(AP292-1)*_Imois1,__Jou2),DATE(YEAR(_DebAmort1),MONTH(_DebAmort1)+_MoisD1+1+(AP292-1)*_Imois1,0)),DATE(YEAR(_DebAmort1),MONTH(_DebAmort1),__Jou1+(AP292-1)*_Ijour1)))</f>
        <v/>
      </c>
      <c r="AT292" s="156">
        <f t="shared" si="58"/>
        <v>0</v>
      </c>
      <c r="AU292" s="153">
        <f>IF(AP292&lt;=_NoEchMaxi1,ROUND(AT292*'Données Projet 1'!H301,_NbDeci1),0)</f>
        <v>0</v>
      </c>
      <c r="AV292" s="152">
        <f>IF(OR(AP292&lt;=_Différé1,AP292&gt;_NoEchMaxi1),IF(_DiffTotal1,-AU292,0),IF(AP292&gt;=_NoEchRemb1,AT292,IF('Données Projet 1'!I301-(AU292*_EchFIXE1)&gt;AT292-2,AT292,'Données Projet 1'!I301-(AU292*_EchFIXE1))))+AK292</f>
        <v>0</v>
      </c>
      <c r="AW292" s="154">
        <f t="shared" si="59"/>
        <v>0</v>
      </c>
      <c r="AX292" s="157">
        <f t="shared" si="51"/>
        <v>0</v>
      </c>
    </row>
    <row r="293" spans="20:50" ht="15.75" customHeight="1" x14ac:dyDescent="0.3">
      <c r="T293" s="3"/>
      <c r="U293" s="164"/>
      <c r="V293" s="22"/>
      <c r="W293" s="21"/>
      <c r="X293" s="23"/>
      <c r="Y293" s="10"/>
      <c r="Z293" s="5">
        <f t="shared" si="52"/>
        <v>287</v>
      </c>
      <c r="AA293" s="7">
        <f t="shared" si="53"/>
        <v>134</v>
      </c>
      <c r="AB293" s="8">
        <f t="shared" si="48"/>
        <v>2032</v>
      </c>
      <c r="AC293" s="31">
        <f>IF(AD293=0,"",IF(_Ijour=0,MIN(DATE(YEAR(_DebAmort),MONTH(_DebAmort)+(Z293-1)*_Imois,_Jour1),DATE(YEAR(_DebAmort),MONTH(_DebAmort)+1+(Z293-1)*_Imois,0)),DATE(YEAR(_DebAmort),MONTH(_DebAmort),_Jour1+(Z293-1)*_Ijour)))</f>
        <v>48519</v>
      </c>
      <c r="AD293" s="156">
        <f t="shared" si="54"/>
        <v>92982.610000000132</v>
      </c>
      <c r="AE293" s="153">
        <f>IF(Z293&lt;=_NoEchMaxi,ROUND(AD293*'Données Projet 1'!A302,_NbDeci),0)</f>
        <v>144.12</v>
      </c>
      <c r="AF293" s="152">
        <f>IF(OR(Z293&lt;=_Différé,Z293&gt;_NoEchMaxi),IF(_DiffTotal,-AE293,0),IF(Z293&gt;=_NoEchRemb,AD293,IF('Données Projet 1'!B302-(AE293*_EchFIXE)&gt;AD293-2,AD293,'Données Projet 1'!B302-(AE293*_EchFIXE))))+U293</f>
        <v>624.86</v>
      </c>
      <c r="AG293" s="154">
        <f t="shared" si="55"/>
        <v>19.77</v>
      </c>
      <c r="AH293" s="157">
        <f t="shared" si="49"/>
        <v>788.75</v>
      </c>
      <c r="AI293"/>
      <c r="AJ293" s="3"/>
      <c r="AK293" s="164"/>
      <c r="AL293" s="22"/>
      <c r="AM293" s="21"/>
      <c r="AN293" s="23"/>
      <c r="AO293" s="10"/>
      <c r="AP293" s="5" t="str">
        <f t="shared" si="56"/>
        <v/>
      </c>
      <c r="AQ293" s="7" t="str">
        <f t="shared" si="57"/>
        <v/>
      </c>
      <c r="AR293" s="8" t="str">
        <f t="shared" si="50"/>
        <v/>
      </c>
      <c r="AS293" s="31" t="str">
        <f>IF(AT293=0,"",IF(_Ijour1=0,MIN(DATE(YEAR(_DebAmort1),MONTH(_DebAmort1)+(AP293-1)*_Imois1,__Jou1),DATE(YEAR(_DebAmort1),MONTH(_DebAmort1)+1+(AP293-1)*_Imois1,0)),DATE(YEAR(_DebAmort1),MONTH(_DebAmort1),__Jou1+(AP293-1)*_Ijour1)))</f>
        <v/>
      </c>
      <c r="AT293" s="156">
        <f t="shared" si="58"/>
        <v>0</v>
      </c>
      <c r="AU293" s="153">
        <f>IF(AP293&lt;=_NoEchMaxi1,ROUND(AT293*'Données Projet 1'!H302,_NbDeci1),0)</f>
        <v>0</v>
      </c>
      <c r="AV293" s="152">
        <f>IF(OR(AP293&lt;=_Différé1,AP293&gt;_NoEchMaxi1),IF(_DiffTotal1,-AU293,0),IF(AP293&gt;=_NoEchRemb1,AT293,IF('Données Projet 1'!I302-(AU293*_EchFIXE1)&gt;AT293-2,AT293,'Données Projet 1'!I302-(AU293*_EchFIXE1))))+AK293</f>
        <v>0</v>
      </c>
      <c r="AW293" s="154">
        <f t="shared" si="59"/>
        <v>0</v>
      </c>
      <c r="AX293" s="157">
        <f t="shared" si="51"/>
        <v>0</v>
      </c>
    </row>
    <row r="294" spans="20:50" ht="15.75" customHeight="1" x14ac:dyDescent="0.3">
      <c r="T294" s="3"/>
      <c r="U294" s="164"/>
      <c r="V294" s="22"/>
      <c r="W294" s="21"/>
      <c r="X294" s="23"/>
      <c r="Y294" s="10"/>
      <c r="Z294" s="5">
        <f t="shared" si="52"/>
        <v>288</v>
      </c>
      <c r="AA294" s="7">
        <f t="shared" si="53"/>
        <v>133</v>
      </c>
      <c r="AB294" s="8">
        <f t="shared" si="48"/>
        <v>2032</v>
      </c>
      <c r="AC294" s="31">
        <f>IF(AD294=0,"",IF(_Ijour=0,MIN(DATE(YEAR(_DebAmort),MONTH(_DebAmort)+_MoisD+(Z294-1)*_Imois,_Jour2),DATE(YEAR(_DebAmort),MONTH(_DebAmort)+_MoisD+1+(Z294-1)*_Imois,0)),DATE(YEAR(_DebAmort),MONTH(_DebAmort),_Jour1+(Z294-1)*_Ijour)))</f>
        <v>48549</v>
      </c>
      <c r="AD294" s="156">
        <f t="shared" si="54"/>
        <v>92357.750000000131</v>
      </c>
      <c r="AE294" s="153">
        <f>IF(Z294&lt;=_NoEchMaxi,ROUND(AD294*'Données Projet 1'!A303,_NbDeci),0)</f>
        <v>143.15</v>
      </c>
      <c r="AF294" s="152">
        <f>IF(OR(Z294&lt;=_Différé,Z294&gt;_NoEchMaxi),IF(_DiffTotal,-AE294,0),IF(Z294&gt;=_NoEchRemb,AD294,IF('Données Projet 1'!B303-(AE294*_EchFIXE)&gt;AD294-2,AD294,'Données Projet 1'!B303-(AE294*_EchFIXE))))+U294</f>
        <v>625.83000000000004</v>
      </c>
      <c r="AG294" s="154">
        <f t="shared" si="55"/>
        <v>19.77</v>
      </c>
      <c r="AH294" s="157">
        <f t="shared" si="49"/>
        <v>788.75</v>
      </c>
      <c r="AI294"/>
      <c r="AJ294" s="3"/>
      <c r="AK294" s="164"/>
      <c r="AL294" s="22"/>
      <c r="AM294" s="21"/>
      <c r="AN294" s="23"/>
      <c r="AO294" s="10"/>
      <c r="AP294" s="5" t="str">
        <f t="shared" si="56"/>
        <v/>
      </c>
      <c r="AQ294" s="7" t="str">
        <f t="shared" si="57"/>
        <v/>
      </c>
      <c r="AR294" s="8" t="str">
        <f t="shared" si="50"/>
        <v/>
      </c>
      <c r="AS294" s="31" t="str">
        <f>IF(AT294=0,"",IF(_Ijour1=0,MIN(DATE(YEAR(_DebAmort1),MONTH(_DebAmort1)+_MoisD1+(AP294-1)*_Imois1,__Jou2),DATE(YEAR(_DebAmort1),MONTH(_DebAmort1)+_MoisD1+1+(AP294-1)*_Imois1,0)),DATE(YEAR(_DebAmort1),MONTH(_DebAmort1),__Jou1+(AP294-1)*_Ijour1)))</f>
        <v/>
      </c>
      <c r="AT294" s="156">
        <f t="shared" si="58"/>
        <v>0</v>
      </c>
      <c r="AU294" s="153">
        <f>IF(AP294&lt;=_NoEchMaxi1,ROUND(AT294*'Données Projet 1'!H303,_NbDeci1),0)</f>
        <v>0</v>
      </c>
      <c r="AV294" s="152">
        <f>IF(OR(AP294&lt;=_Différé1,AP294&gt;_NoEchMaxi1),IF(_DiffTotal1,-AU294,0),IF(AP294&gt;=_NoEchRemb1,AT294,IF('Données Projet 1'!I303-(AU294*_EchFIXE1)&gt;AT294-2,AT294,'Données Projet 1'!I303-(AU294*_EchFIXE1))))+AK294</f>
        <v>0</v>
      </c>
      <c r="AW294" s="154">
        <f t="shared" si="59"/>
        <v>0</v>
      </c>
      <c r="AX294" s="157">
        <f t="shared" si="51"/>
        <v>0</v>
      </c>
    </row>
    <row r="295" spans="20:50" ht="15.75" customHeight="1" x14ac:dyDescent="0.3">
      <c r="T295" s="3"/>
      <c r="U295" s="164"/>
      <c r="V295" s="22"/>
      <c r="W295" s="21"/>
      <c r="X295" s="23"/>
      <c r="Y295" s="10"/>
      <c r="Z295" s="5">
        <f t="shared" si="52"/>
        <v>289</v>
      </c>
      <c r="AA295" s="7">
        <f t="shared" si="53"/>
        <v>132</v>
      </c>
      <c r="AB295" s="8">
        <f t="shared" si="48"/>
        <v>2033</v>
      </c>
      <c r="AC295" s="31">
        <f>IF(AD295=0,"",IF(_Ijour=0,MIN(DATE(YEAR(_DebAmort),MONTH(_DebAmort)+(Z295-1)*_Imois,_Jour1),DATE(YEAR(_DebAmort),MONTH(_DebAmort)+1+(Z295-1)*_Imois,0)),DATE(YEAR(_DebAmort),MONTH(_DebAmort),_Jour1+(Z295-1)*_Ijour)))</f>
        <v>48580</v>
      </c>
      <c r="AD295" s="156">
        <f t="shared" si="54"/>
        <v>91731.920000000129</v>
      </c>
      <c r="AE295" s="153">
        <f>IF(Z295&lt;=_NoEchMaxi,ROUND(AD295*'Données Projet 1'!A304,_NbDeci),0)</f>
        <v>142.18</v>
      </c>
      <c r="AF295" s="152">
        <f>IF(OR(Z295&lt;=_Différé,Z295&gt;_NoEchMaxi),IF(_DiffTotal,-AE295,0),IF(Z295&gt;=_NoEchRemb,AD295,IF('Données Projet 1'!B304-(AE295*_EchFIXE)&gt;AD295-2,AD295,'Données Projet 1'!B304-(AE295*_EchFIXE))))+U295</f>
        <v>626.79999999999995</v>
      </c>
      <c r="AG295" s="154">
        <f t="shared" si="55"/>
        <v>19.77</v>
      </c>
      <c r="AH295" s="157">
        <f t="shared" si="49"/>
        <v>788.75</v>
      </c>
      <c r="AI295"/>
      <c r="AJ295" s="3"/>
      <c r="AK295" s="164"/>
      <c r="AL295" s="22"/>
      <c r="AM295" s="21"/>
      <c r="AN295" s="23"/>
      <c r="AO295" s="10"/>
      <c r="AP295" s="5" t="str">
        <f t="shared" si="56"/>
        <v/>
      </c>
      <c r="AQ295" s="7" t="str">
        <f t="shared" si="57"/>
        <v/>
      </c>
      <c r="AR295" s="8" t="str">
        <f t="shared" si="50"/>
        <v/>
      </c>
      <c r="AS295" s="31" t="str">
        <f>IF(AT295=0,"",IF(_Ijour1=0,MIN(DATE(YEAR(_DebAmort1),MONTH(_DebAmort1)+(AP295-1)*_Imois1,__Jou1),DATE(YEAR(_DebAmort1),MONTH(_DebAmort1)+1+(AP295-1)*_Imois1,0)),DATE(YEAR(_DebAmort1),MONTH(_DebAmort1),__Jou1+(AP295-1)*_Ijour1)))</f>
        <v/>
      </c>
      <c r="AT295" s="156">
        <f t="shared" si="58"/>
        <v>0</v>
      </c>
      <c r="AU295" s="153">
        <f>IF(AP295&lt;=_NoEchMaxi1,ROUND(AT295*'Données Projet 1'!H304,_NbDeci1),0)</f>
        <v>0</v>
      </c>
      <c r="AV295" s="152">
        <f>IF(OR(AP295&lt;=_Différé1,AP295&gt;_NoEchMaxi1),IF(_DiffTotal1,-AU295,0),IF(AP295&gt;=_NoEchRemb1,AT295,IF('Données Projet 1'!I304-(AU295*_EchFIXE1)&gt;AT295-2,AT295,'Données Projet 1'!I304-(AU295*_EchFIXE1))))+AK295</f>
        <v>0</v>
      </c>
      <c r="AW295" s="154">
        <f t="shared" si="59"/>
        <v>0</v>
      </c>
      <c r="AX295" s="157">
        <f t="shared" si="51"/>
        <v>0</v>
      </c>
    </row>
    <row r="296" spans="20:50" ht="15.75" customHeight="1" x14ac:dyDescent="0.3">
      <c r="T296" s="3"/>
      <c r="U296" s="164"/>
      <c r="V296" s="22"/>
      <c r="W296" s="21"/>
      <c r="X296" s="23"/>
      <c r="Y296" s="10"/>
      <c r="Z296" s="5">
        <f t="shared" si="52"/>
        <v>290</v>
      </c>
      <c r="AA296" s="7">
        <f t="shared" si="53"/>
        <v>131</v>
      </c>
      <c r="AB296" s="8">
        <f t="shared" si="48"/>
        <v>2033</v>
      </c>
      <c r="AC296" s="31">
        <f>IF(AD296=0,"",IF(_Ijour=0,MIN(DATE(YEAR(_DebAmort),MONTH(_DebAmort)+_MoisD+(Z296-1)*_Imois,_Jour2),DATE(YEAR(_DebAmort),MONTH(_DebAmort)+_MoisD+1+(Z296-1)*_Imois,0)),DATE(YEAR(_DebAmort),MONTH(_DebAmort),_Jour1+(Z296-1)*_Ijour)))</f>
        <v>48611</v>
      </c>
      <c r="AD296" s="156">
        <f t="shared" si="54"/>
        <v>91105.120000000126</v>
      </c>
      <c r="AE296" s="153">
        <f>IF(Z296&lt;=_NoEchMaxi,ROUND(AD296*'Données Projet 1'!A305,_NbDeci),0)</f>
        <v>141.21</v>
      </c>
      <c r="AF296" s="152">
        <f>IF(OR(Z296&lt;=_Différé,Z296&gt;_NoEchMaxi),IF(_DiffTotal,-AE296,0),IF(Z296&gt;=_NoEchRemb,AD296,IF('Données Projet 1'!B305-(AE296*_EchFIXE)&gt;AD296-2,AD296,'Données Projet 1'!B305-(AE296*_EchFIXE))))+U296</f>
        <v>627.77</v>
      </c>
      <c r="AG296" s="154">
        <f t="shared" si="55"/>
        <v>19.77</v>
      </c>
      <c r="AH296" s="157">
        <f t="shared" si="49"/>
        <v>788.75</v>
      </c>
      <c r="AI296"/>
      <c r="AJ296" s="3"/>
      <c r="AK296" s="164"/>
      <c r="AL296" s="22"/>
      <c r="AM296" s="21"/>
      <c r="AN296" s="23"/>
      <c r="AO296" s="10"/>
      <c r="AP296" s="5" t="str">
        <f t="shared" si="56"/>
        <v/>
      </c>
      <c r="AQ296" s="7" t="str">
        <f t="shared" si="57"/>
        <v/>
      </c>
      <c r="AR296" s="8" t="str">
        <f t="shared" si="50"/>
        <v/>
      </c>
      <c r="AS296" s="31" t="str">
        <f>IF(AT296=0,"",IF(_Ijour1=0,MIN(DATE(YEAR(_DebAmort1),MONTH(_DebAmort1)+_MoisD1+(AP296-1)*_Imois1,__Jou2),DATE(YEAR(_DebAmort1),MONTH(_DebAmort1)+_MoisD1+1+(AP296-1)*_Imois1,0)),DATE(YEAR(_DebAmort1),MONTH(_DebAmort1),__Jou1+(AP296-1)*_Ijour1)))</f>
        <v/>
      </c>
      <c r="AT296" s="156">
        <f t="shared" si="58"/>
        <v>0</v>
      </c>
      <c r="AU296" s="153">
        <f>IF(AP296&lt;=_NoEchMaxi1,ROUND(AT296*'Données Projet 1'!H305,_NbDeci1),0)</f>
        <v>0</v>
      </c>
      <c r="AV296" s="152">
        <f>IF(OR(AP296&lt;=_Différé1,AP296&gt;_NoEchMaxi1),IF(_DiffTotal1,-AU296,0),IF(AP296&gt;=_NoEchRemb1,AT296,IF('Données Projet 1'!I305-(AU296*_EchFIXE1)&gt;AT296-2,AT296,'Données Projet 1'!I305-(AU296*_EchFIXE1))))+AK296</f>
        <v>0</v>
      </c>
      <c r="AW296" s="154">
        <f t="shared" si="59"/>
        <v>0</v>
      </c>
      <c r="AX296" s="157">
        <f t="shared" si="51"/>
        <v>0</v>
      </c>
    </row>
    <row r="297" spans="20:50" ht="15.75" customHeight="1" x14ac:dyDescent="0.3">
      <c r="T297" s="3"/>
      <c r="U297" s="164"/>
      <c r="V297" s="22"/>
      <c r="W297" s="21"/>
      <c r="X297" s="23"/>
      <c r="Y297" s="10"/>
      <c r="Z297" s="5">
        <f t="shared" si="52"/>
        <v>291</v>
      </c>
      <c r="AA297" s="7">
        <f t="shared" si="53"/>
        <v>130</v>
      </c>
      <c r="AB297" s="8">
        <f t="shared" si="48"/>
        <v>2033</v>
      </c>
      <c r="AC297" s="31">
        <f>IF(AD297=0,"",IF(_Ijour=0,MIN(DATE(YEAR(_DebAmort),MONTH(_DebAmort)+(Z297-1)*_Imois,_Jour1),DATE(YEAR(_DebAmort),MONTH(_DebAmort)+1+(Z297-1)*_Imois,0)),DATE(YEAR(_DebAmort),MONTH(_DebAmort),_Jour1+(Z297-1)*_Ijour)))</f>
        <v>48639</v>
      </c>
      <c r="AD297" s="156">
        <f t="shared" si="54"/>
        <v>90477.350000000122</v>
      </c>
      <c r="AE297" s="153">
        <f>IF(Z297&lt;=_NoEchMaxi,ROUND(AD297*'Données Projet 1'!A306,_NbDeci),0)</f>
        <v>140.24</v>
      </c>
      <c r="AF297" s="152">
        <f>IF(OR(Z297&lt;=_Différé,Z297&gt;_NoEchMaxi),IF(_DiffTotal,-AE297,0),IF(Z297&gt;=_NoEchRemb,AD297,IF('Données Projet 1'!B306-(AE297*_EchFIXE)&gt;AD297-2,AD297,'Données Projet 1'!B306-(AE297*_EchFIXE))))+U297</f>
        <v>628.74</v>
      </c>
      <c r="AG297" s="154">
        <f t="shared" si="55"/>
        <v>19.77</v>
      </c>
      <c r="AH297" s="157">
        <f t="shared" si="49"/>
        <v>788.75</v>
      </c>
      <c r="AI297"/>
      <c r="AJ297" s="3"/>
      <c r="AK297" s="164"/>
      <c r="AL297" s="22"/>
      <c r="AM297" s="21"/>
      <c r="AN297" s="23"/>
      <c r="AO297" s="10"/>
      <c r="AP297" s="5" t="str">
        <f t="shared" si="56"/>
        <v/>
      </c>
      <c r="AQ297" s="7" t="str">
        <f t="shared" si="57"/>
        <v/>
      </c>
      <c r="AR297" s="8" t="str">
        <f t="shared" si="50"/>
        <v/>
      </c>
      <c r="AS297" s="31" t="str">
        <f>IF(AT297=0,"",IF(_Ijour1=0,MIN(DATE(YEAR(_DebAmort1),MONTH(_DebAmort1)+(AP297-1)*_Imois1,__Jou1),DATE(YEAR(_DebAmort1),MONTH(_DebAmort1)+1+(AP297-1)*_Imois1,0)),DATE(YEAR(_DebAmort1),MONTH(_DebAmort1),__Jou1+(AP297-1)*_Ijour1)))</f>
        <v/>
      </c>
      <c r="AT297" s="156">
        <f t="shared" si="58"/>
        <v>0</v>
      </c>
      <c r="AU297" s="153">
        <f>IF(AP297&lt;=_NoEchMaxi1,ROUND(AT297*'Données Projet 1'!H306,_NbDeci1),0)</f>
        <v>0</v>
      </c>
      <c r="AV297" s="152">
        <f>IF(OR(AP297&lt;=_Différé1,AP297&gt;_NoEchMaxi1),IF(_DiffTotal1,-AU297,0),IF(AP297&gt;=_NoEchRemb1,AT297,IF('Données Projet 1'!I306-(AU297*_EchFIXE1)&gt;AT297-2,AT297,'Données Projet 1'!I306-(AU297*_EchFIXE1))))+AK297</f>
        <v>0</v>
      </c>
      <c r="AW297" s="154">
        <f t="shared" si="59"/>
        <v>0</v>
      </c>
      <c r="AX297" s="157">
        <f t="shared" si="51"/>
        <v>0</v>
      </c>
    </row>
    <row r="298" spans="20:50" ht="15.75" customHeight="1" x14ac:dyDescent="0.3">
      <c r="T298" s="3"/>
      <c r="U298" s="164"/>
      <c r="V298" s="22"/>
      <c r="W298" s="21"/>
      <c r="X298" s="23"/>
      <c r="Y298" s="10"/>
      <c r="Z298" s="5">
        <f t="shared" si="52"/>
        <v>292</v>
      </c>
      <c r="AA298" s="7">
        <f t="shared" si="53"/>
        <v>129</v>
      </c>
      <c r="AB298" s="8">
        <f t="shared" si="48"/>
        <v>2033</v>
      </c>
      <c r="AC298" s="31">
        <f>IF(AD298=0,"",IF(_Ijour=0,MIN(DATE(YEAR(_DebAmort),MONTH(_DebAmort)+_MoisD+(Z298-1)*_Imois,_Jour2),DATE(YEAR(_DebAmort),MONTH(_DebAmort)+_MoisD+1+(Z298-1)*_Imois,0)),DATE(YEAR(_DebAmort),MONTH(_DebAmort),_Jour1+(Z298-1)*_Ijour)))</f>
        <v>48670</v>
      </c>
      <c r="AD298" s="156">
        <f t="shared" si="54"/>
        <v>89848.610000000117</v>
      </c>
      <c r="AE298" s="153">
        <f>IF(Z298&lt;=_NoEchMaxi,ROUND(AD298*'Données Projet 1'!A307,_NbDeci),0)</f>
        <v>139.27000000000001</v>
      </c>
      <c r="AF298" s="152">
        <f>IF(OR(Z298&lt;=_Différé,Z298&gt;_NoEchMaxi),IF(_DiffTotal,-AE298,0),IF(Z298&gt;=_NoEchRemb,AD298,IF('Données Projet 1'!B307-(AE298*_EchFIXE)&gt;AD298-2,AD298,'Données Projet 1'!B307-(AE298*_EchFIXE))))+U298</f>
        <v>629.71</v>
      </c>
      <c r="AG298" s="154">
        <f t="shared" si="55"/>
        <v>19.77</v>
      </c>
      <c r="AH298" s="157">
        <f t="shared" si="49"/>
        <v>788.75</v>
      </c>
      <c r="AI298"/>
      <c r="AJ298" s="3"/>
      <c r="AK298" s="164"/>
      <c r="AL298" s="22"/>
      <c r="AM298" s="21"/>
      <c r="AN298" s="23"/>
      <c r="AO298" s="10"/>
      <c r="AP298" s="5" t="str">
        <f t="shared" si="56"/>
        <v/>
      </c>
      <c r="AQ298" s="7" t="str">
        <f t="shared" si="57"/>
        <v/>
      </c>
      <c r="AR298" s="8" t="str">
        <f t="shared" si="50"/>
        <v/>
      </c>
      <c r="AS298" s="31" t="str">
        <f>IF(AT298=0,"",IF(_Ijour1=0,MIN(DATE(YEAR(_DebAmort1),MONTH(_DebAmort1)+_MoisD1+(AP298-1)*_Imois1,__Jou2),DATE(YEAR(_DebAmort1),MONTH(_DebAmort1)+_MoisD1+1+(AP298-1)*_Imois1,0)),DATE(YEAR(_DebAmort1),MONTH(_DebAmort1),__Jou1+(AP298-1)*_Ijour1)))</f>
        <v/>
      </c>
      <c r="AT298" s="156">
        <f t="shared" si="58"/>
        <v>0</v>
      </c>
      <c r="AU298" s="153">
        <f>IF(AP298&lt;=_NoEchMaxi1,ROUND(AT298*'Données Projet 1'!H307,_NbDeci1),0)</f>
        <v>0</v>
      </c>
      <c r="AV298" s="152">
        <f>IF(OR(AP298&lt;=_Différé1,AP298&gt;_NoEchMaxi1),IF(_DiffTotal1,-AU298,0),IF(AP298&gt;=_NoEchRemb1,AT298,IF('Données Projet 1'!I307-(AU298*_EchFIXE1)&gt;AT298-2,AT298,'Données Projet 1'!I307-(AU298*_EchFIXE1))))+AK298</f>
        <v>0</v>
      </c>
      <c r="AW298" s="154">
        <f t="shared" si="59"/>
        <v>0</v>
      </c>
      <c r="AX298" s="157">
        <f t="shared" si="51"/>
        <v>0</v>
      </c>
    </row>
    <row r="299" spans="20:50" ht="15.75" customHeight="1" x14ac:dyDescent="0.3">
      <c r="T299" s="3"/>
      <c r="U299" s="164"/>
      <c r="V299" s="22"/>
      <c r="W299" s="21"/>
      <c r="X299" s="23"/>
      <c r="Y299" s="10"/>
      <c r="Z299" s="5">
        <f t="shared" si="52"/>
        <v>293</v>
      </c>
      <c r="AA299" s="7">
        <f t="shared" si="53"/>
        <v>128</v>
      </c>
      <c r="AB299" s="8">
        <f t="shared" si="48"/>
        <v>2033</v>
      </c>
      <c r="AC299" s="31">
        <f>IF(AD299=0,"",IF(_Ijour=0,MIN(DATE(YEAR(_DebAmort),MONTH(_DebAmort)+(Z299-1)*_Imois,_Jour1),DATE(YEAR(_DebAmort),MONTH(_DebAmort)+1+(Z299-1)*_Imois,0)),DATE(YEAR(_DebAmort),MONTH(_DebAmort),_Jour1+(Z299-1)*_Ijour)))</f>
        <v>48700</v>
      </c>
      <c r="AD299" s="156">
        <f t="shared" si="54"/>
        <v>89218.900000000111</v>
      </c>
      <c r="AE299" s="153">
        <f>IF(Z299&lt;=_NoEchMaxi,ROUND(AD299*'Données Projet 1'!A308,_NbDeci),0)</f>
        <v>138.29</v>
      </c>
      <c r="AF299" s="152">
        <f>IF(OR(Z299&lt;=_Différé,Z299&gt;_NoEchMaxi),IF(_DiffTotal,-AE299,0),IF(Z299&gt;=_NoEchRemb,AD299,IF('Données Projet 1'!B308-(AE299*_EchFIXE)&gt;AD299-2,AD299,'Données Projet 1'!B308-(AE299*_EchFIXE))))+U299</f>
        <v>630.69000000000005</v>
      </c>
      <c r="AG299" s="154">
        <f t="shared" si="55"/>
        <v>19.77</v>
      </c>
      <c r="AH299" s="157">
        <f t="shared" si="49"/>
        <v>788.75</v>
      </c>
      <c r="AI299"/>
      <c r="AJ299" s="3"/>
      <c r="AK299" s="164"/>
      <c r="AL299" s="22"/>
      <c r="AM299" s="21"/>
      <c r="AN299" s="23"/>
      <c r="AO299" s="10"/>
      <c r="AP299" s="5" t="str">
        <f t="shared" si="56"/>
        <v/>
      </c>
      <c r="AQ299" s="7" t="str">
        <f t="shared" si="57"/>
        <v/>
      </c>
      <c r="AR299" s="8" t="str">
        <f t="shared" si="50"/>
        <v/>
      </c>
      <c r="AS299" s="31" t="str">
        <f>IF(AT299=0,"",IF(_Ijour1=0,MIN(DATE(YEAR(_DebAmort1),MONTH(_DebAmort1)+(AP299-1)*_Imois1,__Jou1),DATE(YEAR(_DebAmort1),MONTH(_DebAmort1)+1+(AP299-1)*_Imois1,0)),DATE(YEAR(_DebAmort1),MONTH(_DebAmort1),__Jou1+(AP299-1)*_Ijour1)))</f>
        <v/>
      </c>
      <c r="AT299" s="156">
        <f t="shared" si="58"/>
        <v>0</v>
      </c>
      <c r="AU299" s="153">
        <f>IF(AP299&lt;=_NoEchMaxi1,ROUND(AT299*'Données Projet 1'!H308,_NbDeci1),0)</f>
        <v>0</v>
      </c>
      <c r="AV299" s="152">
        <f>IF(OR(AP299&lt;=_Différé1,AP299&gt;_NoEchMaxi1),IF(_DiffTotal1,-AU299,0),IF(AP299&gt;=_NoEchRemb1,AT299,IF('Données Projet 1'!I308-(AU299*_EchFIXE1)&gt;AT299-2,AT299,'Données Projet 1'!I308-(AU299*_EchFIXE1))))+AK299</f>
        <v>0</v>
      </c>
      <c r="AW299" s="154">
        <f t="shared" si="59"/>
        <v>0</v>
      </c>
      <c r="AX299" s="157">
        <f t="shared" si="51"/>
        <v>0</v>
      </c>
    </row>
    <row r="300" spans="20:50" ht="15.75" customHeight="1" x14ac:dyDescent="0.3">
      <c r="T300" s="3"/>
      <c r="U300" s="164"/>
      <c r="V300" s="22"/>
      <c r="W300" s="21"/>
      <c r="X300" s="23"/>
      <c r="Y300" s="10"/>
      <c r="Z300" s="5">
        <f t="shared" si="52"/>
        <v>294</v>
      </c>
      <c r="AA300" s="7">
        <f t="shared" si="53"/>
        <v>127</v>
      </c>
      <c r="AB300" s="8">
        <f t="shared" si="48"/>
        <v>2033</v>
      </c>
      <c r="AC300" s="31">
        <f>IF(AD300=0,"",IF(_Ijour=0,MIN(DATE(YEAR(_DebAmort),MONTH(_DebAmort)+_MoisD+(Z300-1)*_Imois,_Jour2),DATE(YEAR(_DebAmort),MONTH(_DebAmort)+_MoisD+1+(Z300-1)*_Imois,0)),DATE(YEAR(_DebAmort),MONTH(_DebAmort),_Jour1+(Z300-1)*_Ijour)))</f>
        <v>48731</v>
      </c>
      <c r="AD300" s="156">
        <f t="shared" si="54"/>
        <v>88588.210000000108</v>
      </c>
      <c r="AE300" s="153">
        <f>IF(Z300&lt;=_NoEchMaxi,ROUND(AD300*'Données Projet 1'!A309,_NbDeci),0)</f>
        <v>137.31</v>
      </c>
      <c r="AF300" s="152">
        <f>IF(OR(Z300&lt;=_Différé,Z300&gt;_NoEchMaxi),IF(_DiffTotal,-AE300,0),IF(Z300&gt;=_NoEchRemb,AD300,IF('Données Projet 1'!B309-(AE300*_EchFIXE)&gt;AD300-2,AD300,'Données Projet 1'!B309-(AE300*_EchFIXE))))+U300</f>
        <v>631.67000000000007</v>
      </c>
      <c r="AG300" s="154">
        <f t="shared" si="55"/>
        <v>19.77</v>
      </c>
      <c r="AH300" s="157">
        <f t="shared" si="49"/>
        <v>788.75</v>
      </c>
      <c r="AI300"/>
      <c r="AJ300" s="3"/>
      <c r="AK300" s="164"/>
      <c r="AL300" s="22"/>
      <c r="AM300" s="21"/>
      <c r="AN300" s="23"/>
      <c r="AO300" s="10"/>
      <c r="AP300" s="5" t="str">
        <f t="shared" si="56"/>
        <v/>
      </c>
      <c r="AQ300" s="7" t="str">
        <f t="shared" si="57"/>
        <v/>
      </c>
      <c r="AR300" s="8" t="str">
        <f t="shared" si="50"/>
        <v/>
      </c>
      <c r="AS300" s="31" t="str">
        <f>IF(AT300=0,"",IF(_Ijour1=0,MIN(DATE(YEAR(_DebAmort1),MONTH(_DebAmort1)+_MoisD1+(AP300-1)*_Imois1,__Jou2),DATE(YEAR(_DebAmort1),MONTH(_DebAmort1)+_MoisD1+1+(AP300-1)*_Imois1,0)),DATE(YEAR(_DebAmort1),MONTH(_DebAmort1),__Jou1+(AP300-1)*_Ijour1)))</f>
        <v/>
      </c>
      <c r="AT300" s="156">
        <f t="shared" si="58"/>
        <v>0</v>
      </c>
      <c r="AU300" s="153">
        <f>IF(AP300&lt;=_NoEchMaxi1,ROUND(AT300*'Données Projet 1'!H309,_NbDeci1),0)</f>
        <v>0</v>
      </c>
      <c r="AV300" s="152">
        <f>IF(OR(AP300&lt;=_Différé1,AP300&gt;_NoEchMaxi1),IF(_DiffTotal1,-AU300,0),IF(AP300&gt;=_NoEchRemb1,AT300,IF('Données Projet 1'!I309-(AU300*_EchFIXE1)&gt;AT300-2,AT300,'Données Projet 1'!I309-(AU300*_EchFIXE1))))+AK300</f>
        <v>0</v>
      </c>
      <c r="AW300" s="154">
        <f t="shared" si="59"/>
        <v>0</v>
      </c>
      <c r="AX300" s="157">
        <f t="shared" si="51"/>
        <v>0</v>
      </c>
    </row>
    <row r="301" spans="20:50" ht="15.75" customHeight="1" x14ac:dyDescent="0.3">
      <c r="T301" s="3"/>
      <c r="U301" s="164"/>
      <c r="V301" s="22"/>
      <c r="W301" s="21"/>
      <c r="X301" s="23"/>
      <c r="Y301" s="10"/>
      <c r="Z301" s="5">
        <f t="shared" si="52"/>
        <v>295</v>
      </c>
      <c r="AA301" s="7">
        <f t="shared" si="53"/>
        <v>126</v>
      </c>
      <c r="AB301" s="8">
        <f t="shared" si="48"/>
        <v>2033</v>
      </c>
      <c r="AC301" s="31">
        <f>IF(AD301=0,"",IF(_Ijour=0,MIN(DATE(YEAR(_DebAmort),MONTH(_DebAmort)+(Z301-1)*_Imois,_Jour1),DATE(YEAR(_DebAmort),MONTH(_DebAmort)+1+(Z301-1)*_Imois,0)),DATE(YEAR(_DebAmort),MONTH(_DebAmort),_Jour1+(Z301-1)*_Ijour)))</f>
        <v>48761</v>
      </c>
      <c r="AD301" s="156">
        <f t="shared" si="54"/>
        <v>87956.54000000011</v>
      </c>
      <c r="AE301" s="153">
        <f>IF(Z301&lt;=_NoEchMaxi,ROUND(AD301*'Données Projet 1'!A310,_NbDeci),0)</f>
        <v>136.33000000000001</v>
      </c>
      <c r="AF301" s="152">
        <f>IF(OR(Z301&lt;=_Différé,Z301&gt;_NoEchMaxi),IF(_DiffTotal,-AE301,0),IF(Z301&gt;=_NoEchRemb,AD301,IF('Données Projet 1'!B310-(AE301*_EchFIXE)&gt;AD301-2,AD301,'Données Projet 1'!B310-(AE301*_EchFIXE))))+U301</f>
        <v>632.65</v>
      </c>
      <c r="AG301" s="154">
        <f t="shared" si="55"/>
        <v>19.77</v>
      </c>
      <c r="AH301" s="157">
        <f t="shared" si="49"/>
        <v>788.75</v>
      </c>
      <c r="AI301"/>
      <c r="AJ301" s="3"/>
      <c r="AK301" s="164"/>
      <c r="AL301" s="22"/>
      <c r="AM301" s="21"/>
      <c r="AN301" s="23"/>
      <c r="AO301" s="10"/>
      <c r="AP301" s="5" t="str">
        <f t="shared" si="56"/>
        <v/>
      </c>
      <c r="AQ301" s="7" t="str">
        <f t="shared" si="57"/>
        <v/>
      </c>
      <c r="AR301" s="8" t="str">
        <f t="shared" si="50"/>
        <v/>
      </c>
      <c r="AS301" s="31" t="str">
        <f>IF(AT301=0,"",IF(_Ijour1=0,MIN(DATE(YEAR(_DebAmort1),MONTH(_DebAmort1)+(AP301-1)*_Imois1,__Jou1),DATE(YEAR(_DebAmort1),MONTH(_DebAmort1)+1+(AP301-1)*_Imois1,0)),DATE(YEAR(_DebAmort1),MONTH(_DebAmort1),__Jou1+(AP301-1)*_Ijour1)))</f>
        <v/>
      </c>
      <c r="AT301" s="156">
        <f t="shared" si="58"/>
        <v>0</v>
      </c>
      <c r="AU301" s="153">
        <f>IF(AP301&lt;=_NoEchMaxi1,ROUND(AT301*'Données Projet 1'!H310,_NbDeci1),0)</f>
        <v>0</v>
      </c>
      <c r="AV301" s="152">
        <f>IF(OR(AP301&lt;=_Différé1,AP301&gt;_NoEchMaxi1),IF(_DiffTotal1,-AU301,0),IF(AP301&gt;=_NoEchRemb1,AT301,IF('Données Projet 1'!I310-(AU301*_EchFIXE1)&gt;AT301-2,AT301,'Données Projet 1'!I310-(AU301*_EchFIXE1))))+AK301</f>
        <v>0</v>
      </c>
      <c r="AW301" s="154">
        <f t="shared" si="59"/>
        <v>0</v>
      </c>
      <c r="AX301" s="157">
        <f t="shared" si="51"/>
        <v>0</v>
      </c>
    </row>
    <row r="302" spans="20:50" ht="15.75" customHeight="1" x14ac:dyDescent="0.3">
      <c r="T302" s="3"/>
      <c r="U302" s="164"/>
      <c r="V302" s="22"/>
      <c r="W302" s="21"/>
      <c r="X302" s="23"/>
      <c r="Y302" s="10"/>
      <c r="Z302" s="5">
        <f t="shared" si="52"/>
        <v>296</v>
      </c>
      <c r="AA302" s="7">
        <f t="shared" si="53"/>
        <v>125</v>
      </c>
      <c r="AB302" s="8">
        <f t="shared" si="48"/>
        <v>2033</v>
      </c>
      <c r="AC302" s="31">
        <f>IF(AD302=0,"",IF(_Ijour=0,MIN(DATE(YEAR(_DebAmort),MONTH(_DebAmort)+_MoisD+(Z302-1)*_Imois,_Jour2),DATE(YEAR(_DebAmort),MONTH(_DebAmort)+_MoisD+1+(Z302-1)*_Imois,0)),DATE(YEAR(_DebAmort),MONTH(_DebAmort),_Jour1+(Z302-1)*_Ijour)))</f>
        <v>48792</v>
      </c>
      <c r="AD302" s="156">
        <f t="shared" si="54"/>
        <v>87323.890000000116</v>
      </c>
      <c r="AE302" s="153">
        <f>IF(Z302&lt;=_NoEchMaxi,ROUND(AD302*'Données Projet 1'!A311,_NbDeci),0)</f>
        <v>135.35</v>
      </c>
      <c r="AF302" s="152">
        <f>IF(OR(Z302&lt;=_Différé,Z302&gt;_NoEchMaxi),IF(_DiffTotal,-AE302,0),IF(Z302&gt;=_NoEchRemb,AD302,IF('Données Projet 1'!B311-(AE302*_EchFIXE)&gt;AD302-2,AD302,'Données Projet 1'!B311-(AE302*_EchFIXE))))+U302</f>
        <v>633.63</v>
      </c>
      <c r="AG302" s="154">
        <f t="shared" si="55"/>
        <v>19.77</v>
      </c>
      <c r="AH302" s="157">
        <f t="shared" si="49"/>
        <v>788.75</v>
      </c>
      <c r="AI302"/>
      <c r="AJ302" s="3"/>
      <c r="AK302" s="164"/>
      <c r="AL302" s="22"/>
      <c r="AM302" s="21"/>
      <c r="AN302" s="23"/>
      <c r="AO302" s="10"/>
      <c r="AP302" s="5" t="str">
        <f t="shared" si="56"/>
        <v/>
      </c>
      <c r="AQ302" s="7" t="str">
        <f t="shared" si="57"/>
        <v/>
      </c>
      <c r="AR302" s="8" t="str">
        <f t="shared" si="50"/>
        <v/>
      </c>
      <c r="AS302" s="31" t="str">
        <f>IF(AT302=0,"",IF(_Ijour1=0,MIN(DATE(YEAR(_DebAmort1),MONTH(_DebAmort1)+_MoisD1+(AP302-1)*_Imois1,__Jou2),DATE(YEAR(_DebAmort1),MONTH(_DebAmort1)+_MoisD1+1+(AP302-1)*_Imois1,0)),DATE(YEAR(_DebAmort1),MONTH(_DebAmort1),__Jou1+(AP302-1)*_Ijour1)))</f>
        <v/>
      </c>
      <c r="AT302" s="156">
        <f t="shared" si="58"/>
        <v>0</v>
      </c>
      <c r="AU302" s="153">
        <f>IF(AP302&lt;=_NoEchMaxi1,ROUND(AT302*'Données Projet 1'!H311,_NbDeci1),0)</f>
        <v>0</v>
      </c>
      <c r="AV302" s="152">
        <f>IF(OR(AP302&lt;=_Différé1,AP302&gt;_NoEchMaxi1),IF(_DiffTotal1,-AU302,0),IF(AP302&gt;=_NoEchRemb1,AT302,IF('Données Projet 1'!I311-(AU302*_EchFIXE1)&gt;AT302-2,AT302,'Données Projet 1'!I311-(AU302*_EchFIXE1))))+AK302</f>
        <v>0</v>
      </c>
      <c r="AW302" s="154">
        <f t="shared" si="59"/>
        <v>0</v>
      </c>
      <c r="AX302" s="157">
        <f t="shared" si="51"/>
        <v>0</v>
      </c>
    </row>
    <row r="303" spans="20:50" ht="15.75" customHeight="1" x14ac:dyDescent="0.3">
      <c r="T303" s="3"/>
      <c r="U303" s="164"/>
      <c r="V303" s="22"/>
      <c r="W303" s="21"/>
      <c r="X303" s="23"/>
      <c r="Y303" s="10"/>
      <c r="Z303" s="5">
        <f t="shared" si="52"/>
        <v>297</v>
      </c>
      <c r="AA303" s="7">
        <f t="shared" si="53"/>
        <v>124</v>
      </c>
      <c r="AB303" s="8">
        <f t="shared" si="48"/>
        <v>2033</v>
      </c>
      <c r="AC303" s="31">
        <f>IF(AD303=0,"",IF(_Ijour=0,MIN(DATE(YEAR(_DebAmort),MONTH(_DebAmort)+(Z303-1)*_Imois,_Jour1),DATE(YEAR(_DebAmort),MONTH(_DebAmort)+1+(Z303-1)*_Imois,0)),DATE(YEAR(_DebAmort),MONTH(_DebAmort),_Jour1+(Z303-1)*_Ijour)))</f>
        <v>48823</v>
      </c>
      <c r="AD303" s="156">
        <f t="shared" si="54"/>
        <v>86690.260000000111</v>
      </c>
      <c r="AE303" s="153">
        <f>IF(Z303&lt;=_NoEchMaxi,ROUND(AD303*'Données Projet 1'!A312,_NbDeci),0)</f>
        <v>134.37</v>
      </c>
      <c r="AF303" s="152">
        <f>IF(OR(Z303&lt;=_Différé,Z303&gt;_NoEchMaxi),IF(_DiffTotal,-AE303,0),IF(Z303&gt;=_NoEchRemb,AD303,IF('Données Projet 1'!B312-(AE303*_EchFIXE)&gt;AD303-2,AD303,'Données Projet 1'!B312-(AE303*_EchFIXE))))+U303</f>
        <v>634.61</v>
      </c>
      <c r="AG303" s="154">
        <f t="shared" si="55"/>
        <v>19.77</v>
      </c>
      <c r="AH303" s="157">
        <f t="shared" si="49"/>
        <v>788.75</v>
      </c>
      <c r="AI303"/>
      <c r="AJ303" s="3"/>
      <c r="AK303" s="164"/>
      <c r="AL303" s="22"/>
      <c r="AM303" s="21"/>
      <c r="AN303" s="23"/>
      <c r="AO303" s="10"/>
      <c r="AP303" s="5" t="str">
        <f t="shared" si="56"/>
        <v/>
      </c>
      <c r="AQ303" s="7" t="str">
        <f t="shared" si="57"/>
        <v/>
      </c>
      <c r="AR303" s="8" t="str">
        <f t="shared" si="50"/>
        <v/>
      </c>
      <c r="AS303" s="31" t="str">
        <f>IF(AT303=0,"",IF(_Ijour1=0,MIN(DATE(YEAR(_DebAmort1),MONTH(_DebAmort1)+(AP303-1)*_Imois1,__Jou1),DATE(YEAR(_DebAmort1),MONTH(_DebAmort1)+1+(AP303-1)*_Imois1,0)),DATE(YEAR(_DebAmort1),MONTH(_DebAmort1),__Jou1+(AP303-1)*_Ijour1)))</f>
        <v/>
      </c>
      <c r="AT303" s="156">
        <f t="shared" si="58"/>
        <v>0</v>
      </c>
      <c r="AU303" s="153">
        <f>IF(AP303&lt;=_NoEchMaxi1,ROUND(AT303*'Données Projet 1'!H312,_NbDeci1),0)</f>
        <v>0</v>
      </c>
      <c r="AV303" s="152">
        <f>IF(OR(AP303&lt;=_Différé1,AP303&gt;_NoEchMaxi1),IF(_DiffTotal1,-AU303,0),IF(AP303&gt;=_NoEchRemb1,AT303,IF('Données Projet 1'!I312-(AU303*_EchFIXE1)&gt;AT303-2,AT303,'Données Projet 1'!I312-(AU303*_EchFIXE1))))+AK303</f>
        <v>0</v>
      </c>
      <c r="AW303" s="154">
        <f t="shared" si="59"/>
        <v>0</v>
      </c>
      <c r="AX303" s="157">
        <f t="shared" si="51"/>
        <v>0</v>
      </c>
    </row>
    <row r="304" spans="20:50" ht="15.75" customHeight="1" x14ac:dyDescent="0.3">
      <c r="T304" s="3"/>
      <c r="U304" s="164"/>
      <c r="V304" s="22"/>
      <c r="W304" s="21"/>
      <c r="X304" s="23"/>
      <c r="Y304" s="10"/>
      <c r="Z304" s="5">
        <f t="shared" si="52"/>
        <v>298</v>
      </c>
      <c r="AA304" s="7">
        <f t="shared" si="53"/>
        <v>123</v>
      </c>
      <c r="AB304" s="8">
        <f t="shared" si="48"/>
        <v>2033</v>
      </c>
      <c r="AC304" s="31">
        <f>IF(AD304=0,"",IF(_Ijour=0,MIN(DATE(YEAR(_DebAmort),MONTH(_DebAmort)+_MoisD+(Z304-1)*_Imois,_Jour2),DATE(YEAR(_DebAmort),MONTH(_DebAmort)+_MoisD+1+(Z304-1)*_Imois,0)),DATE(YEAR(_DebAmort),MONTH(_DebAmort),_Jour1+(Z304-1)*_Ijour)))</f>
        <v>48853</v>
      </c>
      <c r="AD304" s="156">
        <f t="shared" si="54"/>
        <v>86055.650000000111</v>
      </c>
      <c r="AE304" s="153">
        <f>IF(Z304&lt;=_NoEchMaxi,ROUND(AD304*'Données Projet 1'!A313,_NbDeci),0)</f>
        <v>133.38999999999999</v>
      </c>
      <c r="AF304" s="152">
        <f>IF(OR(Z304&lt;=_Différé,Z304&gt;_NoEchMaxi),IF(_DiffTotal,-AE304,0),IF(Z304&gt;=_NoEchRemb,AD304,IF('Données Projet 1'!B313-(AE304*_EchFIXE)&gt;AD304-2,AD304,'Données Projet 1'!B313-(AE304*_EchFIXE))))+U304</f>
        <v>635.59</v>
      </c>
      <c r="AG304" s="154">
        <f t="shared" si="55"/>
        <v>19.77</v>
      </c>
      <c r="AH304" s="157">
        <f t="shared" si="49"/>
        <v>788.75</v>
      </c>
      <c r="AI304"/>
      <c r="AJ304" s="3"/>
      <c r="AK304" s="164"/>
      <c r="AL304" s="22"/>
      <c r="AM304" s="21"/>
      <c r="AN304" s="23"/>
      <c r="AO304" s="10"/>
      <c r="AP304" s="5" t="str">
        <f t="shared" si="56"/>
        <v/>
      </c>
      <c r="AQ304" s="7" t="str">
        <f t="shared" si="57"/>
        <v/>
      </c>
      <c r="AR304" s="8" t="str">
        <f t="shared" si="50"/>
        <v/>
      </c>
      <c r="AS304" s="31" t="str">
        <f>IF(AT304=0,"",IF(_Ijour1=0,MIN(DATE(YEAR(_DebAmort1),MONTH(_DebAmort1)+_MoisD1+(AP304-1)*_Imois1,__Jou2),DATE(YEAR(_DebAmort1),MONTH(_DebAmort1)+_MoisD1+1+(AP304-1)*_Imois1,0)),DATE(YEAR(_DebAmort1),MONTH(_DebAmort1),__Jou1+(AP304-1)*_Ijour1)))</f>
        <v/>
      </c>
      <c r="AT304" s="156">
        <f t="shared" si="58"/>
        <v>0</v>
      </c>
      <c r="AU304" s="153">
        <f>IF(AP304&lt;=_NoEchMaxi1,ROUND(AT304*'Données Projet 1'!H313,_NbDeci1),0)</f>
        <v>0</v>
      </c>
      <c r="AV304" s="152">
        <f>IF(OR(AP304&lt;=_Différé1,AP304&gt;_NoEchMaxi1),IF(_DiffTotal1,-AU304,0),IF(AP304&gt;=_NoEchRemb1,AT304,IF('Données Projet 1'!I313-(AU304*_EchFIXE1)&gt;AT304-2,AT304,'Données Projet 1'!I313-(AU304*_EchFIXE1))))+AK304</f>
        <v>0</v>
      </c>
      <c r="AW304" s="154">
        <f t="shared" si="59"/>
        <v>0</v>
      </c>
      <c r="AX304" s="157">
        <f t="shared" si="51"/>
        <v>0</v>
      </c>
    </row>
    <row r="305" spans="20:50" ht="15.75" customHeight="1" x14ac:dyDescent="0.3">
      <c r="T305" s="3"/>
      <c r="U305" s="164"/>
      <c r="V305" s="22"/>
      <c r="W305" s="21"/>
      <c r="X305" s="23"/>
      <c r="Y305" s="10"/>
      <c r="Z305" s="5">
        <f t="shared" si="52"/>
        <v>299</v>
      </c>
      <c r="AA305" s="7">
        <f t="shared" si="53"/>
        <v>122</v>
      </c>
      <c r="AB305" s="8">
        <f t="shared" si="48"/>
        <v>2033</v>
      </c>
      <c r="AC305" s="31">
        <f>IF(AD305=0,"",IF(_Ijour=0,MIN(DATE(YEAR(_DebAmort),MONTH(_DebAmort)+(Z305-1)*_Imois,_Jour1),DATE(YEAR(_DebAmort),MONTH(_DebAmort)+1+(Z305-1)*_Imois,0)),DATE(YEAR(_DebAmort),MONTH(_DebAmort),_Jour1+(Z305-1)*_Ijour)))</f>
        <v>48884</v>
      </c>
      <c r="AD305" s="156">
        <f t="shared" si="54"/>
        <v>85420.060000000114</v>
      </c>
      <c r="AE305" s="153">
        <f>IF(Z305&lt;=_NoEchMaxi,ROUND(AD305*'Données Projet 1'!A314,_NbDeci),0)</f>
        <v>132.4</v>
      </c>
      <c r="AF305" s="152">
        <f>IF(OR(Z305&lt;=_Différé,Z305&gt;_NoEchMaxi),IF(_DiffTotal,-AE305,0),IF(Z305&gt;=_NoEchRemb,AD305,IF('Données Projet 1'!B314-(AE305*_EchFIXE)&gt;AD305-2,AD305,'Données Projet 1'!B314-(AE305*_EchFIXE))))+U305</f>
        <v>636.58000000000004</v>
      </c>
      <c r="AG305" s="154">
        <f t="shared" si="55"/>
        <v>19.77</v>
      </c>
      <c r="AH305" s="157">
        <f t="shared" si="49"/>
        <v>788.75</v>
      </c>
      <c r="AI305"/>
      <c r="AJ305" s="3"/>
      <c r="AK305" s="164"/>
      <c r="AL305" s="22"/>
      <c r="AM305" s="21"/>
      <c r="AN305" s="23"/>
      <c r="AO305" s="10"/>
      <c r="AP305" s="5" t="str">
        <f t="shared" si="56"/>
        <v/>
      </c>
      <c r="AQ305" s="7" t="str">
        <f t="shared" si="57"/>
        <v/>
      </c>
      <c r="AR305" s="8" t="str">
        <f t="shared" si="50"/>
        <v/>
      </c>
      <c r="AS305" s="31" t="str">
        <f>IF(AT305=0,"",IF(_Ijour1=0,MIN(DATE(YEAR(_DebAmort1),MONTH(_DebAmort1)+(AP305-1)*_Imois1,__Jou1),DATE(YEAR(_DebAmort1),MONTH(_DebAmort1)+1+(AP305-1)*_Imois1,0)),DATE(YEAR(_DebAmort1),MONTH(_DebAmort1),__Jou1+(AP305-1)*_Ijour1)))</f>
        <v/>
      </c>
      <c r="AT305" s="156">
        <f t="shared" si="58"/>
        <v>0</v>
      </c>
      <c r="AU305" s="153">
        <f>IF(AP305&lt;=_NoEchMaxi1,ROUND(AT305*'Données Projet 1'!H314,_NbDeci1),0)</f>
        <v>0</v>
      </c>
      <c r="AV305" s="152">
        <f>IF(OR(AP305&lt;=_Différé1,AP305&gt;_NoEchMaxi1),IF(_DiffTotal1,-AU305,0),IF(AP305&gt;=_NoEchRemb1,AT305,IF('Données Projet 1'!I314-(AU305*_EchFIXE1)&gt;AT305-2,AT305,'Données Projet 1'!I314-(AU305*_EchFIXE1))))+AK305</f>
        <v>0</v>
      </c>
      <c r="AW305" s="154">
        <f t="shared" si="59"/>
        <v>0</v>
      </c>
      <c r="AX305" s="157">
        <f t="shared" si="51"/>
        <v>0</v>
      </c>
    </row>
    <row r="306" spans="20:50" ht="15.75" customHeight="1" x14ac:dyDescent="0.3">
      <c r="T306" s="3"/>
      <c r="U306" s="164"/>
      <c r="V306" s="22"/>
      <c r="W306" s="21"/>
      <c r="X306" s="23"/>
      <c r="Y306" s="10"/>
      <c r="Z306" s="5">
        <f t="shared" si="52"/>
        <v>300</v>
      </c>
      <c r="AA306" s="7">
        <f t="shared" si="53"/>
        <v>121</v>
      </c>
      <c r="AB306" s="8">
        <f t="shared" si="48"/>
        <v>2033</v>
      </c>
      <c r="AC306" s="31">
        <f>IF(AD306=0,"",IF(_Ijour=0,MIN(DATE(YEAR(_DebAmort),MONTH(_DebAmort)+_MoisD+(Z306-1)*_Imois,_Jour2),DATE(YEAR(_DebAmort),MONTH(_DebAmort)+_MoisD+1+(Z306-1)*_Imois,0)),DATE(YEAR(_DebAmort),MONTH(_DebAmort),_Jour1+(Z306-1)*_Ijour)))</f>
        <v>48914</v>
      </c>
      <c r="AD306" s="156">
        <f t="shared" si="54"/>
        <v>84783.480000000112</v>
      </c>
      <c r="AE306" s="153">
        <f>IF(Z306&lt;=_NoEchMaxi,ROUND(AD306*'Données Projet 1'!A315,_NbDeci),0)</f>
        <v>131.41</v>
      </c>
      <c r="AF306" s="152">
        <f>IF(OR(Z306&lt;=_Différé,Z306&gt;_NoEchMaxi),IF(_DiffTotal,-AE306,0),IF(Z306&gt;=_NoEchRemb,AD306,IF('Données Projet 1'!B315-(AE306*_EchFIXE)&gt;AD306-2,AD306,'Données Projet 1'!B315-(AE306*_EchFIXE))))+U306</f>
        <v>637.57000000000005</v>
      </c>
      <c r="AG306" s="154">
        <f t="shared" si="55"/>
        <v>19.77</v>
      </c>
      <c r="AH306" s="157">
        <f t="shared" si="49"/>
        <v>788.75</v>
      </c>
      <c r="AI306"/>
      <c r="AJ306" s="3"/>
      <c r="AK306" s="164"/>
      <c r="AL306" s="22"/>
      <c r="AM306" s="21"/>
      <c r="AN306" s="23"/>
      <c r="AO306" s="10"/>
      <c r="AP306" s="5" t="str">
        <f t="shared" si="56"/>
        <v/>
      </c>
      <c r="AQ306" s="7" t="str">
        <f t="shared" si="57"/>
        <v/>
      </c>
      <c r="AR306" s="8" t="str">
        <f t="shared" si="50"/>
        <v/>
      </c>
      <c r="AS306" s="31" t="str">
        <f>IF(AT306=0,"",IF(_Ijour1=0,MIN(DATE(YEAR(_DebAmort1),MONTH(_DebAmort1)+_MoisD1+(AP306-1)*_Imois1,__Jou2),DATE(YEAR(_DebAmort1),MONTH(_DebAmort1)+_MoisD1+1+(AP306-1)*_Imois1,0)),DATE(YEAR(_DebAmort1),MONTH(_DebAmort1),__Jou1+(AP306-1)*_Ijour1)))</f>
        <v/>
      </c>
      <c r="AT306" s="156">
        <f t="shared" si="58"/>
        <v>0</v>
      </c>
      <c r="AU306" s="153">
        <f>IF(AP306&lt;=_NoEchMaxi1,ROUND(AT306*'Données Projet 1'!H315,_NbDeci1),0)</f>
        <v>0</v>
      </c>
      <c r="AV306" s="152">
        <f>IF(OR(AP306&lt;=_Différé1,AP306&gt;_NoEchMaxi1),IF(_DiffTotal1,-AU306,0),IF(AP306&gt;=_NoEchRemb1,AT306,IF('Données Projet 1'!I315-(AU306*_EchFIXE1)&gt;AT306-2,AT306,'Données Projet 1'!I315-(AU306*_EchFIXE1))))+AK306</f>
        <v>0</v>
      </c>
      <c r="AW306" s="154">
        <f t="shared" si="59"/>
        <v>0</v>
      </c>
      <c r="AX306" s="157">
        <f t="shared" si="51"/>
        <v>0</v>
      </c>
    </row>
    <row r="307" spans="20:50" ht="15.75" customHeight="1" x14ac:dyDescent="0.3">
      <c r="T307" s="3"/>
      <c r="U307" s="164"/>
      <c r="V307" s="22"/>
      <c r="W307" s="21"/>
      <c r="X307" s="23"/>
      <c r="Y307" s="10"/>
      <c r="Z307" s="5">
        <f t="shared" si="52"/>
        <v>301</v>
      </c>
      <c r="AA307" s="7">
        <f t="shared" si="53"/>
        <v>120</v>
      </c>
      <c r="AB307" s="8">
        <f t="shared" si="48"/>
        <v>2034</v>
      </c>
      <c r="AC307" s="31">
        <f>IF(AD307=0,"",IF(_Ijour=0,MIN(DATE(YEAR(_DebAmort),MONTH(_DebAmort)+(Z307-1)*_Imois,_Jour1),DATE(YEAR(_DebAmort),MONTH(_DebAmort)+1+(Z307-1)*_Imois,0)),DATE(YEAR(_DebAmort),MONTH(_DebAmort),_Jour1+(Z307-1)*_Ijour)))</f>
        <v>48945</v>
      </c>
      <c r="AD307" s="156">
        <f t="shared" si="54"/>
        <v>84145.910000000105</v>
      </c>
      <c r="AE307" s="153">
        <f>IF(Z307&lt;=_NoEchMaxi,ROUND(AD307*'Données Projet 1'!A316,_NbDeci),0)</f>
        <v>130.43</v>
      </c>
      <c r="AF307" s="152">
        <f>IF(OR(Z307&lt;=_Différé,Z307&gt;_NoEchMaxi),IF(_DiffTotal,-AE307,0),IF(Z307&gt;=_NoEchRemb,AD307,IF('Données Projet 1'!B316-(AE307*_EchFIXE)&gt;AD307-2,AD307,'Données Projet 1'!B316-(AE307*_EchFIXE))))+U307</f>
        <v>638.54999999999995</v>
      </c>
      <c r="AG307" s="154">
        <f t="shared" si="55"/>
        <v>19.77</v>
      </c>
      <c r="AH307" s="157">
        <f t="shared" si="49"/>
        <v>788.75</v>
      </c>
      <c r="AI307"/>
      <c r="AJ307" s="3"/>
      <c r="AK307" s="164"/>
      <c r="AL307" s="22"/>
      <c r="AM307" s="21"/>
      <c r="AN307" s="23"/>
      <c r="AO307" s="10"/>
      <c r="AP307" s="5" t="str">
        <f t="shared" si="56"/>
        <v/>
      </c>
      <c r="AQ307" s="7" t="str">
        <f t="shared" si="57"/>
        <v/>
      </c>
      <c r="AR307" s="8" t="str">
        <f t="shared" si="50"/>
        <v/>
      </c>
      <c r="AS307" s="31" t="str">
        <f>IF(AT307=0,"",IF(_Ijour1=0,MIN(DATE(YEAR(_DebAmort1),MONTH(_DebAmort1)+(AP307-1)*_Imois1,__Jou1),DATE(YEAR(_DebAmort1),MONTH(_DebAmort1)+1+(AP307-1)*_Imois1,0)),DATE(YEAR(_DebAmort1),MONTH(_DebAmort1),__Jou1+(AP307-1)*_Ijour1)))</f>
        <v/>
      </c>
      <c r="AT307" s="156">
        <f t="shared" si="58"/>
        <v>0</v>
      </c>
      <c r="AU307" s="153">
        <f>IF(AP307&lt;=_NoEchMaxi1,ROUND(AT307*'Données Projet 1'!H316,_NbDeci1),0)</f>
        <v>0</v>
      </c>
      <c r="AV307" s="152">
        <f>IF(OR(AP307&lt;=_Différé1,AP307&gt;_NoEchMaxi1),IF(_DiffTotal1,-AU307,0),IF(AP307&gt;=_NoEchRemb1,AT307,IF('Données Projet 1'!I316-(AU307*_EchFIXE1)&gt;AT307-2,AT307,'Données Projet 1'!I316-(AU307*_EchFIXE1))))+AK307</f>
        <v>0</v>
      </c>
      <c r="AW307" s="154">
        <f t="shared" si="59"/>
        <v>0</v>
      </c>
      <c r="AX307" s="157">
        <f t="shared" si="51"/>
        <v>0</v>
      </c>
    </row>
    <row r="308" spans="20:50" ht="15.75" customHeight="1" x14ac:dyDescent="0.3">
      <c r="T308" s="3"/>
      <c r="U308" s="164"/>
      <c r="V308" s="22"/>
      <c r="W308" s="21"/>
      <c r="X308" s="23"/>
      <c r="Y308" s="10"/>
      <c r="Z308" s="5">
        <f t="shared" si="52"/>
        <v>302</v>
      </c>
      <c r="AA308" s="7">
        <f t="shared" si="53"/>
        <v>119</v>
      </c>
      <c r="AB308" s="8">
        <f t="shared" si="48"/>
        <v>2034</v>
      </c>
      <c r="AC308" s="31">
        <f>IF(AD308=0,"",IF(_Ijour=0,MIN(DATE(YEAR(_DebAmort),MONTH(_DebAmort)+_MoisD+(Z308-1)*_Imois,_Jour2),DATE(YEAR(_DebAmort),MONTH(_DebAmort)+_MoisD+1+(Z308-1)*_Imois,0)),DATE(YEAR(_DebAmort),MONTH(_DebAmort),_Jour1+(Z308-1)*_Ijour)))</f>
        <v>48976</v>
      </c>
      <c r="AD308" s="156">
        <f t="shared" si="54"/>
        <v>83507.360000000102</v>
      </c>
      <c r="AE308" s="153">
        <f>IF(Z308&lt;=_NoEchMaxi,ROUND(AD308*'Données Projet 1'!A317,_NbDeci),0)</f>
        <v>129.44</v>
      </c>
      <c r="AF308" s="152">
        <f>IF(OR(Z308&lt;=_Différé,Z308&gt;_NoEchMaxi),IF(_DiffTotal,-AE308,0),IF(Z308&gt;=_NoEchRemb,AD308,IF('Données Projet 1'!B317-(AE308*_EchFIXE)&gt;AD308-2,AD308,'Données Projet 1'!B317-(AE308*_EchFIXE))))+U308</f>
        <v>639.54</v>
      </c>
      <c r="AG308" s="154">
        <f t="shared" si="55"/>
        <v>19.77</v>
      </c>
      <c r="AH308" s="157">
        <f t="shared" si="49"/>
        <v>788.75</v>
      </c>
      <c r="AI308"/>
      <c r="AJ308" s="3"/>
      <c r="AK308" s="164"/>
      <c r="AL308" s="22"/>
      <c r="AM308" s="21"/>
      <c r="AN308" s="23"/>
      <c r="AO308" s="10"/>
      <c r="AP308" s="5" t="str">
        <f t="shared" si="56"/>
        <v/>
      </c>
      <c r="AQ308" s="7" t="str">
        <f t="shared" si="57"/>
        <v/>
      </c>
      <c r="AR308" s="8" t="str">
        <f t="shared" si="50"/>
        <v/>
      </c>
      <c r="AS308" s="31" t="str">
        <f>IF(AT308=0,"",IF(_Ijour1=0,MIN(DATE(YEAR(_DebAmort1),MONTH(_DebAmort1)+_MoisD1+(AP308-1)*_Imois1,__Jou2),DATE(YEAR(_DebAmort1),MONTH(_DebAmort1)+_MoisD1+1+(AP308-1)*_Imois1,0)),DATE(YEAR(_DebAmort1),MONTH(_DebAmort1),__Jou1+(AP308-1)*_Ijour1)))</f>
        <v/>
      </c>
      <c r="AT308" s="156">
        <f t="shared" si="58"/>
        <v>0</v>
      </c>
      <c r="AU308" s="153">
        <f>IF(AP308&lt;=_NoEchMaxi1,ROUND(AT308*'Données Projet 1'!H317,_NbDeci1),0)</f>
        <v>0</v>
      </c>
      <c r="AV308" s="152">
        <f>IF(OR(AP308&lt;=_Différé1,AP308&gt;_NoEchMaxi1),IF(_DiffTotal1,-AU308,0),IF(AP308&gt;=_NoEchRemb1,AT308,IF('Données Projet 1'!I317-(AU308*_EchFIXE1)&gt;AT308-2,AT308,'Données Projet 1'!I317-(AU308*_EchFIXE1))))+AK308</f>
        <v>0</v>
      </c>
      <c r="AW308" s="154">
        <f t="shared" si="59"/>
        <v>0</v>
      </c>
      <c r="AX308" s="157">
        <f t="shared" si="51"/>
        <v>0</v>
      </c>
    </row>
    <row r="309" spans="20:50" ht="15.75" customHeight="1" x14ac:dyDescent="0.3">
      <c r="T309" s="3"/>
      <c r="U309" s="164"/>
      <c r="V309" s="22"/>
      <c r="W309" s="21"/>
      <c r="X309" s="23"/>
      <c r="Y309" s="10"/>
      <c r="Z309" s="5">
        <f t="shared" si="52"/>
        <v>303</v>
      </c>
      <c r="AA309" s="7">
        <f t="shared" si="53"/>
        <v>118</v>
      </c>
      <c r="AB309" s="8">
        <f t="shared" si="48"/>
        <v>2034</v>
      </c>
      <c r="AC309" s="31">
        <f>IF(AD309=0,"",IF(_Ijour=0,MIN(DATE(YEAR(_DebAmort),MONTH(_DebAmort)+(Z309-1)*_Imois,_Jour1),DATE(YEAR(_DebAmort),MONTH(_DebAmort)+1+(Z309-1)*_Imois,0)),DATE(YEAR(_DebAmort),MONTH(_DebAmort),_Jour1+(Z309-1)*_Ijour)))</f>
        <v>49004</v>
      </c>
      <c r="AD309" s="156">
        <f t="shared" si="54"/>
        <v>82867.820000000109</v>
      </c>
      <c r="AE309" s="153">
        <f>IF(Z309&lt;=_NoEchMaxi,ROUND(AD309*'Données Projet 1'!A318,_NbDeci),0)</f>
        <v>128.44999999999999</v>
      </c>
      <c r="AF309" s="152">
        <f>IF(OR(Z309&lt;=_Différé,Z309&gt;_NoEchMaxi),IF(_DiffTotal,-AE309,0),IF(Z309&gt;=_NoEchRemb,AD309,IF('Données Projet 1'!B318-(AE309*_EchFIXE)&gt;AD309-2,AD309,'Données Projet 1'!B318-(AE309*_EchFIXE))))+U309</f>
        <v>640.53</v>
      </c>
      <c r="AG309" s="154">
        <f t="shared" si="55"/>
        <v>19.77</v>
      </c>
      <c r="AH309" s="157">
        <f t="shared" si="49"/>
        <v>788.75</v>
      </c>
      <c r="AI309"/>
      <c r="AJ309" s="3"/>
      <c r="AK309" s="164"/>
      <c r="AL309" s="22"/>
      <c r="AM309" s="21"/>
      <c r="AN309" s="23"/>
      <c r="AO309" s="10"/>
      <c r="AP309" s="5" t="str">
        <f t="shared" si="56"/>
        <v/>
      </c>
      <c r="AQ309" s="7" t="str">
        <f t="shared" si="57"/>
        <v/>
      </c>
      <c r="AR309" s="8" t="str">
        <f t="shared" si="50"/>
        <v/>
      </c>
      <c r="AS309" s="31" t="str">
        <f>IF(AT309=0,"",IF(_Ijour1=0,MIN(DATE(YEAR(_DebAmort1),MONTH(_DebAmort1)+(AP309-1)*_Imois1,__Jou1),DATE(YEAR(_DebAmort1),MONTH(_DebAmort1)+1+(AP309-1)*_Imois1,0)),DATE(YEAR(_DebAmort1),MONTH(_DebAmort1),__Jou1+(AP309-1)*_Ijour1)))</f>
        <v/>
      </c>
      <c r="AT309" s="156">
        <f t="shared" si="58"/>
        <v>0</v>
      </c>
      <c r="AU309" s="153">
        <f>IF(AP309&lt;=_NoEchMaxi1,ROUND(AT309*'Données Projet 1'!H318,_NbDeci1),0)</f>
        <v>0</v>
      </c>
      <c r="AV309" s="152">
        <f>IF(OR(AP309&lt;=_Différé1,AP309&gt;_NoEchMaxi1),IF(_DiffTotal1,-AU309,0),IF(AP309&gt;=_NoEchRemb1,AT309,IF('Données Projet 1'!I318-(AU309*_EchFIXE1)&gt;AT309-2,AT309,'Données Projet 1'!I318-(AU309*_EchFIXE1))))+AK309</f>
        <v>0</v>
      </c>
      <c r="AW309" s="154">
        <f t="shared" si="59"/>
        <v>0</v>
      </c>
      <c r="AX309" s="157">
        <f t="shared" si="51"/>
        <v>0</v>
      </c>
    </row>
    <row r="310" spans="20:50" ht="15.75" customHeight="1" x14ac:dyDescent="0.3">
      <c r="T310" s="3"/>
      <c r="U310" s="164"/>
      <c r="V310" s="22"/>
      <c r="W310" s="21"/>
      <c r="X310" s="23"/>
      <c r="Y310" s="10"/>
      <c r="Z310" s="5">
        <f t="shared" si="52"/>
        <v>304</v>
      </c>
      <c r="AA310" s="7">
        <f t="shared" si="53"/>
        <v>117</v>
      </c>
      <c r="AB310" s="8">
        <f t="shared" si="48"/>
        <v>2034</v>
      </c>
      <c r="AC310" s="31">
        <f>IF(AD310=0,"",IF(_Ijour=0,MIN(DATE(YEAR(_DebAmort),MONTH(_DebAmort)+_MoisD+(Z310-1)*_Imois,_Jour2),DATE(YEAR(_DebAmort),MONTH(_DebAmort)+_MoisD+1+(Z310-1)*_Imois,0)),DATE(YEAR(_DebAmort),MONTH(_DebAmort),_Jour1+(Z310-1)*_Ijour)))</f>
        <v>49035</v>
      </c>
      <c r="AD310" s="156">
        <f t="shared" si="54"/>
        <v>82227.29000000011</v>
      </c>
      <c r="AE310" s="153">
        <f>IF(Z310&lt;=_NoEchMaxi,ROUND(AD310*'Données Projet 1'!A319,_NbDeci),0)</f>
        <v>127.45</v>
      </c>
      <c r="AF310" s="152">
        <f>IF(OR(Z310&lt;=_Différé,Z310&gt;_NoEchMaxi),IF(_DiffTotal,-AE310,0),IF(Z310&gt;=_NoEchRemb,AD310,IF('Données Projet 1'!B319-(AE310*_EchFIXE)&gt;AD310-2,AD310,'Données Projet 1'!B319-(AE310*_EchFIXE))))+U310</f>
        <v>641.53</v>
      </c>
      <c r="AG310" s="154">
        <f t="shared" si="55"/>
        <v>19.77</v>
      </c>
      <c r="AH310" s="157">
        <f t="shared" si="49"/>
        <v>788.75</v>
      </c>
      <c r="AI310"/>
      <c r="AJ310" s="3"/>
      <c r="AK310" s="164"/>
      <c r="AL310" s="22"/>
      <c r="AM310" s="21"/>
      <c r="AN310" s="23"/>
      <c r="AO310" s="10"/>
      <c r="AP310" s="5" t="str">
        <f t="shared" si="56"/>
        <v/>
      </c>
      <c r="AQ310" s="7" t="str">
        <f t="shared" si="57"/>
        <v/>
      </c>
      <c r="AR310" s="8" t="str">
        <f t="shared" si="50"/>
        <v/>
      </c>
      <c r="AS310" s="31" t="str">
        <f>IF(AT310=0,"",IF(_Ijour1=0,MIN(DATE(YEAR(_DebAmort1),MONTH(_DebAmort1)+_MoisD1+(AP310-1)*_Imois1,__Jou2),DATE(YEAR(_DebAmort1),MONTH(_DebAmort1)+_MoisD1+1+(AP310-1)*_Imois1,0)),DATE(YEAR(_DebAmort1),MONTH(_DebAmort1),__Jou1+(AP310-1)*_Ijour1)))</f>
        <v/>
      </c>
      <c r="AT310" s="156">
        <f t="shared" si="58"/>
        <v>0</v>
      </c>
      <c r="AU310" s="153">
        <f>IF(AP310&lt;=_NoEchMaxi1,ROUND(AT310*'Données Projet 1'!H319,_NbDeci1),0)</f>
        <v>0</v>
      </c>
      <c r="AV310" s="152">
        <f>IF(OR(AP310&lt;=_Différé1,AP310&gt;_NoEchMaxi1),IF(_DiffTotal1,-AU310,0),IF(AP310&gt;=_NoEchRemb1,AT310,IF('Données Projet 1'!I319-(AU310*_EchFIXE1)&gt;AT310-2,AT310,'Données Projet 1'!I319-(AU310*_EchFIXE1))))+AK310</f>
        <v>0</v>
      </c>
      <c r="AW310" s="154">
        <f t="shared" si="59"/>
        <v>0</v>
      </c>
      <c r="AX310" s="157">
        <f t="shared" si="51"/>
        <v>0</v>
      </c>
    </row>
    <row r="311" spans="20:50" ht="15.75" customHeight="1" x14ac:dyDescent="0.3">
      <c r="T311" s="3"/>
      <c r="U311" s="164"/>
      <c r="V311" s="22"/>
      <c r="W311" s="21"/>
      <c r="X311" s="23"/>
      <c r="Y311" s="10"/>
      <c r="Z311" s="5">
        <f t="shared" si="52"/>
        <v>305</v>
      </c>
      <c r="AA311" s="7">
        <f t="shared" si="53"/>
        <v>116</v>
      </c>
      <c r="AB311" s="8">
        <f t="shared" si="48"/>
        <v>2034</v>
      </c>
      <c r="AC311" s="31">
        <f>IF(AD311=0,"",IF(_Ijour=0,MIN(DATE(YEAR(_DebAmort),MONTH(_DebAmort)+(Z311-1)*_Imois,_Jour1),DATE(YEAR(_DebAmort),MONTH(_DebAmort)+1+(Z311-1)*_Imois,0)),DATE(YEAR(_DebAmort),MONTH(_DebAmort),_Jour1+(Z311-1)*_Ijour)))</f>
        <v>49065</v>
      </c>
      <c r="AD311" s="156">
        <f t="shared" si="54"/>
        <v>81585.760000000111</v>
      </c>
      <c r="AE311" s="153">
        <f>IF(Z311&lt;=_NoEchMaxi,ROUND(AD311*'Données Projet 1'!A320,_NbDeci),0)</f>
        <v>126.46</v>
      </c>
      <c r="AF311" s="152">
        <f>IF(OR(Z311&lt;=_Différé,Z311&gt;_NoEchMaxi),IF(_DiffTotal,-AE311,0),IF(Z311&gt;=_NoEchRemb,AD311,IF('Données Projet 1'!B320-(AE311*_EchFIXE)&gt;AD311-2,AD311,'Données Projet 1'!B320-(AE311*_EchFIXE))))+U311</f>
        <v>642.52</v>
      </c>
      <c r="AG311" s="154">
        <f t="shared" si="55"/>
        <v>19.77</v>
      </c>
      <c r="AH311" s="157">
        <f t="shared" si="49"/>
        <v>788.75</v>
      </c>
      <c r="AI311"/>
      <c r="AJ311" s="3"/>
      <c r="AK311" s="164"/>
      <c r="AL311" s="22"/>
      <c r="AM311" s="21"/>
      <c r="AN311" s="23"/>
      <c r="AO311" s="10"/>
      <c r="AP311" s="5" t="str">
        <f t="shared" si="56"/>
        <v/>
      </c>
      <c r="AQ311" s="7" t="str">
        <f t="shared" si="57"/>
        <v/>
      </c>
      <c r="AR311" s="8" t="str">
        <f t="shared" si="50"/>
        <v/>
      </c>
      <c r="AS311" s="31" t="str">
        <f>IF(AT311=0,"",IF(_Ijour1=0,MIN(DATE(YEAR(_DebAmort1),MONTH(_DebAmort1)+(AP311-1)*_Imois1,__Jou1),DATE(YEAR(_DebAmort1),MONTH(_DebAmort1)+1+(AP311-1)*_Imois1,0)),DATE(YEAR(_DebAmort1),MONTH(_DebAmort1),__Jou1+(AP311-1)*_Ijour1)))</f>
        <v/>
      </c>
      <c r="AT311" s="156">
        <f t="shared" si="58"/>
        <v>0</v>
      </c>
      <c r="AU311" s="153">
        <f>IF(AP311&lt;=_NoEchMaxi1,ROUND(AT311*'Données Projet 1'!H320,_NbDeci1),0)</f>
        <v>0</v>
      </c>
      <c r="AV311" s="152">
        <f>IF(OR(AP311&lt;=_Différé1,AP311&gt;_NoEchMaxi1),IF(_DiffTotal1,-AU311,0),IF(AP311&gt;=_NoEchRemb1,AT311,IF('Données Projet 1'!I320-(AU311*_EchFIXE1)&gt;AT311-2,AT311,'Données Projet 1'!I320-(AU311*_EchFIXE1))))+AK311</f>
        <v>0</v>
      </c>
      <c r="AW311" s="154">
        <f t="shared" si="59"/>
        <v>0</v>
      </c>
      <c r="AX311" s="157">
        <f t="shared" si="51"/>
        <v>0</v>
      </c>
    </row>
    <row r="312" spans="20:50" ht="15.75" customHeight="1" x14ac:dyDescent="0.3">
      <c r="T312" s="3"/>
      <c r="U312" s="164"/>
      <c r="V312" s="22"/>
      <c r="W312" s="21"/>
      <c r="X312" s="23"/>
      <c r="Y312" s="10"/>
      <c r="Z312" s="5">
        <f t="shared" si="52"/>
        <v>306</v>
      </c>
      <c r="AA312" s="7">
        <f t="shared" si="53"/>
        <v>115</v>
      </c>
      <c r="AB312" s="8">
        <f t="shared" si="48"/>
        <v>2034</v>
      </c>
      <c r="AC312" s="31">
        <f>IF(AD312=0,"",IF(_Ijour=0,MIN(DATE(YEAR(_DebAmort),MONTH(_DebAmort)+_MoisD+(Z312-1)*_Imois,_Jour2),DATE(YEAR(_DebAmort),MONTH(_DebAmort)+_MoisD+1+(Z312-1)*_Imois,0)),DATE(YEAR(_DebAmort),MONTH(_DebAmort),_Jour1+(Z312-1)*_Ijour)))</f>
        <v>49096</v>
      </c>
      <c r="AD312" s="156">
        <f t="shared" si="54"/>
        <v>80943.240000000107</v>
      </c>
      <c r="AE312" s="153">
        <f>IF(Z312&lt;=_NoEchMaxi,ROUND(AD312*'Données Projet 1'!A321,_NbDeci),0)</f>
        <v>125.46</v>
      </c>
      <c r="AF312" s="152">
        <f>IF(OR(Z312&lt;=_Différé,Z312&gt;_NoEchMaxi),IF(_DiffTotal,-AE312,0),IF(Z312&gt;=_NoEchRemb,AD312,IF('Données Projet 1'!B321-(AE312*_EchFIXE)&gt;AD312-2,AD312,'Données Projet 1'!B321-(AE312*_EchFIXE))))+U312</f>
        <v>643.52</v>
      </c>
      <c r="AG312" s="154">
        <f t="shared" si="55"/>
        <v>19.77</v>
      </c>
      <c r="AH312" s="157">
        <f t="shared" si="49"/>
        <v>788.75</v>
      </c>
      <c r="AI312"/>
      <c r="AJ312" s="3"/>
      <c r="AK312" s="164"/>
      <c r="AL312" s="22"/>
      <c r="AM312" s="21"/>
      <c r="AN312" s="23"/>
      <c r="AO312" s="10"/>
      <c r="AP312" s="5" t="str">
        <f t="shared" si="56"/>
        <v/>
      </c>
      <c r="AQ312" s="7" t="str">
        <f t="shared" si="57"/>
        <v/>
      </c>
      <c r="AR312" s="8" t="str">
        <f t="shared" si="50"/>
        <v/>
      </c>
      <c r="AS312" s="31" t="str">
        <f>IF(AT312=0,"",IF(_Ijour1=0,MIN(DATE(YEAR(_DebAmort1),MONTH(_DebAmort1)+_MoisD1+(AP312-1)*_Imois1,__Jou2),DATE(YEAR(_DebAmort1),MONTH(_DebAmort1)+_MoisD1+1+(AP312-1)*_Imois1,0)),DATE(YEAR(_DebAmort1),MONTH(_DebAmort1),__Jou1+(AP312-1)*_Ijour1)))</f>
        <v/>
      </c>
      <c r="AT312" s="156">
        <f t="shared" si="58"/>
        <v>0</v>
      </c>
      <c r="AU312" s="153">
        <f>IF(AP312&lt;=_NoEchMaxi1,ROUND(AT312*'Données Projet 1'!H321,_NbDeci1),0)</f>
        <v>0</v>
      </c>
      <c r="AV312" s="152">
        <f>IF(OR(AP312&lt;=_Différé1,AP312&gt;_NoEchMaxi1),IF(_DiffTotal1,-AU312,0),IF(AP312&gt;=_NoEchRemb1,AT312,IF('Données Projet 1'!I321-(AU312*_EchFIXE1)&gt;AT312-2,AT312,'Données Projet 1'!I321-(AU312*_EchFIXE1))))+AK312</f>
        <v>0</v>
      </c>
      <c r="AW312" s="154">
        <f t="shared" si="59"/>
        <v>0</v>
      </c>
      <c r="AX312" s="157">
        <f t="shared" si="51"/>
        <v>0</v>
      </c>
    </row>
    <row r="313" spans="20:50" ht="15.75" customHeight="1" x14ac:dyDescent="0.3">
      <c r="T313" s="3"/>
      <c r="U313" s="164"/>
      <c r="V313" s="22"/>
      <c r="W313" s="21"/>
      <c r="X313" s="23"/>
      <c r="Y313" s="10"/>
      <c r="Z313" s="5">
        <f t="shared" si="52"/>
        <v>307</v>
      </c>
      <c r="AA313" s="7">
        <f t="shared" si="53"/>
        <v>114</v>
      </c>
      <c r="AB313" s="8">
        <f t="shared" si="48"/>
        <v>2034</v>
      </c>
      <c r="AC313" s="31">
        <f>IF(AD313=0,"",IF(_Ijour=0,MIN(DATE(YEAR(_DebAmort),MONTH(_DebAmort)+(Z313-1)*_Imois,_Jour1),DATE(YEAR(_DebAmort),MONTH(_DebAmort)+1+(Z313-1)*_Imois,0)),DATE(YEAR(_DebAmort),MONTH(_DebAmort),_Jour1+(Z313-1)*_Ijour)))</f>
        <v>49126</v>
      </c>
      <c r="AD313" s="156">
        <f t="shared" si="54"/>
        <v>80299.720000000103</v>
      </c>
      <c r="AE313" s="153">
        <f>IF(Z313&lt;=_NoEchMaxi,ROUND(AD313*'Données Projet 1'!A322,_NbDeci),0)</f>
        <v>124.46</v>
      </c>
      <c r="AF313" s="152">
        <f>IF(OR(Z313&lt;=_Différé,Z313&gt;_NoEchMaxi),IF(_DiffTotal,-AE313,0),IF(Z313&gt;=_NoEchRemb,AD313,IF('Données Projet 1'!B322-(AE313*_EchFIXE)&gt;AD313-2,AD313,'Données Projet 1'!B322-(AE313*_EchFIXE))))+U313</f>
        <v>644.52</v>
      </c>
      <c r="AG313" s="154">
        <f t="shared" si="55"/>
        <v>19.77</v>
      </c>
      <c r="AH313" s="157">
        <f t="shared" si="49"/>
        <v>788.75</v>
      </c>
      <c r="AI313"/>
      <c r="AJ313" s="3"/>
      <c r="AK313" s="164"/>
      <c r="AL313" s="22"/>
      <c r="AM313" s="21"/>
      <c r="AN313" s="23"/>
      <c r="AO313" s="10"/>
      <c r="AP313" s="5" t="str">
        <f t="shared" si="56"/>
        <v/>
      </c>
      <c r="AQ313" s="7" t="str">
        <f t="shared" si="57"/>
        <v/>
      </c>
      <c r="AR313" s="8" t="str">
        <f t="shared" si="50"/>
        <v/>
      </c>
      <c r="AS313" s="31" t="str">
        <f>IF(AT313=0,"",IF(_Ijour1=0,MIN(DATE(YEAR(_DebAmort1),MONTH(_DebAmort1)+(AP313-1)*_Imois1,__Jou1),DATE(YEAR(_DebAmort1),MONTH(_DebAmort1)+1+(AP313-1)*_Imois1,0)),DATE(YEAR(_DebAmort1),MONTH(_DebAmort1),__Jou1+(AP313-1)*_Ijour1)))</f>
        <v/>
      </c>
      <c r="AT313" s="156">
        <f t="shared" si="58"/>
        <v>0</v>
      </c>
      <c r="AU313" s="153">
        <f>IF(AP313&lt;=_NoEchMaxi1,ROUND(AT313*'Données Projet 1'!H322,_NbDeci1),0)</f>
        <v>0</v>
      </c>
      <c r="AV313" s="152">
        <f>IF(OR(AP313&lt;=_Différé1,AP313&gt;_NoEchMaxi1),IF(_DiffTotal1,-AU313,0),IF(AP313&gt;=_NoEchRemb1,AT313,IF('Données Projet 1'!I322-(AU313*_EchFIXE1)&gt;AT313-2,AT313,'Données Projet 1'!I322-(AU313*_EchFIXE1))))+AK313</f>
        <v>0</v>
      </c>
      <c r="AW313" s="154">
        <f t="shared" si="59"/>
        <v>0</v>
      </c>
      <c r="AX313" s="157">
        <f t="shared" si="51"/>
        <v>0</v>
      </c>
    </row>
    <row r="314" spans="20:50" ht="15.75" customHeight="1" x14ac:dyDescent="0.3">
      <c r="T314" s="3"/>
      <c r="U314" s="164"/>
      <c r="V314" s="22"/>
      <c r="W314" s="21"/>
      <c r="X314" s="23"/>
      <c r="Y314" s="10"/>
      <c r="Z314" s="5">
        <f t="shared" si="52"/>
        <v>308</v>
      </c>
      <c r="AA314" s="7">
        <f t="shared" si="53"/>
        <v>113</v>
      </c>
      <c r="AB314" s="8">
        <f t="shared" si="48"/>
        <v>2034</v>
      </c>
      <c r="AC314" s="31">
        <f>IF(AD314=0,"",IF(_Ijour=0,MIN(DATE(YEAR(_DebAmort),MONTH(_DebAmort)+_MoisD+(Z314-1)*_Imois,_Jour2),DATE(YEAR(_DebAmort),MONTH(_DebAmort)+_MoisD+1+(Z314-1)*_Imois,0)),DATE(YEAR(_DebAmort),MONTH(_DebAmort),_Jour1+(Z314-1)*_Ijour)))</f>
        <v>49157</v>
      </c>
      <c r="AD314" s="156">
        <f t="shared" si="54"/>
        <v>79655.200000000099</v>
      </c>
      <c r="AE314" s="153">
        <f>IF(Z314&lt;=_NoEchMaxi,ROUND(AD314*'Données Projet 1'!A323,_NbDeci),0)</f>
        <v>123.47</v>
      </c>
      <c r="AF314" s="152">
        <f>IF(OR(Z314&lt;=_Différé,Z314&gt;_NoEchMaxi),IF(_DiffTotal,-AE314,0),IF(Z314&gt;=_NoEchRemb,AD314,IF('Données Projet 1'!B323-(AE314*_EchFIXE)&gt;AD314-2,AD314,'Données Projet 1'!B323-(AE314*_EchFIXE))))+U314</f>
        <v>645.51</v>
      </c>
      <c r="AG314" s="154">
        <f t="shared" si="55"/>
        <v>19.77</v>
      </c>
      <c r="AH314" s="157">
        <f t="shared" si="49"/>
        <v>788.75</v>
      </c>
      <c r="AI314"/>
      <c r="AJ314" s="3"/>
      <c r="AK314" s="164"/>
      <c r="AL314" s="22"/>
      <c r="AM314" s="21"/>
      <c r="AN314" s="23"/>
      <c r="AO314" s="10"/>
      <c r="AP314" s="5" t="str">
        <f t="shared" si="56"/>
        <v/>
      </c>
      <c r="AQ314" s="7" t="str">
        <f t="shared" si="57"/>
        <v/>
      </c>
      <c r="AR314" s="8" t="str">
        <f t="shared" si="50"/>
        <v/>
      </c>
      <c r="AS314" s="31" t="str">
        <f>IF(AT314=0,"",IF(_Ijour1=0,MIN(DATE(YEAR(_DebAmort1),MONTH(_DebAmort1)+_MoisD1+(AP314-1)*_Imois1,__Jou2),DATE(YEAR(_DebAmort1),MONTH(_DebAmort1)+_MoisD1+1+(AP314-1)*_Imois1,0)),DATE(YEAR(_DebAmort1),MONTH(_DebAmort1),__Jou1+(AP314-1)*_Ijour1)))</f>
        <v/>
      </c>
      <c r="AT314" s="156">
        <f t="shared" si="58"/>
        <v>0</v>
      </c>
      <c r="AU314" s="153">
        <f>IF(AP314&lt;=_NoEchMaxi1,ROUND(AT314*'Données Projet 1'!H323,_NbDeci1),0)</f>
        <v>0</v>
      </c>
      <c r="AV314" s="152">
        <f>IF(OR(AP314&lt;=_Différé1,AP314&gt;_NoEchMaxi1),IF(_DiffTotal1,-AU314,0),IF(AP314&gt;=_NoEchRemb1,AT314,IF('Données Projet 1'!I323-(AU314*_EchFIXE1)&gt;AT314-2,AT314,'Données Projet 1'!I323-(AU314*_EchFIXE1))))+AK314</f>
        <v>0</v>
      </c>
      <c r="AW314" s="154">
        <f t="shared" si="59"/>
        <v>0</v>
      </c>
      <c r="AX314" s="157">
        <f t="shared" si="51"/>
        <v>0</v>
      </c>
    </row>
    <row r="315" spans="20:50" ht="15.75" customHeight="1" x14ac:dyDescent="0.3">
      <c r="T315" s="3"/>
      <c r="U315" s="164"/>
      <c r="V315" s="22"/>
      <c r="W315" s="21"/>
      <c r="X315" s="23"/>
      <c r="Y315" s="10"/>
      <c r="Z315" s="5">
        <f t="shared" si="52"/>
        <v>309</v>
      </c>
      <c r="AA315" s="7">
        <f t="shared" si="53"/>
        <v>112</v>
      </c>
      <c r="AB315" s="8">
        <f t="shared" si="48"/>
        <v>2034</v>
      </c>
      <c r="AC315" s="31">
        <f>IF(AD315=0,"",IF(_Ijour=0,MIN(DATE(YEAR(_DebAmort),MONTH(_DebAmort)+(Z315-1)*_Imois,_Jour1),DATE(YEAR(_DebAmort),MONTH(_DebAmort)+1+(Z315-1)*_Imois,0)),DATE(YEAR(_DebAmort),MONTH(_DebAmort),_Jour1+(Z315-1)*_Ijour)))</f>
        <v>49188</v>
      </c>
      <c r="AD315" s="156">
        <f t="shared" si="54"/>
        <v>79009.690000000104</v>
      </c>
      <c r="AE315" s="153">
        <f>IF(Z315&lt;=_NoEchMaxi,ROUND(AD315*'Données Projet 1'!A324,_NbDeci),0)</f>
        <v>122.47</v>
      </c>
      <c r="AF315" s="152">
        <f>IF(OR(Z315&lt;=_Différé,Z315&gt;_NoEchMaxi),IF(_DiffTotal,-AE315,0),IF(Z315&gt;=_NoEchRemb,AD315,IF('Données Projet 1'!B324-(AE315*_EchFIXE)&gt;AD315-2,AD315,'Données Projet 1'!B324-(AE315*_EchFIXE))))+U315</f>
        <v>646.51</v>
      </c>
      <c r="AG315" s="154">
        <f t="shared" si="55"/>
        <v>19.77</v>
      </c>
      <c r="AH315" s="157">
        <f t="shared" si="49"/>
        <v>788.75</v>
      </c>
      <c r="AI315"/>
      <c r="AJ315" s="3"/>
      <c r="AK315" s="164"/>
      <c r="AL315" s="22"/>
      <c r="AM315" s="21"/>
      <c r="AN315" s="23"/>
      <c r="AO315" s="10"/>
      <c r="AP315" s="5" t="str">
        <f t="shared" si="56"/>
        <v/>
      </c>
      <c r="AQ315" s="7" t="str">
        <f t="shared" si="57"/>
        <v/>
      </c>
      <c r="AR315" s="8" t="str">
        <f t="shared" si="50"/>
        <v/>
      </c>
      <c r="AS315" s="31" t="str">
        <f>IF(AT315=0,"",IF(_Ijour1=0,MIN(DATE(YEAR(_DebAmort1),MONTH(_DebAmort1)+(AP315-1)*_Imois1,__Jou1),DATE(YEAR(_DebAmort1),MONTH(_DebAmort1)+1+(AP315-1)*_Imois1,0)),DATE(YEAR(_DebAmort1),MONTH(_DebAmort1),__Jou1+(AP315-1)*_Ijour1)))</f>
        <v/>
      </c>
      <c r="AT315" s="156">
        <f t="shared" si="58"/>
        <v>0</v>
      </c>
      <c r="AU315" s="153">
        <f>IF(AP315&lt;=_NoEchMaxi1,ROUND(AT315*'Données Projet 1'!H324,_NbDeci1),0)</f>
        <v>0</v>
      </c>
      <c r="AV315" s="152">
        <f>IF(OR(AP315&lt;=_Différé1,AP315&gt;_NoEchMaxi1),IF(_DiffTotal1,-AU315,0),IF(AP315&gt;=_NoEchRemb1,AT315,IF('Données Projet 1'!I324-(AU315*_EchFIXE1)&gt;AT315-2,AT315,'Données Projet 1'!I324-(AU315*_EchFIXE1))))+AK315</f>
        <v>0</v>
      </c>
      <c r="AW315" s="154">
        <f t="shared" si="59"/>
        <v>0</v>
      </c>
      <c r="AX315" s="157">
        <f t="shared" si="51"/>
        <v>0</v>
      </c>
    </row>
    <row r="316" spans="20:50" ht="15.75" customHeight="1" x14ac:dyDescent="0.3">
      <c r="T316" s="3"/>
      <c r="U316" s="164"/>
      <c r="V316" s="22"/>
      <c r="W316" s="21"/>
      <c r="X316" s="23"/>
      <c r="Y316" s="10"/>
      <c r="Z316" s="5">
        <f t="shared" si="52"/>
        <v>310</v>
      </c>
      <c r="AA316" s="7">
        <f t="shared" si="53"/>
        <v>111</v>
      </c>
      <c r="AB316" s="8">
        <f t="shared" si="48"/>
        <v>2034</v>
      </c>
      <c r="AC316" s="31">
        <f>IF(AD316=0,"",IF(_Ijour=0,MIN(DATE(YEAR(_DebAmort),MONTH(_DebAmort)+_MoisD+(Z316-1)*_Imois,_Jour2),DATE(YEAR(_DebAmort),MONTH(_DebAmort)+_MoisD+1+(Z316-1)*_Imois,0)),DATE(YEAR(_DebAmort),MONTH(_DebAmort),_Jour1+(Z316-1)*_Ijour)))</f>
        <v>49218</v>
      </c>
      <c r="AD316" s="156">
        <f t="shared" si="54"/>
        <v>78363.180000000109</v>
      </c>
      <c r="AE316" s="153">
        <f>IF(Z316&lt;=_NoEchMaxi,ROUND(AD316*'Données Projet 1'!A325,_NbDeci),0)</f>
        <v>121.46</v>
      </c>
      <c r="AF316" s="152">
        <f>IF(OR(Z316&lt;=_Différé,Z316&gt;_NoEchMaxi),IF(_DiffTotal,-AE316,0),IF(Z316&gt;=_NoEchRemb,AD316,IF('Données Projet 1'!B325-(AE316*_EchFIXE)&gt;AD316-2,AD316,'Données Projet 1'!B325-(AE316*_EchFIXE))))+U316</f>
        <v>647.52</v>
      </c>
      <c r="AG316" s="154">
        <f t="shared" si="55"/>
        <v>19.77</v>
      </c>
      <c r="AH316" s="157">
        <f t="shared" si="49"/>
        <v>788.75</v>
      </c>
      <c r="AI316"/>
      <c r="AJ316" s="3"/>
      <c r="AK316" s="164"/>
      <c r="AL316" s="22"/>
      <c r="AM316" s="21"/>
      <c r="AN316" s="23"/>
      <c r="AO316" s="10"/>
      <c r="AP316" s="5" t="str">
        <f t="shared" si="56"/>
        <v/>
      </c>
      <c r="AQ316" s="7" t="str">
        <f t="shared" si="57"/>
        <v/>
      </c>
      <c r="AR316" s="8" t="str">
        <f t="shared" si="50"/>
        <v/>
      </c>
      <c r="AS316" s="31" t="str">
        <f>IF(AT316=0,"",IF(_Ijour1=0,MIN(DATE(YEAR(_DebAmort1),MONTH(_DebAmort1)+_MoisD1+(AP316-1)*_Imois1,__Jou2),DATE(YEAR(_DebAmort1),MONTH(_DebAmort1)+_MoisD1+1+(AP316-1)*_Imois1,0)),DATE(YEAR(_DebAmort1),MONTH(_DebAmort1),__Jou1+(AP316-1)*_Ijour1)))</f>
        <v/>
      </c>
      <c r="AT316" s="156">
        <f t="shared" si="58"/>
        <v>0</v>
      </c>
      <c r="AU316" s="153">
        <f>IF(AP316&lt;=_NoEchMaxi1,ROUND(AT316*'Données Projet 1'!H325,_NbDeci1),0)</f>
        <v>0</v>
      </c>
      <c r="AV316" s="152">
        <f>IF(OR(AP316&lt;=_Différé1,AP316&gt;_NoEchMaxi1),IF(_DiffTotal1,-AU316,0),IF(AP316&gt;=_NoEchRemb1,AT316,IF('Données Projet 1'!I325-(AU316*_EchFIXE1)&gt;AT316-2,AT316,'Données Projet 1'!I325-(AU316*_EchFIXE1))))+AK316</f>
        <v>0</v>
      </c>
      <c r="AW316" s="154">
        <f t="shared" si="59"/>
        <v>0</v>
      </c>
      <c r="AX316" s="157">
        <f t="shared" si="51"/>
        <v>0</v>
      </c>
    </row>
    <row r="317" spans="20:50" ht="15.75" customHeight="1" x14ac:dyDescent="0.3">
      <c r="T317" s="3"/>
      <c r="U317" s="164"/>
      <c r="V317" s="22"/>
      <c r="W317" s="21"/>
      <c r="X317" s="23"/>
      <c r="Y317" s="10"/>
      <c r="Z317" s="5">
        <f t="shared" si="52"/>
        <v>311</v>
      </c>
      <c r="AA317" s="7">
        <f t="shared" si="53"/>
        <v>110</v>
      </c>
      <c r="AB317" s="8">
        <f t="shared" si="48"/>
        <v>2034</v>
      </c>
      <c r="AC317" s="31">
        <f>IF(AD317=0,"",IF(_Ijour=0,MIN(DATE(YEAR(_DebAmort),MONTH(_DebAmort)+(Z317-1)*_Imois,_Jour1),DATE(YEAR(_DebAmort),MONTH(_DebAmort)+1+(Z317-1)*_Imois,0)),DATE(YEAR(_DebAmort),MONTH(_DebAmort),_Jour1+(Z317-1)*_Ijour)))</f>
        <v>49249</v>
      </c>
      <c r="AD317" s="156">
        <f t="shared" si="54"/>
        <v>77715.660000000105</v>
      </c>
      <c r="AE317" s="153">
        <f>IF(Z317&lt;=_NoEchMaxi,ROUND(AD317*'Données Projet 1'!A326,_NbDeci),0)</f>
        <v>120.46</v>
      </c>
      <c r="AF317" s="152">
        <f>IF(OR(Z317&lt;=_Différé,Z317&gt;_NoEchMaxi),IF(_DiffTotal,-AE317,0),IF(Z317&gt;=_NoEchRemb,AD317,IF('Données Projet 1'!B326-(AE317*_EchFIXE)&gt;AD317-2,AD317,'Données Projet 1'!B326-(AE317*_EchFIXE))))+U317</f>
        <v>648.52</v>
      </c>
      <c r="AG317" s="154">
        <f t="shared" si="55"/>
        <v>19.77</v>
      </c>
      <c r="AH317" s="157">
        <f t="shared" si="49"/>
        <v>788.75</v>
      </c>
      <c r="AI317"/>
      <c r="AJ317" s="3"/>
      <c r="AK317" s="164"/>
      <c r="AL317" s="22"/>
      <c r="AM317" s="21"/>
      <c r="AN317" s="23"/>
      <c r="AO317" s="10"/>
      <c r="AP317" s="5" t="str">
        <f t="shared" si="56"/>
        <v/>
      </c>
      <c r="AQ317" s="7" t="str">
        <f t="shared" si="57"/>
        <v/>
      </c>
      <c r="AR317" s="8" t="str">
        <f t="shared" si="50"/>
        <v/>
      </c>
      <c r="AS317" s="31" t="str">
        <f>IF(AT317=0,"",IF(_Ijour1=0,MIN(DATE(YEAR(_DebAmort1),MONTH(_DebAmort1)+(AP317-1)*_Imois1,__Jou1),DATE(YEAR(_DebAmort1),MONTH(_DebAmort1)+1+(AP317-1)*_Imois1,0)),DATE(YEAR(_DebAmort1),MONTH(_DebAmort1),__Jou1+(AP317-1)*_Ijour1)))</f>
        <v/>
      </c>
      <c r="AT317" s="156">
        <f t="shared" si="58"/>
        <v>0</v>
      </c>
      <c r="AU317" s="153">
        <f>IF(AP317&lt;=_NoEchMaxi1,ROUND(AT317*'Données Projet 1'!H326,_NbDeci1),0)</f>
        <v>0</v>
      </c>
      <c r="AV317" s="152">
        <f>IF(OR(AP317&lt;=_Différé1,AP317&gt;_NoEchMaxi1),IF(_DiffTotal1,-AU317,0),IF(AP317&gt;=_NoEchRemb1,AT317,IF('Données Projet 1'!I326-(AU317*_EchFIXE1)&gt;AT317-2,AT317,'Données Projet 1'!I326-(AU317*_EchFIXE1))))+AK317</f>
        <v>0</v>
      </c>
      <c r="AW317" s="154">
        <f t="shared" si="59"/>
        <v>0</v>
      </c>
      <c r="AX317" s="157">
        <f t="shared" si="51"/>
        <v>0</v>
      </c>
    </row>
    <row r="318" spans="20:50" ht="15.75" customHeight="1" x14ac:dyDescent="0.3">
      <c r="T318" s="3"/>
      <c r="U318" s="164"/>
      <c r="V318" s="22"/>
      <c r="W318" s="21"/>
      <c r="X318" s="23"/>
      <c r="Y318" s="10"/>
      <c r="Z318" s="5">
        <f t="shared" si="52"/>
        <v>312</v>
      </c>
      <c r="AA318" s="7">
        <f t="shared" si="53"/>
        <v>109</v>
      </c>
      <c r="AB318" s="8">
        <f t="shared" si="48"/>
        <v>2034</v>
      </c>
      <c r="AC318" s="31">
        <f>IF(AD318=0,"",IF(_Ijour=0,MIN(DATE(YEAR(_DebAmort),MONTH(_DebAmort)+_MoisD+(Z318-1)*_Imois,_Jour2),DATE(YEAR(_DebAmort),MONTH(_DebAmort)+_MoisD+1+(Z318-1)*_Imois,0)),DATE(YEAR(_DebAmort),MONTH(_DebAmort),_Jour1+(Z318-1)*_Ijour)))</f>
        <v>49279</v>
      </c>
      <c r="AD318" s="156">
        <f t="shared" si="54"/>
        <v>77067.140000000101</v>
      </c>
      <c r="AE318" s="153">
        <f>IF(Z318&lt;=_NoEchMaxi,ROUND(AD318*'Données Projet 1'!A327,_NbDeci),0)</f>
        <v>119.45</v>
      </c>
      <c r="AF318" s="152">
        <f>IF(OR(Z318&lt;=_Différé,Z318&gt;_NoEchMaxi),IF(_DiffTotal,-AE318,0),IF(Z318&gt;=_NoEchRemb,AD318,IF('Données Projet 1'!B327-(AE318*_EchFIXE)&gt;AD318-2,AD318,'Données Projet 1'!B327-(AE318*_EchFIXE))))+U318</f>
        <v>649.53</v>
      </c>
      <c r="AG318" s="154">
        <f t="shared" si="55"/>
        <v>19.77</v>
      </c>
      <c r="AH318" s="157">
        <f t="shared" si="49"/>
        <v>788.75</v>
      </c>
      <c r="AI318"/>
      <c r="AJ318" s="3"/>
      <c r="AK318" s="164"/>
      <c r="AL318" s="22"/>
      <c r="AM318" s="21"/>
      <c r="AN318" s="23"/>
      <c r="AO318" s="10"/>
      <c r="AP318" s="5" t="str">
        <f t="shared" si="56"/>
        <v/>
      </c>
      <c r="AQ318" s="7" t="str">
        <f t="shared" si="57"/>
        <v/>
      </c>
      <c r="AR318" s="8" t="str">
        <f t="shared" si="50"/>
        <v/>
      </c>
      <c r="AS318" s="31" t="str">
        <f>IF(AT318=0,"",IF(_Ijour1=0,MIN(DATE(YEAR(_DebAmort1),MONTH(_DebAmort1)+_MoisD1+(AP318-1)*_Imois1,__Jou2),DATE(YEAR(_DebAmort1),MONTH(_DebAmort1)+_MoisD1+1+(AP318-1)*_Imois1,0)),DATE(YEAR(_DebAmort1),MONTH(_DebAmort1),__Jou1+(AP318-1)*_Ijour1)))</f>
        <v/>
      </c>
      <c r="AT318" s="156">
        <f t="shared" si="58"/>
        <v>0</v>
      </c>
      <c r="AU318" s="153">
        <f>IF(AP318&lt;=_NoEchMaxi1,ROUND(AT318*'Données Projet 1'!H327,_NbDeci1),0)</f>
        <v>0</v>
      </c>
      <c r="AV318" s="152">
        <f>IF(OR(AP318&lt;=_Différé1,AP318&gt;_NoEchMaxi1),IF(_DiffTotal1,-AU318,0),IF(AP318&gt;=_NoEchRemb1,AT318,IF('Données Projet 1'!I327-(AU318*_EchFIXE1)&gt;AT318-2,AT318,'Données Projet 1'!I327-(AU318*_EchFIXE1))))+AK318</f>
        <v>0</v>
      </c>
      <c r="AW318" s="154">
        <f t="shared" si="59"/>
        <v>0</v>
      </c>
      <c r="AX318" s="157">
        <f t="shared" si="51"/>
        <v>0</v>
      </c>
    </row>
    <row r="319" spans="20:50" ht="15.75" customHeight="1" x14ac:dyDescent="0.3">
      <c r="T319" s="3"/>
      <c r="U319" s="164"/>
      <c r="V319" s="22"/>
      <c r="W319" s="21"/>
      <c r="X319" s="23"/>
      <c r="Y319" s="10"/>
      <c r="Z319" s="5">
        <f t="shared" si="52"/>
        <v>313</v>
      </c>
      <c r="AA319" s="7">
        <f t="shared" si="53"/>
        <v>108</v>
      </c>
      <c r="AB319" s="8">
        <f t="shared" si="48"/>
        <v>2035</v>
      </c>
      <c r="AC319" s="31">
        <f>IF(AD319=0,"",IF(_Ijour=0,MIN(DATE(YEAR(_DebAmort),MONTH(_DebAmort)+(Z319-1)*_Imois,_Jour1),DATE(YEAR(_DebAmort),MONTH(_DebAmort)+1+(Z319-1)*_Imois,0)),DATE(YEAR(_DebAmort),MONTH(_DebAmort),_Jour1+(Z319-1)*_Ijour)))</f>
        <v>49310</v>
      </c>
      <c r="AD319" s="156">
        <f t="shared" si="54"/>
        <v>76417.610000000102</v>
      </c>
      <c r="AE319" s="153">
        <f>IF(Z319&lt;=_NoEchMaxi,ROUND(AD319*'Données Projet 1'!A328,_NbDeci),0)</f>
        <v>118.45</v>
      </c>
      <c r="AF319" s="152">
        <f>IF(OR(Z319&lt;=_Différé,Z319&gt;_NoEchMaxi),IF(_DiffTotal,-AE319,0),IF(Z319&gt;=_NoEchRemb,AD319,IF('Données Projet 1'!B328-(AE319*_EchFIXE)&gt;AD319-2,AD319,'Données Projet 1'!B328-(AE319*_EchFIXE))))+U319</f>
        <v>650.53</v>
      </c>
      <c r="AG319" s="154">
        <f t="shared" si="55"/>
        <v>19.77</v>
      </c>
      <c r="AH319" s="157">
        <f t="shared" si="49"/>
        <v>788.75</v>
      </c>
      <c r="AI319"/>
      <c r="AJ319" s="3"/>
      <c r="AK319" s="164"/>
      <c r="AL319" s="22"/>
      <c r="AM319" s="21"/>
      <c r="AN319" s="23"/>
      <c r="AO319" s="10"/>
      <c r="AP319" s="5" t="str">
        <f t="shared" si="56"/>
        <v/>
      </c>
      <c r="AQ319" s="7" t="str">
        <f t="shared" si="57"/>
        <v/>
      </c>
      <c r="AR319" s="8" t="str">
        <f t="shared" si="50"/>
        <v/>
      </c>
      <c r="AS319" s="31" t="str">
        <f>IF(AT319=0,"",IF(_Ijour1=0,MIN(DATE(YEAR(_DebAmort1),MONTH(_DebAmort1)+(AP319-1)*_Imois1,__Jou1),DATE(YEAR(_DebAmort1),MONTH(_DebAmort1)+1+(AP319-1)*_Imois1,0)),DATE(YEAR(_DebAmort1),MONTH(_DebAmort1),__Jou1+(AP319-1)*_Ijour1)))</f>
        <v/>
      </c>
      <c r="AT319" s="156">
        <f t="shared" si="58"/>
        <v>0</v>
      </c>
      <c r="AU319" s="153">
        <f>IF(AP319&lt;=_NoEchMaxi1,ROUND(AT319*'Données Projet 1'!H328,_NbDeci1),0)</f>
        <v>0</v>
      </c>
      <c r="AV319" s="152">
        <f>IF(OR(AP319&lt;=_Différé1,AP319&gt;_NoEchMaxi1),IF(_DiffTotal1,-AU319,0),IF(AP319&gt;=_NoEchRemb1,AT319,IF('Données Projet 1'!I328-(AU319*_EchFIXE1)&gt;AT319-2,AT319,'Données Projet 1'!I328-(AU319*_EchFIXE1))))+AK319</f>
        <v>0</v>
      </c>
      <c r="AW319" s="154">
        <f t="shared" si="59"/>
        <v>0</v>
      </c>
      <c r="AX319" s="157">
        <f t="shared" si="51"/>
        <v>0</v>
      </c>
    </row>
    <row r="320" spans="20:50" ht="15.75" customHeight="1" x14ac:dyDescent="0.3">
      <c r="T320" s="3"/>
      <c r="U320" s="164"/>
      <c r="V320" s="22"/>
      <c r="W320" s="21"/>
      <c r="X320" s="23"/>
      <c r="Y320" s="10"/>
      <c r="Z320" s="5">
        <f t="shared" si="52"/>
        <v>314</v>
      </c>
      <c r="AA320" s="7">
        <f t="shared" si="53"/>
        <v>107</v>
      </c>
      <c r="AB320" s="8">
        <f t="shared" si="48"/>
        <v>2035</v>
      </c>
      <c r="AC320" s="31">
        <f>IF(AD320=0,"",IF(_Ijour=0,MIN(DATE(YEAR(_DebAmort),MONTH(_DebAmort)+_MoisD+(Z320-1)*_Imois,_Jour2),DATE(YEAR(_DebAmort),MONTH(_DebAmort)+_MoisD+1+(Z320-1)*_Imois,0)),DATE(YEAR(_DebAmort),MONTH(_DebAmort),_Jour1+(Z320-1)*_Ijour)))</f>
        <v>49341</v>
      </c>
      <c r="AD320" s="156">
        <f t="shared" si="54"/>
        <v>75767.080000000104</v>
      </c>
      <c r="AE320" s="153">
        <f>IF(Z320&lt;=_NoEchMaxi,ROUND(AD320*'Données Projet 1'!A329,_NbDeci),0)</f>
        <v>117.44</v>
      </c>
      <c r="AF320" s="152">
        <f>IF(OR(Z320&lt;=_Différé,Z320&gt;_NoEchMaxi),IF(_DiffTotal,-AE320,0),IF(Z320&gt;=_NoEchRemb,AD320,IF('Données Projet 1'!B329-(AE320*_EchFIXE)&gt;AD320-2,AD320,'Données Projet 1'!B329-(AE320*_EchFIXE))))+U320</f>
        <v>651.54</v>
      </c>
      <c r="AG320" s="154">
        <f t="shared" si="55"/>
        <v>19.77</v>
      </c>
      <c r="AH320" s="157">
        <f t="shared" si="49"/>
        <v>788.75</v>
      </c>
      <c r="AI320"/>
      <c r="AJ320" s="3"/>
      <c r="AK320" s="164"/>
      <c r="AL320" s="22"/>
      <c r="AM320" s="21"/>
      <c r="AN320" s="23"/>
      <c r="AO320" s="10"/>
      <c r="AP320" s="5" t="str">
        <f t="shared" si="56"/>
        <v/>
      </c>
      <c r="AQ320" s="7" t="str">
        <f t="shared" si="57"/>
        <v/>
      </c>
      <c r="AR320" s="8" t="str">
        <f t="shared" si="50"/>
        <v/>
      </c>
      <c r="AS320" s="31" t="str">
        <f>IF(AT320=0,"",IF(_Ijour1=0,MIN(DATE(YEAR(_DebAmort1),MONTH(_DebAmort1)+_MoisD1+(AP320-1)*_Imois1,__Jou2),DATE(YEAR(_DebAmort1),MONTH(_DebAmort1)+_MoisD1+1+(AP320-1)*_Imois1,0)),DATE(YEAR(_DebAmort1),MONTH(_DebAmort1),__Jou1+(AP320-1)*_Ijour1)))</f>
        <v/>
      </c>
      <c r="AT320" s="156">
        <f t="shared" si="58"/>
        <v>0</v>
      </c>
      <c r="AU320" s="153">
        <f>IF(AP320&lt;=_NoEchMaxi1,ROUND(AT320*'Données Projet 1'!H329,_NbDeci1),0)</f>
        <v>0</v>
      </c>
      <c r="AV320" s="152">
        <f>IF(OR(AP320&lt;=_Différé1,AP320&gt;_NoEchMaxi1),IF(_DiffTotal1,-AU320,0),IF(AP320&gt;=_NoEchRemb1,AT320,IF('Données Projet 1'!I329-(AU320*_EchFIXE1)&gt;AT320-2,AT320,'Données Projet 1'!I329-(AU320*_EchFIXE1))))+AK320</f>
        <v>0</v>
      </c>
      <c r="AW320" s="154">
        <f t="shared" si="59"/>
        <v>0</v>
      </c>
      <c r="AX320" s="157">
        <f t="shared" si="51"/>
        <v>0</v>
      </c>
    </row>
    <row r="321" spans="20:50" ht="15.75" customHeight="1" x14ac:dyDescent="0.3">
      <c r="T321" s="3"/>
      <c r="U321" s="164"/>
      <c r="V321" s="22"/>
      <c r="W321" s="21"/>
      <c r="X321" s="23"/>
      <c r="Y321" s="10"/>
      <c r="Z321" s="5">
        <f t="shared" si="52"/>
        <v>315</v>
      </c>
      <c r="AA321" s="7">
        <f t="shared" si="53"/>
        <v>106</v>
      </c>
      <c r="AB321" s="8">
        <f t="shared" si="48"/>
        <v>2035</v>
      </c>
      <c r="AC321" s="31">
        <f>IF(AD321=0,"",IF(_Ijour=0,MIN(DATE(YEAR(_DebAmort),MONTH(_DebAmort)+(Z321-1)*_Imois,_Jour1),DATE(YEAR(_DebAmort),MONTH(_DebAmort)+1+(Z321-1)*_Imois,0)),DATE(YEAR(_DebAmort),MONTH(_DebAmort),_Jour1+(Z321-1)*_Ijour)))</f>
        <v>49369</v>
      </c>
      <c r="AD321" s="156">
        <f t="shared" si="54"/>
        <v>75115.54000000011</v>
      </c>
      <c r="AE321" s="153">
        <f>IF(Z321&lt;=_NoEchMaxi,ROUND(AD321*'Données Projet 1'!A330,_NbDeci),0)</f>
        <v>116.43</v>
      </c>
      <c r="AF321" s="152">
        <f>IF(OR(Z321&lt;=_Différé,Z321&gt;_NoEchMaxi),IF(_DiffTotal,-AE321,0),IF(Z321&gt;=_NoEchRemb,AD321,IF('Données Projet 1'!B330-(AE321*_EchFIXE)&gt;AD321-2,AD321,'Données Projet 1'!B330-(AE321*_EchFIXE))))+U321</f>
        <v>652.54999999999995</v>
      </c>
      <c r="AG321" s="154">
        <f t="shared" si="55"/>
        <v>19.77</v>
      </c>
      <c r="AH321" s="157">
        <f t="shared" si="49"/>
        <v>788.75</v>
      </c>
      <c r="AI321"/>
      <c r="AJ321" s="3"/>
      <c r="AK321" s="164"/>
      <c r="AL321" s="22"/>
      <c r="AM321" s="21"/>
      <c r="AN321" s="23"/>
      <c r="AO321" s="10"/>
      <c r="AP321" s="5" t="str">
        <f t="shared" si="56"/>
        <v/>
      </c>
      <c r="AQ321" s="7" t="str">
        <f t="shared" si="57"/>
        <v/>
      </c>
      <c r="AR321" s="8" t="str">
        <f t="shared" si="50"/>
        <v/>
      </c>
      <c r="AS321" s="31" t="str">
        <f>IF(AT321=0,"",IF(_Ijour1=0,MIN(DATE(YEAR(_DebAmort1),MONTH(_DebAmort1)+(AP321-1)*_Imois1,__Jou1),DATE(YEAR(_DebAmort1),MONTH(_DebAmort1)+1+(AP321-1)*_Imois1,0)),DATE(YEAR(_DebAmort1),MONTH(_DebAmort1),__Jou1+(AP321-1)*_Ijour1)))</f>
        <v/>
      </c>
      <c r="AT321" s="156">
        <f t="shared" si="58"/>
        <v>0</v>
      </c>
      <c r="AU321" s="153">
        <f>IF(AP321&lt;=_NoEchMaxi1,ROUND(AT321*'Données Projet 1'!H330,_NbDeci1),0)</f>
        <v>0</v>
      </c>
      <c r="AV321" s="152">
        <f>IF(OR(AP321&lt;=_Différé1,AP321&gt;_NoEchMaxi1),IF(_DiffTotal1,-AU321,0),IF(AP321&gt;=_NoEchRemb1,AT321,IF('Données Projet 1'!I330-(AU321*_EchFIXE1)&gt;AT321-2,AT321,'Données Projet 1'!I330-(AU321*_EchFIXE1))))+AK321</f>
        <v>0</v>
      </c>
      <c r="AW321" s="154">
        <f t="shared" si="59"/>
        <v>0</v>
      </c>
      <c r="AX321" s="157">
        <f t="shared" si="51"/>
        <v>0</v>
      </c>
    </row>
    <row r="322" spans="20:50" ht="15.75" customHeight="1" x14ac:dyDescent="0.3">
      <c r="T322" s="3"/>
      <c r="U322" s="164"/>
      <c r="V322" s="22"/>
      <c r="W322" s="21"/>
      <c r="X322" s="23"/>
      <c r="Y322" s="10"/>
      <c r="Z322" s="5">
        <f t="shared" si="52"/>
        <v>316</v>
      </c>
      <c r="AA322" s="7">
        <f t="shared" si="53"/>
        <v>105</v>
      </c>
      <c r="AB322" s="8">
        <f t="shared" si="48"/>
        <v>2035</v>
      </c>
      <c r="AC322" s="31">
        <f>IF(AD322=0,"",IF(_Ijour=0,MIN(DATE(YEAR(_DebAmort),MONTH(_DebAmort)+_MoisD+(Z322-1)*_Imois,_Jour2),DATE(YEAR(_DebAmort),MONTH(_DebAmort)+_MoisD+1+(Z322-1)*_Imois,0)),DATE(YEAR(_DebAmort),MONTH(_DebAmort),_Jour1+(Z322-1)*_Ijour)))</f>
        <v>49400</v>
      </c>
      <c r="AD322" s="156">
        <f t="shared" si="54"/>
        <v>74462.990000000107</v>
      </c>
      <c r="AE322" s="153">
        <f>IF(Z322&lt;=_NoEchMaxi,ROUND(AD322*'Données Projet 1'!A331,_NbDeci),0)</f>
        <v>115.42</v>
      </c>
      <c r="AF322" s="152">
        <f>IF(OR(Z322&lt;=_Différé,Z322&gt;_NoEchMaxi),IF(_DiffTotal,-AE322,0),IF(Z322&gt;=_NoEchRemb,AD322,IF('Données Projet 1'!B331-(AE322*_EchFIXE)&gt;AD322-2,AD322,'Données Projet 1'!B331-(AE322*_EchFIXE))))+U322</f>
        <v>653.56000000000006</v>
      </c>
      <c r="AG322" s="154">
        <f t="shared" si="55"/>
        <v>19.77</v>
      </c>
      <c r="AH322" s="157">
        <f t="shared" si="49"/>
        <v>788.75</v>
      </c>
      <c r="AI322"/>
      <c r="AJ322" s="3"/>
      <c r="AK322" s="164"/>
      <c r="AL322" s="22"/>
      <c r="AM322" s="21"/>
      <c r="AN322" s="23"/>
      <c r="AO322" s="10"/>
      <c r="AP322" s="5" t="str">
        <f t="shared" si="56"/>
        <v/>
      </c>
      <c r="AQ322" s="7" t="str">
        <f t="shared" si="57"/>
        <v/>
      </c>
      <c r="AR322" s="8" t="str">
        <f t="shared" si="50"/>
        <v/>
      </c>
      <c r="AS322" s="31" t="str">
        <f>IF(AT322=0,"",IF(_Ijour1=0,MIN(DATE(YEAR(_DebAmort1),MONTH(_DebAmort1)+_MoisD1+(AP322-1)*_Imois1,__Jou2),DATE(YEAR(_DebAmort1),MONTH(_DebAmort1)+_MoisD1+1+(AP322-1)*_Imois1,0)),DATE(YEAR(_DebAmort1),MONTH(_DebAmort1),__Jou1+(AP322-1)*_Ijour1)))</f>
        <v/>
      </c>
      <c r="AT322" s="156">
        <f t="shared" si="58"/>
        <v>0</v>
      </c>
      <c r="AU322" s="153">
        <f>IF(AP322&lt;=_NoEchMaxi1,ROUND(AT322*'Données Projet 1'!H331,_NbDeci1),0)</f>
        <v>0</v>
      </c>
      <c r="AV322" s="152">
        <f>IF(OR(AP322&lt;=_Différé1,AP322&gt;_NoEchMaxi1),IF(_DiffTotal1,-AU322,0),IF(AP322&gt;=_NoEchRemb1,AT322,IF('Données Projet 1'!I331-(AU322*_EchFIXE1)&gt;AT322-2,AT322,'Données Projet 1'!I331-(AU322*_EchFIXE1))))+AK322</f>
        <v>0</v>
      </c>
      <c r="AW322" s="154">
        <f t="shared" si="59"/>
        <v>0</v>
      </c>
      <c r="AX322" s="157">
        <f t="shared" si="51"/>
        <v>0</v>
      </c>
    </row>
    <row r="323" spans="20:50" ht="15.75" customHeight="1" x14ac:dyDescent="0.3">
      <c r="T323" s="3"/>
      <c r="U323" s="164"/>
      <c r="V323" s="22"/>
      <c r="W323" s="21"/>
      <c r="X323" s="23"/>
      <c r="Y323" s="10"/>
      <c r="Z323" s="5">
        <f t="shared" si="52"/>
        <v>317</v>
      </c>
      <c r="AA323" s="7">
        <f t="shared" si="53"/>
        <v>104</v>
      </c>
      <c r="AB323" s="8">
        <f t="shared" si="48"/>
        <v>2035</v>
      </c>
      <c r="AC323" s="31">
        <f>IF(AD323=0,"",IF(_Ijour=0,MIN(DATE(YEAR(_DebAmort),MONTH(_DebAmort)+(Z323-1)*_Imois,_Jour1),DATE(YEAR(_DebAmort),MONTH(_DebAmort)+1+(Z323-1)*_Imois,0)),DATE(YEAR(_DebAmort),MONTH(_DebAmort),_Jour1+(Z323-1)*_Ijour)))</f>
        <v>49430</v>
      </c>
      <c r="AD323" s="156">
        <f t="shared" si="54"/>
        <v>73809.430000000109</v>
      </c>
      <c r="AE323" s="153">
        <f>IF(Z323&lt;=_NoEchMaxi,ROUND(AD323*'Données Projet 1'!A332,_NbDeci),0)</f>
        <v>114.4</v>
      </c>
      <c r="AF323" s="152">
        <f>IF(OR(Z323&lt;=_Différé,Z323&gt;_NoEchMaxi),IF(_DiffTotal,-AE323,0),IF(Z323&gt;=_NoEchRemb,AD323,IF('Données Projet 1'!B332-(AE323*_EchFIXE)&gt;AD323-2,AD323,'Données Projet 1'!B332-(AE323*_EchFIXE))))+U323</f>
        <v>654.58000000000004</v>
      </c>
      <c r="AG323" s="154">
        <f t="shared" si="55"/>
        <v>19.77</v>
      </c>
      <c r="AH323" s="157">
        <f t="shared" si="49"/>
        <v>788.75</v>
      </c>
      <c r="AI323"/>
      <c r="AJ323" s="3"/>
      <c r="AK323" s="164"/>
      <c r="AL323" s="22"/>
      <c r="AM323" s="21"/>
      <c r="AN323" s="23"/>
      <c r="AO323" s="10"/>
      <c r="AP323" s="5" t="str">
        <f t="shared" si="56"/>
        <v/>
      </c>
      <c r="AQ323" s="7" t="str">
        <f t="shared" si="57"/>
        <v/>
      </c>
      <c r="AR323" s="8" t="str">
        <f t="shared" si="50"/>
        <v/>
      </c>
      <c r="AS323" s="31" t="str">
        <f>IF(AT323=0,"",IF(_Ijour1=0,MIN(DATE(YEAR(_DebAmort1),MONTH(_DebAmort1)+(AP323-1)*_Imois1,__Jou1),DATE(YEAR(_DebAmort1),MONTH(_DebAmort1)+1+(AP323-1)*_Imois1,0)),DATE(YEAR(_DebAmort1),MONTH(_DebAmort1),__Jou1+(AP323-1)*_Ijour1)))</f>
        <v/>
      </c>
      <c r="AT323" s="156">
        <f t="shared" si="58"/>
        <v>0</v>
      </c>
      <c r="AU323" s="153">
        <f>IF(AP323&lt;=_NoEchMaxi1,ROUND(AT323*'Données Projet 1'!H332,_NbDeci1),0)</f>
        <v>0</v>
      </c>
      <c r="AV323" s="152">
        <f>IF(OR(AP323&lt;=_Différé1,AP323&gt;_NoEchMaxi1),IF(_DiffTotal1,-AU323,0),IF(AP323&gt;=_NoEchRemb1,AT323,IF('Données Projet 1'!I332-(AU323*_EchFIXE1)&gt;AT323-2,AT323,'Données Projet 1'!I332-(AU323*_EchFIXE1))))+AK323</f>
        <v>0</v>
      </c>
      <c r="AW323" s="154">
        <f t="shared" si="59"/>
        <v>0</v>
      </c>
      <c r="AX323" s="157">
        <f t="shared" si="51"/>
        <v>0</v>
      </c>
    </row>
    <row r="324" spans="20:50" ht="15.75" customHeight="1" x14ac:dyDescent="0.3">
      <c r="T324" s="3"/>
      <c r="U324" s="164"/>
      <c r="V324" s="22"/>
      <c r="W324" s="21"/>
      <c r="X324" s="23"/>
      <c r="Y324" s="10"/>
      <c r="Z324" s="5">
        <f t="shared" si="52"/>
        <v>318</v>
      </c>
      <c r="AA324" s="7">
        <f t="shared" si="53"/>
        <v>103</v>
      </c>
      <c r="AB324" s="8">
        <f t="shared" si="48"/>
        <v>2035</v>
      </c>
      <c r="AC324" s="31">
        <f>IF(AD324=0,"",IF(_Ijour=0,MIN(DATE(YEAR(_DebAmort),MONTH(_DebAmort)+_MoisD+(Z324-1)*_Imois,_Jour2),DATE(YEAR(_DebAmort),MONTH(_DebAmort)+_MoisD+1+(Z324-1)*_Imois,0)),DATE(YEAR(_DebAmort),MONTH(_DebAmort),_Jour1+(Z324-1)*_Ijour)))</f>
        <v>49461</v>
      </c>
      <c r="AD324" s="156">
        <f t="shared" si="54"/>
        <v>73154.850000000108</v>
      </c>
      <c r="AE324" s="153">
        <f>IF(Z324&lt;=_NoEchMaxi,ROUND(AD324*'Données Projet 1'!A333,_NbDeci),0)</f>
        <v>113.39</v>
      </c>
      <c r="AF324" s="152">
        <f>IF(OR(Z324&lt;=_Différé,Z324&gt;_NoEchMaxi),IF(_DiffTotal,-AE324,0),IF(Z324&gt;=_NoEchRemb,AD324,IF('Données Projet 1'!B333-(AE324*_EchFIXE)&gt;AD324-2,AD324,'Données Projet 1'!B333-(AE324*_EchFIXE))))+U324</f>
        <v>655.59</v>
      </c>
      <c r="AG324" s="154">
        <f t="shared" si="55"/>
        <v>19.77</v>
      </c>
      <c r="AH324" s="157">
        <f t="shared" si="49"/>
        <v>788.75</v>
      </c>
      <c r="AI324"/>
      <c r="AJ324" s="3"/>
      <c r="AK324" s="164"/>
      <c r="AL324" s="22"/>
      <c r="AM324" s="21"/>
      <c r="AN324" s="23"/>
      <c r="AO324" s="10"/>
      <c r="AP324" s="5" t="str">
        <f t="shared" si="56"/>
        <v/>
      </c>
      <c r="AQ324" s="7" t="str">
        <f t="shared" si="57"/>
        <v/>
      </c>
      <c r="AR324" s="8" t="str">
        <f t="shared" si="50"/>
        <v/>
      </c>
      <c r="AS324" s="31" t="str">
        <f>IF(AT324=0,"",IF(_Ijour1=0,MIN(DATE(YEAR(_DebAmort1),MONTH(_DebAmort1)+_MoisD1+(AP324-1)*_Imois1,__Jou2),DATE(YEAR(_DebAmort1),MONTH(_DebAmort1)+_MoisD1+1+(AP324-1)*_Imois1,0)),DATE(YEAR(_DebAmort1),MONTH(_DebAmort1),__Jou1+(AP324-1)*_Ijour1)))</f>
        <v/>
      </c>
      <c r="AT324" s="156">
        <f t="shared" si="58"/>
        <v>0</v>
      </c>
      <c r="AU324" s="153">
        <f>IF(AP324&lt;=_NoEchMaxi1,ROUND(AT324*'Données Projet 1'!H333,_NbDeci1),0)</f>
        <v>0</v>
      </c>
      <c r="AV324" s="152">
        <f>IF(OR(AP324&lt;=_Différé1,AP324&gt;_NoEchMaxi1),IF(_DiffTotal1,-AU324,0),IF(AP324&gt;=_NoEchRemb1,AT324,IF('Données Projet 1'!I333-(AU324*_EchFIXE1)&gt;AT324-2,AT324,'Données Projet 1'!I333-(AU324*_EchFIXE1))))+AK324</f>
        <v>0</v>
      </c>
      <c r="AW324" s="154">
        <f t="shared" si="59"/>
        <v>0</v>
      </c>
      <c r="AX324" s="157">
        <f t="shared" si="51"/>
        <v>0</v>
      </c>
    </row>
    <row r="325" spans="20:50" ht="15.75" customHeight="1" x14ac:dyDescent="0.3">
      <c r="T325" s="3"/>
      <c r="U325" s="164"/>
      <c r="V325" s="22"/>
      <c r="W325" s="21"/>
      <c r="X325" s="23"/>
      <c r="Y325" s="10"/>
      <c r="Z325" s="5">
        <f t="shared" si="52"/>
        <v>319</v>
      </c>
      <c r="AA325" s="7">
        <f t="shared" si="53"/>
        <v>102</v>
      </c>
      <c r="AB325" s="8">
        <f t="shared" si="48"/>
        <v>2035</v>
      </c>
      <c r="AC325" s="31">
        <f>IF(AD325=0,"",IF(_Ijour=0,MIN(DATE(YEAR(_DebAmort),MONTH(_DebAmort)+(Z325-1)*_Imois,_Jour1),DATE(YEAR(_DebAmort),MONTH(_DebAmort)+1+(Z325-1)*_Imois,0)),DATE(YEAR(_DebAmort),MONTH(_DebAmort),_Jour1+(Z325-1)*_Ijour)))</f>
        <v>49491</v>
      </c>
      <c r="AD325" s="156">
        <f t="shared" si="54"/>
        <v>72499.260000000111</v>
      </c>
      <c r="AE325" s="153">
        <f>IF(Z325&lt;=_NoEchMaxi,ROUND(AD325*'Données Projet 1'!A334,_NbDeci),0)</f>
        <v>112.37</v>
      </c>
      <c r="AF325" s="152">
        <f>IF(OR(Z325&lt;=_Différé,Z325&gt;_NoEchMaxi),IF(_DiffTotal,-AE325,0),IF(Z325&gt;=_NoEchRemb,AD325,IF('Données Projet 1'!B334-(AE325*_EchFIXE)&gt;AD325-2,AD325,'Données Projet 1'!B334-(AE325*_EchFIXE))))+U325</f>
        <v>656.61</v>
      </c>
      <c r="AG325" s="154">
        <f t="shared" si="55"/>
        <v>19.77</v>
      </c>
      <c r="AH325" s="157">
        <f t="shared" si="49"/>
        <v>788.75</v>
      </c>
      <c r="AI325"/>
      <c r="AJ325" s="3"/>
      <c r="AK325" s="164"/>
      <c r="AL325" s="22"/>
      <c r="AM325" s="21"/>
      <c r="AN325" s="23"/>
      <c r="AO325" s="10"/>
      <c r="AP325" s="5" t="str">
        <f t="shared" si="56"/>
        <v/>
      </c>
      <c r="AQ325" s="7" t="str">
        <f t="shared" si="57"/>
        <v/>
      </c>
      <c r="AR325" s="8" t="str">
        <f t="shared" si="50"/>
        <v/>
      </c>
      <c r="AS325" s="31" t="str">
        <f>IF(AT325=0,"",IF(_Ijour1=0,MIN(DATE(YEAR(_DebAmort1),MONTH(_DebAmort1)+(AP325-1)*_Imois1,__Jou1),DATE(YEAR(_DebAmort1),MONTH(_DebAmort1)+1+(AP325-1)*_Imois1,0)),DATE(YEAR(_DebAmort1),MONTH(_DebAmort1),__Jou1+(AP325-1)*_Ijour1)))</f>
        <v/>
      </c>
      <c r="AT325" s="156">
        <f t="shared" si="58"/>
        <v>0</v>
      </c>
      <c r="AU325" s="153">
        <f>IF(AP325&lt;=_NoEchMaxi1,ROUND(AT325*'Données Projet 1'!H334,_NbDeci1),0)</f>
        <v>0</v>
      </c>
      <c r="AV325" s="152">
        <f>IF(OR(AP325&lt;=_Différé1,AP325&gt;_NoEchMaxi1),IF(_DiffTotal1,-AU325,0),IF(AP325&gt;=_NoEchRemb1,AT325,IF('Données Projet 1'!I334-(AU325*_EchFIXE1)&gt;AT325-2,AT325,'Données Projet 1'!I334-(AU325*_EchFIXE1))))+AK325</f>
        <v>0</v>
      </c>
      <c r="AW325" s="154">
        <f t="shared" si="59"/>
        <v>0</v>
      </c>
      <c r="AX325" s="157">
        <f t="shared" si="51"/>
        <v>0</v>
      </c>
    </row>
    <row r="326" spans="20:50" ht="15.75" customHeight="1" x14ac:dyDescent="0.3">
      <c r="T326" s="3"/>
      <c r="U326" s="164"/>
      <c r="V326" s="22"/>
      <c r="W326" s="21"/>
      <c r="X326" s="23"/>
      <c r="Y326" s="10"/>
      <c r="Z326" s="5">
        <f t="shared" si="52"/>
        <v>320</v>
      </c>
      <c r="AA326" s="7">
        <f t="shared" si="53"/>
        <v>101</v>
      </c>
      <c r="AB326" s="8">
        <f t="shared" ref="AB326:AB389" si="60">IF(ISNUMBER(AC326),YEAR(AC326),"")</f>
        <v>2035</v>
      </c>
      <c r="AC326" s="31">
        <f>IF(AD326=0,"",IF(_Ijour=0,MIN(DATE(YEAR(_DebAmort),MONTH(_DebAmort)+_MoisD+(Z326-1)*_Imois,_Jour2),DATE(YEAR(_DebAmort),MONTH(_DebAmort)+_MoisD+1+(Z326-1)*_Imois,0)),DATE(YEAR(_DebAmort),MONTH(_DebAmort),_Jour1+(Z326-1)*_Ijour)))</f>
        <v>49522</v>
      </c>
      <c r="AD326" s="156">
        <f t="shared" si="54"/>
        <v>71842.650000000111</v>
      </c>
      <c r="AE326" s="153">
        <f>IF(Z326&lt;=_NoEchMaxi,ROUND(AD326*'Données Projet 1'!A335,_NbDeci),0)</f>
        <v>111.36</v>
      </c>
      <c r="AF326" s="152">
        <f>IF(OR(Z326&lt;=_Différé,Z326&gt;_NoEchMaxi),IF(_DiffTotal,-AE326,0),IF(Z326&gt;=_NoEchRemb,AD326,IF('Données Projet 1'!B335-(AE326*_EchFIXE)&gt;AD326-2,AD326,'Données Projet 1'!B335-(AE326*_EchFIXE))))+U326</f>
        <v>657.62</v>
      </c>
      <c r="AG326" s="154">
        <f t="shared" si="55"/>
        <v>19.77</v>
      </c>
      <c r="AH326" s="157">
        <f t="shared" ref="AH326:AH389" si="61">SUM(AE326:AG326)</f>
        <v>788.75</v>
      </c>
      <c r="AI326"/>
      <c r="AJ326" s="3"/>
      <c r="AK326" s="164"/>
      <c r="AL326" s="22"/>
      <c r="AM326" s="21"/>
      <c r="AN326" s="23"/>
      <c r="AO326" s="10"/>
      <c r="AP326" s="5" t="str">
        <f t="shared" si="56"/>
        <v/>
      </c>
      <c r="AQ326" s="7" t="str">
        <f t="shared" si="57"/>
        <v/>
      </c>
      <c r="AR326" s="8" t="str">
        <f t="shared" ref="AR326:AR389" si="62">IF(ISNUMBER(AS326),YEAR(AS326),"")</f>
        <v/>
      </c>
      <c r="AS326" s="31" t="str">
        <f>IF(AT326=0,"",IF(_Ijour1=0,MIN(DATE(YEAR(_DebAmort1),MONTH(_DebAmort1)+_MoisD1+(AP326-1)*_Imois1,__Jou2),DATE(YEAR(_DebAmort1),MONTH(_DebAmort1)+_MoisD1+1+(AP326-1)*_Imois1,0)),DATE(YEAR(_DebAmort1),MONTH(_DebAmort1),__Jou1+(AP326-1)*_Ijour1)))</f>
        <v/>
      </c>
      <c r="AT326" s="156">
        <f t="shared" si="58"/>
        <v>0</v>
      </c>
      <c r="AU326" s="153">
        <f>IF(AP326&lt;=_NoEchMaxi1,ROUND(AT326*'Données Projet 1'!H335,_NbDeci1),0)</f>
        <v>0</v>
      </c>
      <c r="AV326" s="152">
        <f>IF(OR(AP326&lt;=_Différé1,AP326&gt;_NoEchMaxi1),IF(_DiffTotal1,-AU326,0),IF(AP326&gt;=_NoEchRemb1,AT326,IF('Données Projet 1'!I335-(AU326*_EchFIXE1)&gt;AT326-2,AT326,'Données Projet 1'!I335-(AU326*_EchFIXE1))))+AK326</f>
        <v>0</v>
      </c>
      <c r="AW326" s="154">
        <f t="shared" si="59"/>
        <v>0</v>
      </c>
      <c r="AX326" s="157">
        <f t="shared" ref="AX326:AX389" si="63">SUM(AU326:AW326)</f>
        <v>0</v>
      </c>
    </row>
    <row r="327" spans="20:50" ht="15.75" customHeight="1" x14ac:dyDescent="0.3">
      <c r="T327" s="3"/>
      <c r="U327" s="164"/>
      <c r="V327" s="22"/>
      <c r="W327" s="21"/>
      <c r="X327" s="23"/>
      <c r="Y327" s="10"/>
      <c r="Z327" s="5">
        <f t="shared" ref="Z327:Z390" si="64">IF(AD327=0,"",Z326+1)</f>
        <v>321</v>
      </c>
      <c r="AA327" s="7">
        <f t="shared" ref="AA327:AA390" si="65">IF(AD327&gt;0,_NbEch+_Différé+1-Z327,"")</f>
        <v>100</v>
      </c>
      <c r="AB327" s="8">
        <f t="shared" si="60"/>
        <v>2035</v>
      </c>
      <c r="AC327" s="31">
        <f>IF(AD327=0,"",IF(_Ijour=0,MIN(DATE(YEAR(_DebAmort),MONTH(_DebAmort)+(Z327-1)*_Imois,_Jour1),DATE(YEAR(_DebAmort),MONTH(_DebAmort)+1+(Z327-1)*_Imois,0)),DATE(YEAR(_DebAmort),MONTH(_DebAmort),_Jour1+(Z327-1)*_Ijour)))</f>
        <v>49553</v>
      </c>
      <c r="AD327" s="156">
        <f t="shared" ref="AD327:AD390" si="66">AD326-AF326</f>
        <v>71185.030000000115</v>
      </c>
      <c r="AE327" s="153">
        <f>IF(Z327&lt;=_NoEchMaxi,ROUND(AD327*'Données Projet 1'!A336,_NbDeci),0)</f>
        <v>110.34</v>
      </c>
      <c r="AF327" s="152">
        <f>IF(OR(Z327&lt;=_Différé,Z327&gt;_NoEchMaxi),IF(_DiffTotal,-AE327,0),IF(Z327&gt;=_NoEchRemb,AD327,IF('Données Projet 1'!B336-(AE327*_EchFIXE)&gt;AD327-2,AD327,'Données Projet 1'!B336-(AE327*_EchFIXE))))+U327</f>
        <v>658.64</v>
      </c>
      <c r="AG327" s="154">
        <f t="shared" ref="AG327:AG390" si="67">IF(OR(AD327=0,Z327&gt;_NoEchMaxi),0,ROUND(_FraisF+_FraisV*AD327,_NbDeci))+X327</f>
        <v>19.77</v>
      </c>
      <c r="AH327" s="157">
        <f t="shared" si="61"/>
        <v>788.75</v>
      </c>
      <c r="AI327"/>
      <c r="AJ327" s="3"/>
      <c r="AK327" s="164"/>
      <c r="AL327" s="22"/>
      <c r="AM327" s="21"/>
      <c r="AN327" s="23"/>
      <c r="AO327" s="10"/>
      <c r="AP327" s="5" t="str">
        <f t="shared" ref="AP327:AP390" si="68">IF(AT327=0,"",AP326+1)</f>
        <v/>
      </c>
      <c r="AQ327" s="7" t="str">
        <f t="shared" ref="AQ327:AQ390" si="69">IF(AT327&gt;0,_NbEch1+_Différé1+1-AP327,"")</f>
        <v/>
      </c>
      <c r="AR327" s="8" t="str">
        <f t="shared" si="62"/>
        <v/>
      </c>
      <c r="AS327" s="31" t="str">
        <f>IF(AT327=0,"",IF(_Ijour1=0,MIN(DATE(YEAR(_DebAmort1),MONTH(_DebAmort1)+(AP327-1)*_Imois1,__Jou1),DATE(YEAR(_DebAmort1),MONTH(_DebAmort1)+1+(AP327-1)*_Imois1,0)),DATE(YEAR(_DebAmort1),MONTH(_DebAmort1),__Jou1+(AP327-1)*_Ijour1)))</f>
        <v/>
      </c>
      <c r="AT327" s="156">
        <f t="shared" ref="AT327:AT390" si="70">AT326-AV326</f>
        <v>0</v>
      </c>
      <c r="AU327" s="153">
        <f>IF(AP327&lt;=_NoEchMaxi1,ROUND(AT327*'Données Projet 1'!H336,_NbDeci1),0)</f>
        <v>0</v>
      </c>
      <c r="AV327" s="152">
        <f>IF(OR(AP327&lt;=_Différé1,AP327&gt;_NoEchMaxi1),IF(_DiffTotal1,-AU327,0),IF(AP327&gt;=_NoEchRemb1,AT327,IF('Données Projet 1'!I336-(AU327*_EchFIXE1)&gt;AT327-2,AT327,'Données Projet 1'!I336-(AU327*_EchFIXE1))))+AK327</f>
        <v>0</v>
      </c>
      <c r="AW327" s="154">
        <f t="shared" ref="AW327:AW390" si="71">IF(OR(AT327=0,AP327&gt;_NoEchMaxi1),0,ROUND(_FraisF1+_FraisV1*AT327,_NbDeci1))+AN327</f>
        <v>0</v>
      </c>
      <c r="AX327" s="157">
        <f t="shared" si="63"/>
        <v>0</v>
      </c>
    </row>
    <row r="328" spans="20:50" ht="15.75" customHeight="1" x14ac:dyDescent="0.3">
      <c r="T328" s="3"/>
      <c r="U328" s="164"/>
      <c r="V328" s="22"/>
      <c r="W328" s="21"/>
      <c r="X328" s="23"/>
      <c r="Y328" s="10"/>
      <c r="Z328" s="5">
        <f t="shared" si="64"/>
        <v>322</v>
      </c>
      <c r="AA328" s="7">
        <f t="shared" si="65"/>
        <v>99</v>
      </c>
      <c r="AB328" s="8">
        <f t="shared" si="60"/>
        <v>2035</v>
      </c>
      <c r="AC328" s="31">
        <f>IF(AD328=0,"",IF(_Ijour=0,MIN(DATE(YEAR(_DebAmort),MONTH(_DebAmort)+_MoisD+(Z328-1)*_Imois,_Jour2),DATE(YEAR(_DebAmort),MONTH(_DebAmort)+_MoisD+1+(Z328-1)*_Imois,0)),DATE(YEAR(_DebAmort),MONTH(_DebAmort),_Jour1+(Z328-1)*_Ijour)))</f>
        <v>49583</v>
      </c>
      <c r="AD328" s="156">
        <f t="shared" si="66"/>
        <v>70526.390000000116</v>
      </c>
      <c r="AE328" s="153">
        <f>IF(Z328&lt;=_NoEchMaxi,ROUND(AD328*'Données Projet 1'!A337,_NbDeci),0)</f>
        <v>109.32</v>
      </c>
      <c r="AF328" s="152">
        <f>IF(OR(Z328&lt;=_Différé,Z328&gt;_NoEchMaxi),IF(_DiffTotal,-AE328,0),IF(Z328&gt;=_NoEchRemb,AD328,IF('Données Projet 1'!B337-(AE328*_EchFIXE)&gt;AD328-2,AD328,'Données Projet 1'!B337-(AE328*_EchFIXE))))+U328</f>
        <v>659.66000000000008</v>
      </c>
      <c r="AG328" s="154">
        <f t="shared" si="67"/>
        <v>19.77</v>
      </c>
      <c r="AH328" s="157">
        <f t="shared" si="61"/>
        <v>788.75</v>
      </c>
      <c r="AI328"/>
      <c r="AJ328" s="3"/>
      <c r="AK328" s="164"/>
      <c r="AL328" s="22"/>
      <c r="AM328" s="21"/>
      <c r="AN328" s="23"/>
      <c r="AO328" s="10"/>
      <c r="AP328" s="5" t="str">
        <f t="shared" si="68"/>
        <v/>
      </c>
      <c r="AQ328" s="7" t="str">
        <f t="shared" si="69"/>
        <v/>
      </c>
      <c r="AR328" s="8" t="str">
        <f t="shared" si="62"/>
        <v/>
      </c>
      <c r="AS328" s="31" t="str">
        <f>IF(AT328=0,"",IF(_Ijour1=0,MIN(DATE(YEAR(_DebAmort1),MONTH(_DebAmort1)+_MoisD1+(AP328-1)*_Imois1,__Jou2),DATE(YEAR(_DebAmort1),MONTH(_DebAmort1)+_MoisD1+1+(AP328-1)*_Imois1,0)),DATE(YEAR(_DebAmort1),MONTH(_DebAmort1),__Jou1+(AP328-1)*_Ijour1)))</f>
        <v/>
      </c>
      <c r="AT328" s="156">
        <f t="shared" si="70"/>
        <v>0</v>
      </c>
      <c r="AU328" s="153">
        <f>IF(AP328&lt;=_NoEchMaxi1,ROUND(AT328*'Données Projet 1'!H337,_NbDeci1),0)</f>
        <v>0</v>
      </c>
      <c r="AV328" s="152">
        <f>IF(OR(AP328&lt;=_Différé1,AP328&gt;_NoEchMaxi1),IF(_DiffTotal1,-AU328,0),IF(AP328&gt;=_NoEchRemb1,AT328,IF('Données Projet 1'!I337-(AU328*_EchFIXE1)&gt;AT328-2,AT328,'Données Projet 1'!I337-(AU328*_EchFIXE1))))+AK328</f>
        <v>0</v>
      </c>
      <c r="AW328" s="154">
        <f t="shared" si="71"/>
        <v>0</v>
      </c>
      <c r="AX328" s="157">
        <f t="shared" si="63"/>
        <v>0</v>
      </c>
    </row>
    <row r="329" spans="20:50" ht="15.75" customHeight="1" x14ac:dyDescent="0.3">
      <c r="T329" s="3"/>
      <c r="U329" s="164"/>
      <c r="V329" s="22"/>
      <c r="W329" s="21"/>
      <c r="X329" s="23"/>
      <c r="Y329" s="10"/>
      <c r="Z329" s="5">
        <f t="shared" si="64"/>
        <v>323</v>
      </c>
      <c r="AA329" s="7">
        <f t="shared" si="65"/>
        <v>98</v>
      </c>
      <c r="AB329" s="8">
        <f t="shared" si="60"/>
        <v>2035</v>
      </c>
      <c r="AC329" s="31">
        <f>IF(AD329=0,"",IF(_Ijour=0,MIN(DATE(YEAR(_DebAmort),MONTH(_DebAmort)+(Z329-1)*_Imois,_Jour1),DATE(YEAR(_DebAmort),MONTH(_DebAmort)+1+(Z329-1)*_Imois,0)),DATE(YEAR(_DebAmort),MONTH(_DebAmort),_Jour1+(Z329-1)*_Ijour)))</f>
        <v>49614</v>
      </c>
      <c r="AD329" s="156">
        <f t="shared" si="66"/>
        <v>69866.730000000112</v>
      </c>
      <c r="AE329" s="153">
        <f>IF(Z329&lt;=_NoEchMaxi,ROUND(AD329*'Données Projet 1'!A338,_NbDeci),0)</f>
        <v>108.29</v>
      </c>
      <c r="AF329" s="152">
        <f>IF(OR(Z329&lt;=_Différé,Z329&gt;_NoEchMaxi),IF(_DiffTotal,-AE329,0),IF(Z329&gt;=_NoEchRemb,AD329,IF('Données Projet 1'!B338-(AE329*_EchFIXE)&gt;AD329-2,AD329,'Données Projet 1'!B338-(AE329*_EchFIXE))))+U329</f>
        <v>660.69</v>
      </c>
      <c r="AG329" s="154">
        <f t="shared" si="67"/>
        <v>19.77</v>
      </c>
      <c r="AH329" s="157">
        <f t="shared" si="61"/>
        <v>788.75</v>
      </c>
      <c r="AI329"/>
      <c r="AJ329" s="3"/>
      <c r="AK329" s="164"/>
      <c r="AL329" s="22"/>
      <c r="AM329" s="21"/>
      <c r="AN329" s="23"/>
      <c r="AO329" s="10"/>
      <c r="AP329" s="5" t="str">
        <f t="shared" si="68"/>
        <v/>
      </c>
      <c r="AQ329" s="7" t="str">
        <f t="shared" si="69"/>
        <v/>
      </c>
      <c r="AR329" s="8" t="str">
        <f t="shared" si="62"/>
        <v/>
      </c>
      <c r="AS329" s="31" t="str">
        <f>IF(AT329=0,"",IF(_Ijour1=0,MIN(DATE(YEAR(_DebAmort1),MONTH(_DebAmort1)+(AP329-1)*_Imois1,__Jou1),DATE(YEAR(_DebAmort1),MONTH(_DebAmort1)+1+(AP329-1)*_Imois1,0)),DATE(YEAR(_DebAmort1),MONTH(_DebAmort1),__Jou1+(AP329-1)*_Ijour1)))</f>
        <v/>
      </c>
      <c r="AT329" s="156">
        <f t="shared" si="70"/>
        <v>0</v>
      </c>
      <c r="AU329" s="153">
        <f>IF(AP329&lt;=_NoEchMaxi1,ROUND(AT329*'Données Projet 1'!H338,_NbDeci1),0)</f>
        <v>0</v>
      </c>
      <c r="AV329" s="152">
        <f>IF(OR(AP329&lt;=_Différé1,AP329&gt;_NoEchMaxi1),IF(_DiffTotal1,-AU329,0),IF(AP329&gt;=_NoEchRemb1,AT329,IF('Données Projet 1'!I338-(AU329*_EchFIXE1)&gt;AT329-2,AT329,'Données Projet 1'!I338-(AU329*_EchFIXE1))))+AK329</f>
        <v>0</v>
      </c>
      <c r="AW329" s="154">
        <f t="shared" si="71"/>
        <v>0</v>
      </c>
      <c r="AX329" s="157">
        <f t="shared" si="63"/>
        <v>0</v>
      </c>
    </row>
    <row r="330" spans="20:50" ht="15.75" customHeight="1" x14ac:dyDescent="0.3">
      <c r="T330" s="3"/>
      <c r="U330" s="164"/>
      <c r="V330" s="22"/>
      <c r="W330" s="21"/>
      <c r="X330" s="23"/>
      <c r="Y330" s="10"/>
      <c r="Z330" s="5">
        <f t="shared" si="64"/>
        <v>324</v>
      </c>
      <c r="AA330" s="7">
        <f t="shared" si="65"/>
        <v>97</v>
      </c>
      <c r="AB330" s="8">
        <f t="shared" si="60"/>
        <v>2035</v>
      </c>
      <c r="AC330" s="31">
        <f>IF(AD330=0,"",IF(_Ijour=0,MIN(DATE(YEAR(_DebAmort),MONTH(_DebAmort)+_MoisD+(Z330-1)*_Imois,_Jour2),DATE(YEAR(_DebAmort),MONTH(_DebAmort)+_MoisD+1+(Z330-1)*_Imois,0)),DATE(YEAR(_DebAmort),MONTH(_DebAmort),_Jour1+(Z330-1)*_Ijour)))</f>
        <v>49644</v>
      </c>
      <c r="AD330" s="156">
        <f t="shared" si="66"/>
        <v>69206.04000000011</v>
      </c>
      <c r="AE330" s="153">
        <f>IF(Z330&lt;=_NoEchMaxi,ROUND(AD330*'Données Projet 1'!A339,_NbDeci),0)</f>
        <v>107.27</v>
      </c>
      <c r="AF330" s="152">
        <f>IF(OR(Z330&lt;=_Différé,Z330&gt;_NoEchMaxi),IF(_DiffTotal,-AE330,0),IF(Z330&gt;=_NoEchRemb,AD330,IF('Données Projet 1'!B339-(AE330*_EchFIXE)&gt;AD330-2,AD330,'Données Projet 1'!B339-(AE330*_EchFIXE))))+U330</f>
        <v>661.71</v>
      </c>
      <c r="AG330" s="154">
        <f t="shared" si="67"/>
        <v>19.77</v>
      </c>
      <c r="AH330" s="157">
        <f t="shared" si="61"/>
        <v>788.75</v>
      </c>
      <c r="AI330"/>
      <c r="AJ330" s="3"/>
      <c r="AK330" s="164"/>
      <c r="AL330" s="22"/>
      <c r="AM330" s="21"/>
      <c r="AN330" s="23"/>
      <c r="AO330" s="10"/>
      <c r="AP330" s="5" t="str">
        <f t="shared" si="68"/>
        <v/>
      </c>
      <c r="AQ330" s="7" t="str">
        <f t="shared" si="69"/>
        <v/>
      </c>
      <c r="AR330" s="8" t="str">
        <f t="shared" si="62"/>
        <v/>
      </c>
      <c r="AS330" s="31" t="str">
        <f>IF(AT330=0,"",IF(_Ijour1=0,MIN(DATE(YEAR(_DebAmort1),MONTH(_DebAmort1)+_MoisD1+(AP330-1)*_Imois1,__Jou2),DATE(YEAR(_DebAmort1),MONTH(_DebAmort1)+_MoisD1+1+(AP330-1)*_Imois1,0)),DATE(YEAR(_DebAmort1),MONTH(_DebAmort1),__Jou1+(AP330-1)*_Ijour1)))</f>
        <v/>
      </c>
      <c r="AT330" s="156">
        <f t="shared" si="70"/>
        <v>0</v>
      </c>
      <c r="AU330" s="153">
        <f>IF(AP330&lt;=_NoEchMaxi1,ROUND(AT330*'Données Projet 1'!H339,_NbDeci1),0)</f>
        <v>0</v>
      </c>
      <c r="AV330" s="152">
        <f>IF(OR(AP330&lt;=_Différé1,AP330&gt;_NoEchMaxi1),IF(_DiffTotal1,-AU330,0),IF(AP330&gt;=_NoEchRemb1,AT330,IF('Données Projet 1'!I339-(AU330*_EchFIXE1)&gt;AT330-2,AT330,'Données Projet 1'!I339-(AU330*_EchFIXE1))))+AK330</f>
        <v>0</v>
      </c>
      <c r="AW330" s="154">
        <f t="shared" si="71"/>
        <v>0</v>
      </c>
      <c r="AX330" s="157">
        <f t="shared" si="63"/>
        <v>0</v>
      </c>
    </row>
    <row r="331" spans="20:50" ht="15.75" customHeight="1" x14ac:dyDescent="0.3">
      <c r="T331" s="3"/>
      <c r="U331" s="164"/>
      <c r="V331" s="22"/>
      <c r="W331" s="21"/>
      <c r="X331" s="23"/>
      <c r="Y331" s="10"/>
      <c r="Z331" s="5">
        <f t="shared" si="64"/>
        <v>325</v>
      </c>
      <c r="AA331" s="7">
        <f t="shared" si="65"/>
        <v>96</v>
      </c>
      <c r="AB331" s="8">
        <f t="shared" si="60"/>
        <v>2036</v>
      </c>
      <c r="AC331" s="31">
        <f>IF(AD331=0,"",IF(_Ijour=0,MIN(DATE(YEAR(_DebAmort),MONTH(_DebAmort)+(Z331-1)*_Imois,_Jour1),DATE(YEAR(_DebAmort),MONTH(_DebAmort)+1+(Z331-1)*_Imois,0)),DATE(YEAR(_DebAmort),MONTH(_DebAmort),_Jour1+(Z331-1)*_Ijour)))</f>
        <v>49675</v>
      </c>
      <c r="AD331" s="156">
        <f t="shared" si="66"/>
        <v>68544.330000000104</v>
      </c>
      <c r="AE331" s="153">
        <f>IF(Z331&lt;=_NoEchMaxi,ROUND(AD331*'Données Projet 1'!A340,_NbDeci),0)</f>
        <v>106.24</v>
      </c>
      <c r="AF331" s="152">
        <f>IF(OR(Z331&lt;=_Différé,Z331&gt;_NoEchMaxi),IF(_DiffTotal,-AE331,0),IF(Z331&gt;=_NoEchRemb,AD331,IF('Données Projet 1'!B340-(AE331*_EchFIXE)&gt;AD331-2,AD331,'Données Projet 1'!B340-(AE331*_EchFIXE))))+U331</f>
        <v>662.74</v>
      </c>
      <c r="AG331" s="154">
        <f t="shared" si="67"/>
        <v>19.77</v>
      </c>
      <c r="AH331" s="157">
        <f t="shared" si="61"/>
        <v>788.75</v>
      </c>
      <c r="AI331"/>
      <c r="AJ331" s="3"/>
      <c r="AK331" s="164"/>
      <c r="AL331" s="22"/>
      <c r="AM331" s="21"/>
      <c r="AN331" s="23"/>
      <c r="AO331" s="10"/>
      <c r="AP331" s="5" t="str">
        <f t="shared" si="68"/>
        <v/>
      </c>
      <c r="AQ331" s="7" t="str">
        <f t="shared" si="69"/>
        <v/>
      </c>
      <c r="AR331" s="8" t="str">
        <f t="shared" si="62"/>
        <v/>
      </c>
      <c r="AS331" s="31" t="str">
        <f>IF(AT331=0,"",IF(_Ijour1=0,MIN(DATE(YEAR(_DebAmort1),MONTH(_DebAmort1)+(AP331-1)*_Imois1,__Jou1),DATE(YEAR(_DebAmort1),MONTH(_DebAmort1)+1+(AP331-1)*_Imois1,0)),DATE(YEAR(_DebAmort1),MONTH(_DebAmort1),__Jou1+(AP331-1)*_Ijour1)))</f>
        <v/>
      </c>
      <c r="AT331" s="156">
        <f t="shared" si="70"/>
        <v>0</v>
      </c>
      <c r="AU331" s="153">
        <f>IF(AP331&lt;=_NoEchMaxi1,ROUND(AT331*'Données Projet 1'!H340,_NbDeci1),0)</f>
        <v>0</v>
      </c>
      <c r="AV331" s="152">
        <f>IF(OR(AP331&lt;=_Différé1,AP331&gt;_NoEchMaxi1),IF(_DiffTotal1,-AU331,0),IF(AP331&gt;=_NoEchRemb1,AT331,IF('Données Projet 1'!I340-(AU331*_EchFIXE1)&gt;AT331-2,AT331,'Données Projet 1'!I340-(AU331*_EchFIXE1))))+AK331</f>
        <v>0</v>
      </c>
      <c r="AW331" s="154">
        <f t="shared" si="71"/>
        <v>0</v>
      </c>
      <c r="AX331" s="157">
        <f t="shared" si="63"/>
        <v>0</v>
      </c>
    </row>
    <row r="332" spans="20:50" ht="15.75" customHeight="1" x14ac:dyDescent="0.3">
      <c r="T332" s="3"/>
      <c r="U332" s="164"/>
      <c r="V332" s="22"/>
      <c r="W332" s="21"/>
      <c r="X332" s="23"/>
      <c r="Y332" s="10"/>
      <c r="Z332" s="5">
        <f t="shared" si="64"/>
        <v>326</v>
      </c>
      <c r="AA332" s="7">
        <f t="shared" si="65"/>
        <v>95</v>
      </c>
      <c r="AB332" s="8">
        <f t="shared" si="60"/>
        <v>2036</v>
      </c>
      <c r="AC332" s="31">
        <f>IF(AD332=0,"",IF(_Ijour=0,MIN(DATE(YEAR(_DebAmort),MONTH(_DebAmort)+_MoisD+(Z332-1)*_Imois,_Jour2),DATE(YEAR(_DebAmort),MONTH(_DebAmort)+_MoisD+1+(Z332-1)*_Imois,0)),DATE(YEAR(_DebAmort),MONTH(_DebAmort),_Jour1+(Z332-1)*_Ijour)))</f>
        <v>49706</v>
      </c>
      <c r="AD332" s="156">
        <f t="shared" si="66"/>
        <v>67881.590000000098</v>
      </c>
      <c r="AE332" s="153">
        <f>IF(Z332&lt;=_NoEchMaxi,ROUND(AD332*'Données Projet 1'!A341,_NbDeci),0)</f>
        <v>105.22</v>
      </c>
      <c r="AF332" s="152">
        <f>IF(OR(Z332&lt;=_Différé,Z332&gt;_NoEchMaxi),IF(_DiffTotal,-AE332,0),IF(Z332&gt;=_NoEchRemb,AD332,IF('Données Projet 1'!B341-(AE332*_EchFIXE)&gt;AD332-2,AD332,'Données Projet 1'!B341-(AE332*_EchFIXE))))+U332</f>
        <v>663.76</v>
      </c>
      <c r="AG332" s="154">
        <f t="shared" si="67"/>
        <v>19.77</v>
      </c>
      <c r="AH332" s="157">
        <f t="shared" si="61"/>
        <v>788.75</v>
      </c>
      <c r="AI332"/>
      <c r="AJ332" s="3"/>
      <c r="AK332" s="164"/>
      <c r="AL332" s="22"/>
      <c r="AM332" s="21"/>
      <c r="AN332" s="23"/>
      <c r="AO332" s="10"/>
      <c r="AP332" s="5" t="str">
        <f t="shared" si="68"/>
        <v/>
      </c>
      <c r="AQ332" s="7" t="str">
        <f t="shared" si="69"/>
        <v/>
      </c>
      <c r="AR332" s="8" t="str">
        <f t="shared" si="62"/>
        <v/>
      </c>
      <c r="AS332" s="31" t="str">
        <f>IF(AT332=0,"",IF(_Ijour1=0,MIN(DATE(YEAR(_DebAmort1),MONTH(_DebAmort1)+_MoisD1+(AP332-1)*_Imois1,__Jou2),DATE(YEAR(_DebAmort1),MONTH(_DebAmort1)+_MoisD1+1+(AP332-1)*_Imois1,0)),DATE(YEAR(_DebAmort1),MONTH(_DebAmort1),__Jou1+(AP332-1)*_Ijour1)))</f>
        <v/>
      </c>
      <c r="AT332" s="156">
        <f t="shared" si="70"/>
        <v>0</v>
      </c>
      <c r="AU332" s="153">
        <f>IF(AP332&lt;=_NoEchMaxi1,ROUND(AT332*'Données Projet 1'!H341,_NbDeci1),0)</f>
        <v>0</v>
      </c>
      <c r="AV332" s="152">
        <f>IF(OR(AP332&lt;=_Différé1,AP332&gt;_NoEchMaxi1),IF(_DiffTotal1,-AU332,0),IF(AP332&gt;=_NoEchRemb1,AT332,IF('Données Projet 1'!I341-(AU332*_EchFIXE1)&gt;AT332-2,AT332,'Données Projet 1'!I341-(AU332*_EchFIXE1))))+AK332</f>
        <v>0</v>
      </c>
      <c r="AW332" s="154">
        <f t="shared" si="71"/>
        <v>0</v>
      </c>
      <c r="AX332" s="157">
        <f t="shared" si="63"/>
        <v>0</v>
      </c>
    </row>
    <row r="333" spans="20:50" ht="15.75" customHeight="1" x14ac:dyDescent="0.3">
      <c r="T333" s="3"/>
      <c r="U333" s="164"/>
      <c r="V333" s="22"/>
      <c r="W333" s="21"/>
      <c r="X333" s="23"/>
      <c r="Y333" s="10"/>
      <c r="Z333" s="5">
        <f t="shared" si="64"/>
        <v>327</v>
      </c>
      <c r="AA333" s="7">
        <f t="shared" si="65"/>
        <v>94</v>
      </c>
      <c r="AB333" s="8">
        <f t="shared" si="60"/>
        <v>2036</v>
      </c>
      <c r="AC333" s="31">
        <f>IF(AD333=0,"",IF(_Ijour=0,MIN(DATE(YEAR(_DebAmort),MONTH(_DebAmort)+(Z333-1)*_Imois,_Jour1),DATE(YEAR(_DebAmort),MONTH(_DebAmort)+1+(Z333-1)*_Imois,0)),DATE(YEAR(_DebAmort),MONTH(_DebAmort),_Jour1+(Z333-1)*_Ijour)))</f>
        <v>49735</v>
      </c>
      <c r="AD333" s="156">
        <f t="shared" si="66"/>
        <v>67217.830000000104</v>
      </c>
      <c r="AE333" s="153">
        <f>IF(Z333&lt;=_NoEchMaxi,ROUND(AD333*'Données Projet 1'!A342,_NbDeci),0)</f>
        <v>104.19</v>
      </c>
      <c r="AF333" s="152">
        <f>IF(OR(Z333&lt;=_Différé,Z333&gt;_NoEchMaxi),IF(_DiffTotal,-AE333,0),IF(Z333&gt;=_NoEchRemb,AD333,IF('Données Projet 1'!B342-(AE333*_EchFIXE)&gt;AD333-2,AD333,'Données Projet 1'!B342-(AE333*_EchFIXE))))+U333</f>
        <v>664.79</v>
      </c>
      <c r="AG333" s="154">
        <f t="shared" si="67"/>
        <v>19.77</v>
      </c>
      <c r="AH333" s="157">
        <f t="shared" si="61"/>
        <v>788.75</v>
      </c>
      <c r="AI333"/>
      <c r="AJ333" s="3"/>
      <c r="AK333" s="164"/>
      <c r="AL333" s="22"/>
      <c r="AM333" s="21"/>
      <c r="AN333" s="23"/>
      <c r="AO333" s="10"/>
      <c r="AP333" s="5" t="str">
        <f t="shared" si="68"/>
        <v/>
      </c>
      <c r="AQ333" s="7" t="str">
        <f t="shared" si="69"/>
        <v/>
      </c>
      <c r="AR333" s="8" t="str">
        <f t="shared" si="62"/>
        <v/>
      </c>
      <c r="AS333" s="31" t="str">
        <f>IF(AT333=0,"",IF(_Ijour1=0,MIN(DATE(YEAR(_DebAmort1),MONTH(_DebAmort1)+(AP333-1)*_Imois1,__Jou1),DATE(YEAR(_DebAmort1),MONTH(_DebAmort1)+1+(AP333-1)*_Imois1,0)),DATE(YEAR(_DebAmort1),MONTH(_DebAmort1),__Jou1+(AP333-1)*_Ijour1)))</f>
        <v/>
      </c>
      <c r="AT333" s="156">
        <f t="shared" si="70"/>
        <v>0</v>
      </c>
      <c r="AU333" s="153">
        <f>IF(AP333&lt;=_NoEchMaxi1,ROUND(AT333*'Données Projet 1'!H342,_NbDeci1),0)</f>
        <v>0</v>
      </c>
      <c r="AV333" s="152">
        <f>IF(OR(AP333&lt;=_Différé1,AP333&gt;_NoEchMaxi1),IF(_DiffTotal1,-AU333,0),IF(AP333&gt;=_NoEchRemb1,AT333,IF('Données Projet 1'!I342-(AU333*_EchFIXE1)&gt;AT333-2,AT333,'Données Projet 1'!I342-(AU333*_EchFIXE1))))+AK333</f>
        <v>0</v>
      </c>
      <c r="AW333" s="154">
        <f t="shared" si="71"/>
        <v>0</v>
      </c>
      <c r="AX333" s="157">
        <f t="shared" si="63"/>
        <v>0</v>
      </c>
    </row>
    <row r="334" spans="20:50" ht="15.75" customHeight="1" x14ac:dyDescent="0.3">
      <c r="T334" s="3"/>
      <c r="U334" s="164"/>
      <c r="V334" s="22"/>
      <c r="W334" s="21"/>
      <c r="X334" s="23"/>
      <c r="Y334" s="10"/>
      <c r="Z334" s="5">
        <f t="shared" si="64"/>
        <v>328</v>
      </c>
      <c r="AA334" s="7">
        <f t="shared" si="65"/>
        <v>93</v>
      </c>
      <c r="AB334" s="8">
        <f t="shared" si="60"/>
        <v>2036</v>
      </c>
      <c r="AC334" s="31">
        <f>IF(AD334=0,"",IF(_Ijour=0,MIN(DATE(YEAR(_DebAmort),MONTH(_DebAmort)+_MoisD+(Z334-1)*_Imois,_Jour2),DATE(YEAR(_DebAmort),MONTH(_DebAmort)+_MoisD+1+(Z334-1)*_Imois,0)),DATE(YEAR(_DebAmort),MONTH(_DebAmort),_Jour1+(Z334-1)*_Ijour)))</f>
        <v>49766</v>
      </c>
      <c r="AD334" s="156">
        <f t="shared" si="66"/>
        <v>66553.04000000011</v>
      </c>
      <c r="AE334" s="153">
        <f>IF(Z334&lt;=_NoEchMaxi,ROUND(AD334*'Données Projet 1'!A343,_NbDeci),0)</f>
        <v>103.16</v>
      </c>
      <c r="AF334" s="152">
        <f>IF(OR(Z334&lt;=_Différé,Z334&gt;_NoEchMaxi),IF(_DiffTotal,-AE334,0),IF(Z334&gt;=_NoEchRemb,AD334,IF('Données Projet 1'!B343-(AE334*_EchFIXE)&gt;AD334-2,AD334,'Données Projet 1'!B343-(AE334*_EchFIXE))))+U334</f>
        <v>665.82</v>
      </c>
      <c r="AG334" s="154">
        <f t="shared" si="67"/>
        <v>19.77</v>
      </c>
      <c r="AH334" s="157">
        <f t="shared" si="61"/>
        <v>788.75</v>
      </c>
      <c r="AI334"/>
      <c r="AJ334" s="3"/>
      <c r="AK334" s="164"/>
      <c r="AL334" s="22"/>
      <c r="AM334" s="21"/>
      <c r="AN334" s="23"/>
      <c r="AO334" s="10"/>
      <c r="AP334" s="5" t="str">
        <f t="shared" si="68"/>
        <v/>
      </c>
      <c r="AQ334" s="7" t="str">
        <f t="shared" si="69"/>
        <v/>
      </c>
      <c r="AR334" s="8" t="str">
        <f t="shared" si="62"/>
        <v/>
      </c>
      <c r="AS334" s="31" t="str">
        <f>IF(AT334=0,"",IF(_Ijour1=0,MIN(DATE(YEAR(_DebAmort1),MONTH(_DebAmort1)+_MoisD1+(AP334-1)*_Imois1,__Jou2),DATE(YEAR(_DebAmort1),MONTH(_DebAmort1)+_MoisD1+1+(AP334-1)*_Imois1,0)),DATE(YEAR(_DebAmort1),MONTH(_DebAmort1),__Jou1+(AP334-1)*_Ijour1)))</f>
        <v/>
      </c>
      <c r="AT334" s="156">
        <f t="shared" si="70"/>
        <v>0</v>
      </c>
      <c r="AU334" s="153">
        <f>IF(AP334&lt;=_NoEchMaxi1,ROUND(AT334*'Données Projet 1'!H343,_NbDeci1),0)</f>
        <v>0</v>
      </c>
      <c r="AV334" s="152">
        <f>IF(OR(AP334&lt;=_Différé1,AP334&gt;_NoEchMaxi1),IF(_DiffTotal1,-AU334,0),IF(AP334&gt;=_NoEchRemb1,AT334,IF('Données Projet 1'!I343-(AU334*_EchFIXE1)&gt;AT334-2,AT334,'Données Projet 1'!I343-(AU334*_EchFIXE1))))+AK334</f>
        <v>0</v>
      </c>
      <c r="AW334" s="154">
        <f t="shared" si="71"/>
        <v>0</v>
      </c>
      <c r="AX334" s="157">
        <f t="shared" si="63"/>
        <v>0</v>
      </c>
    </row>
    <row r="335" spans="20:50" ht="15.75" customHeight="1" x14ac:dyDescent="0.3">
      <c r="T335" s="3"/>
      <c r="U335" s="164"/>
      <c r="V335" s="22"/>
      <c r="W335" s="21"/>
      <c r="X335" s="23"/>
      <c r="Y335" s="10"/>
      <c r="Z335" s="5">
        <f t="shared" si="64"/>
        <v>329</v>
      </c>
      <c r="AA335" s="7">
        <f t="shared" si="65"/>
        <v>92</v>
      </c>
      <c r="AB335" s="8">
        <f t="shared" si="60"/>
        <v>2036</v>
      </c>
      <c r="AC335" s="31">
        <f>IF(AD335=0,"",IF(_Ijour=0,MIN(DATE(YEAR(_DebAmort),MONTH(_DebAmort)+(Z335-1)*_Imois,_Jour1),DATE(YEAR(_DebAmort),MONTH(_DebAmort)+1+(Z335-1)*_Imois,0)),DATE(YEAR(_DebAmort),MONTH(_DebAmort),_Jour1+(Z335-1)*_Ijour)))</f>
        <v>49796</v>
      </c>
      <c r="AD335" s="156">
        <f t="shared" si="66"/>
        <v>65887.220000000103</v>
      </c>
      <c r="AE335" s="153">
        <f>IF(Z335&lt;=_NoEchMaxi,ROUND(AD335*'Données Projet 1'!A344,_NbDeci),0)</f>
        <v>102.13</v>
      </c>
      <c r="AF335" s="152">
        <f>IF(OR(Z335&lt;=_Différé,Z335&gt;_NoEchMaxi),IF(_DiffTotal,-AE335,0),IF(Z335&gt;=_NoEchRemb,AD335,IF('Données Projet 1'!B344-(AE335*_EchFIXE)&gt;AD335-2,AD335,'Données Projet 1'!B344-(AE335*_EchFIXE))))+U335</f>
        <v>666.85</v>
      </c>
      <c r="AG335" s="154">
        <f t="shared" si="67"/>
        <v>19.77</v>
      </c>
      <c r="AH335" s="157">
        <f t="shared" si="61"/>
        <v>788.75</v>
      </c>
      <c r="AI335"/>
      <c r="AJ335" s="3"/>
      <c r="AK335" s="164"/>
      <c r="AL335" s="22"/>
      <c r="AM335" s="21"/>
      <c r="AN335" s="23"/>
      <c r="AO335" s="10"/>
      <c r="AP335" s="5" t="str">
        <f t="shared" si="68"/>
        <v/>
      </c>
      <c r="AQ335" s="7" t="str">
        <f t="shared" si="69"/>
        <v/>
      </c>
      <c r="AR335" s="8" t="str">
        <f t="shared" si="62"/>
        <v/>
      </c>
      <c r="AS335" s="31" t="str">
        <f>IF(AT335=0,"",IF(_Ijour1=0,MIN(DATE(YEAR(_DebAmort1),MONTH(_DebAmort1)+(AP335-1)*_Imois1,__Jou1),DATE(YEAR(_DebAmort1),MONTH(_DebAmort1)+1+(AP335-1)*_Imois1,0)),DATE(YEAR(_DebAmort1),MONTH(_DebAmort1),__Jou1+(AP335-1)*_Ijour1)))</f>
        <v/>
      </c>
      <c r="AT335" s="156">
        <f t="shared" si="70"/>
        <v>0</v>
      </c>
      <c r="AU335" s="153">
        <f>IF(AP335&lt;=_NoEchMaxi1,ROUND(AT335*'Données Projet 1'!H344,_NbDeci1),0)</f>
        <v>0</v>
      </c>
      <c r="AV335" s="152">
        <f>IF(OR(AP335&lt;=_Différé1,AP335&gt;_NoEchMaxi1),IF(_DiffTotal1,-AU335,0),IF(AP335&gt;=_NoEchRemb1,AT335,IF('Données Projet 1'!I344-(AU335*_EchFIXE1)&gt;AT335-2,AT335,'Données Projet 1'!I344-(AU335*_EchFIXE1))))+AK335</f>
        <v>0</v>
      </c>
      <c r="AW335" s="154">
        <f t="shared" si="71"/>
        <v>0</v>
      </c>
      <c r="AX335" s="157">
        <f t="shared" si="63"/>
        <v>0</v>
      </c>
    </row>
    <row r="336" spans="20:50" ht="15.75" customHeight="1" x14ac:dyDescent="0.3">
      <c r="T336" s="3"/>
      <c r="U336" s="164"/>
      <c r="V336" s="22"/>
      <c r="W336" s="21"/>
      <c r="X336" s="23"/>
      <c r="Y336" s="10"/>
      <c r="Z336" s="5">
        <f t="shared" si="64"/>
        <v>330</v>
      </c>
      <c r="AA336" s="7">
        <f t="shared" si="65"/>
        <v>91</v>
      </c>
      <c r="AB336" s="8">
        <f t="shared" si="60"/>
        <v>2036</v>
      </c>
      <c r="AC336" s="31">
        <f>IF(AD336=0,"",IF(_Ijour=0,MIN(DATE(YEAR(_DebAmort),MONTH(_DebAmort)+_MoisD+(Z336-1)*_Imois,_Jour2),DATE(YEAR(_DebAmort),MONTH(_DebAmort)+_MoisD+1+(Z336-1)*_Imois,0)),DATE(YEAR(_DebAmort),MONTH(_DebAmort),_Jour1+(Z336-1)*_Ijour)))</f>
        <v>49827</v>
      </c>
      <c r="AD336" s="156">
        <f t="shared" si="66"/>
        <v>65220.370000000104</v>
      </c>
      <c r="AE336" s="153">
        <f>IF(Z336&lt;=_NoEchMaxi,ROUND(AD336*'Données Projet 1'!A345,_NbDeci),0)</f>
        <v>101.09</v>
      </c>
      <c r="AF336" s="152">
        <f>IF(OR(Z336&lt;=_Différé,Z336&gt;_NoEchMaxi),IF(_DiffTotal,-AE336,0),IF(Z336&gt;=_NoEchRemb,AD336,IF('Données Projet 1'!B345-(AE336*_EchFIXE)&gt;AD336-2,AD336,'Données Projet 1'!B345-(AE336*_EchFIXE))))+U336</f>
        <v>667.89</v>
      </c>
      <c r="AG336" s="154">
        <f t="shared" si="67"/>
        <v>19.77</v>
      </c>
      <c r="AH336" s="157">
        <f t="shared" si="61"/>
        <v>788.75</v>
      </c>
      <c r="AI336"/>
      <c r="AJ336" s="3"/>
      <c r="AK336" s="164"/>
      <c r="AL336" s="22"/>
      <c r="AM336" s="21"/>
      <c r="AN336" s="23"/>
      <c r="AO336" s="10"/>
      <c r="AP336" s="5" t="str">
        <f t="shared" si="68"/>
        <v/>
      </c>
      <c r="AQ336" s="7" t="str">
        <f t="shared" si="69"/>
        <v/>
      </c>
      <c r="AR336" s="8" t="str">
        <f t="shared" si="62"/>
        <v/>
      </c>
      <c r="AS336" s="31" t="str">
        <f>IF(AT336=0,"",IF(_Ijour1=0,MIN(DATE(YEAR(_DebAmort1),MONTH(_DebAmort1)+_MoisD1+(AP336-1)*_Imois1,__Jou2),DATE(YEAR(_DebAmort1),MONTH(_DebAmort1)+_MoisD1+1+(AP336-1)*_Imois1,0)),DATE(YEAR(_DebAmort1),MONTH(_DebAmort1),__Jou1+(AP336-1)*_Ijour1)))</f>
        <v/>
      </c>
      <c r="AT336" s="156">
        <f t="shared" si="70"/>
        <v>0</v>
      </c>
      <c r="AU336" s="153">
        <f>IF(AP336&lt;=_NoEchMaxi1,ROUND(AT336*'Données Projet 1'!H345,_NbDeci1),0)</f>
        <v>0</v>
      </c>
      <c r="AV336" s="152">
        <f>IF(OR(AP336&lt;=_Différé1,AP336&gt;_NoEchMaxi1),IF(_DiffTotal1,-AU336,0),IF(AP336&gt;=_NoEchRemb1,AT336,IF('Données Projet 1'!I345-(AU336*_EchFIXE1)&gt;AT336-2,AT336,'Données Projet 1'!I345-(AU336*_EchFIXE1))))+AK336</f>
        <v>0</v>
      </c>
      <c r="AW336" s="154">
        <f t="shared" si="71"/>
        <v>0</v>
      </c>
      <c r="AX336" s="157">
        <f t="shared" si="63"/>
        <v>0</v>
      </c>
    </row>
    <row r="337" spans="20:50" ht="15.75" customHeight="1" x14ac:dyDescent="0.3">
      <c r="T337" s="3"/>
      <c r="U337" s="164"/>
      <c r="V337" s="22"/>
      <c r="W337" s="21"/>
      <c r="X337" s="23"/>
      <c r="Y337" s="10"/>
      <c r="Z337" s="5">
        <f t="shared" si="64"/>
        <v>331</v>
      </c>
      <c r="AA337" s="7">
        <f t="shared" si="65"/>
        <v>90</v>
      </c>
      <c r="AB337" s="8">
        <f t="shared" si="60"/>
        <v>2036</v>
      </c>
      <c r="AC337" s="31">
        <f>IF(AD337=0,"",IF(_Ijour=0,MIN(DATE(YEAR(_DebAmort),MONTH(_DebAmort)+(Z337-1)*_Imois,_Jour1),DATE(YEAR(_DebAmort),MONTH(_DebAmort)+1+(Z337-1)*_Imois,0)),DATE(YEAR(_DebAmort),MONTH(_DebAmort),_Jour1+(Z337-1)*_Ijour)))</f>
        <v>49857</v>
      </c>
      <c r="AD337" s="156">
        <f t="shared" si="66"/>
        <v>64552.480000000105</v>
      </c>
      <c r="AE337" s="153">
        <f>IF(Z337&lt;=_NoEchMaxi,ROUND(AD337*'Données Projet 1'!A346,_NbDeci),0)</f>
        <v>100.06</v>
      </c>
      <c r="AF337" s="152">
        <f>IF(OR(Z337&lt;=_Différé,Z337&gt;_NoEchMaxi),IF(_DiffTotal,-AE337,0),IF(Z337&gt;=_NoEchRemb,AD337,IF('Données Projet 1'!B346-(AE337*_EchFIXE)&gt;AD337-2,AD337,'Données Projet 1'!B346-(AE337*_EchFIXE))))+U337</f>
        <v>668.92000000000007</v>
      </c>
      <c r="AG337" s="154">
        <f t="shared" si="67"/>
        <v>19.77</v>
      </c>
      <c r="AH337" s="157">
        <f t="shared" si="61"/>
        <v>788.75</v>
      </c>
      <c r="AI337"/>
      <c r="AJ337" s="3"/>
      <c r="AK337" s="164"/>
      <c r="AL337" s="22"/>
      <c r="AM337" s="21"/>
      <c r="AN337" s="23"/>
      <c r="AO337" s="10"/>
      <c r="AP337" s="5" t="str">
        <f t="shared" si="68"/>
        <v/>
      </c>
      <c r="AQ337" s="7" t="str">
        <f t="shared" si="69"/>
        <v/>
      </c>
      <c r="AR337" s="8" t="str">
        <f t="shared" si="62"/>
        <v/>
      </c>
      <c r="AS337" s="31" t="str">
        <f>IF(AT337=0,"",IF(_Ijour1=0,MIN(DATE(YEAR(_DebAmort1),MONTH(_DebAmort1)+(AP337-1)*_Imois1,__Jou1),DATE(YEAR(_DebAmort1),MONTH(_DebAmort1)+1+(AP337-1)*_Imois1,0)),DATE(YEAR(_DebAmort1),MONTH(_DebAmort1),__Jou1+(AP337-1)*_Ijour1)))</f>
        <v/>
      </c>
      <c r="AT337" s="156">
        <f t="shared" si="70"/>
        <v>0</v>
      </c>
      <c r="AU337" s="153">
        <f>IF(AP337&lt;=_NoEchMaxi1,ROUND(AT337*'Données Projet 1'!H346,_NbDeci1),0)</f>
        <v>0</v>
      </c>
      <c r="AV337" s="152">
        <f>IF(OR(AP337&lt;=_Différé1,AP337&gt;_NoEchMaxi1),IF(_DiffTotal1,-AU337,0),IF(AP337&gt;=_NoEchRemb1,AT337,IF('Données Projet 1'!I346-(AU337*_EchFIXE1)&gt;AT337-2,AT337,'Données Projet 1'!I346-(AU337*_EchFIXE1))))+AK337</f>
        <v>0</v>
      </c>
      <c r="AW337" s="154">
        <f t="shared" si="71"/>
        <v>0</v>
      </c>
      <c r="AX337" s="157">
        <f t="shared" si="63"/>
        <v>0</v>
      </c>
    </row>
    <row r="338" spans="20:50" ht="15.75" customHeight="1" x14ac:dyDescent="0.3">
      <c r="T338" s="3"/>
      <c r="U338" s="164"/>
      <c r="V338" s="22"/>
      <c r="W338" s="21"/>
      <c r="X338" s="23"/>
      <c r="Y338" s="10"/>
      <c r="Z338" s="5">
        <f t="shared" si="64"/>
        <v>332</v>
      </c>
      <c r="AA338" s="7">
        <f t="shared" si="65"/>
        <v>89</v>
      </c>
      <c r="AB338" s="8">
        <f t="shared" si="60"/>
        <v>2036</v>
      </c>
      <c r="AC338" s="31">
        <f>IF(AD338=0,"",IF(_Ijour=0,MIN(DATE(YEAR(_DebAmort),MONTH(_DebAmort)+_MoisD+(Z338-1)*_Imois,_Jour2),DATE(YEAR(_DebAmort),MONTH(_DebAmort)+_MoisD+1+(Z338-1)*_Imois,0)),DATE(YEAR(_DebAmort),MONTH(_DebAmort),_Jour1+(Z338-1)*_Ijour)))</f>
        <v>49888</v>
      </c>
      <c r="AD338" s="156">
        <f t="shared" si="66"/>
        <v>63883.560000000107</v>
      </c>
      <c r="AE338" s="153">
        <f>IF(Z338&lt;=_NoEchMaxi,ROUND(AD338*'Données Projet 1'!A347,_NbDeci),0)</f>
        <v>99.02</v>
      </c>
      <c r="AF338" s="152">
        <f>IF(OR(Z338&lt;=_Différé,Z338&gt;_NoEchMaxi),IF(_DiffTotal,-AE338,0),IF(Z338&gt;=_NoEchRemb,AD338,IF('Données Projet 1'!B347-(AE338*_EchFIXE)&gt;AD338-2,AD338,'Données Projet 1'!B347-(AE338*_EchFIXE))))+U338</f>
        <v>669.96</v>
      </c>
      <c r="AG338" s="154">
        <f t="shared" si="67"/>
        <v>19.77</v>
      </c>
      <c r="AH338" s="157">
        <f t="shared" si="61"/>
        <v>788.75</v>
      </c>
      <c r="AI338"/>
      <c r="AJ338" s="3"/>
      <c r="AK338" s="164"/>
      <c r="AL338" s="22"/>
      <c r="AM338" s="21"/>
      <c r="AN338" s="23"/>
      <c r="AO338" s="10"/>
      <c r="AP338" s="5" t="str">
        <f t="shared" si="68"/>
        <v/>
      </c>
      <c r="AQ338" s="7" t="str">
        <f t="shared" si="69"/>
        <v/>
      </c>
      <c r="AR338" s="8" t="str">
        <f t="shared" si="62"/>
        <v/>
      </c>
      <c r="AS338" s="31" t="str">
        <f>IF(AT338=0,"",IF(_Ijour1=0,MIN(DATE(YEAR(_DebAmort1),MONTH(_DebAmort1)+_MoisD1+(AP338-1)*_Imois1,__Jou2),DATE(YEAR(_DebAmort1),MONTH(_DebAmort1)+_MoisD1+1+(AP338-1)*_Imois1,0)),DATE(YEAR(_DebAmort1),MONTH(_DebAmort1),__Jou1+(AP338-1)*_Ijour1)))</f>
        <v/>
      </c>
      <c r="AT338" s="156">
        <f t="shared" si="70"/>
        <v>0</v>
      </c>
      <c r="AU338" s="153">
        <f>IF(AP338&lt;=_NoEchMaxi1,ROUND(AT338*'Données Projet 1'!H347,_NbDeci1),0)</f>
        <v>0</v>
      </c>
      <c r="AV338" s="152">
        <f>IF(OR(AP338&lt;=_Différé1,AP338&gt;_NoEchMaxi1),IF(_DiffTotal1,-AU338,0),IF(AP338&gt;=_NoEchRemb1,AT338,IF('Données Projet 1'!I347-(AU338*_EchFIXE1)&gt;AT338-2,AT338,'Données Projet 1'!I347-(AU338*_EchFIXE1))))+AK338</f>
        <v>0</v>
      </c>
      <c r="AW338" s="154">
        <f t="shared" si="71"/>
        <v>0</v>
      </c>
      <c r="AX338" s="157">
        <f t="shared" si="63"/>
        <v>0</v>
      </c>
    </row>
    <row r="339" spans="20:50" ht="15.75" customHeight="1" x14ac:dyDescent="0.3">
      <c r="T339" s="3"/>
      <c r="U339" s="164"/>
      <c r="V339" s="22"/>
      <c r="W339" s="21"/>
      <c r="X339" s="23"/>
      <c r="Y339" s="10"/>
      <c r="Z339" s="5">
        <f t="shared" si="64"/>
        <v>333</v>
      </c>
      <c r="AA339" s="7">
        <f t="shared" si="65"/>
        <v>88</v>
      </c>
      <c r="AB339" s="8">
        <f t="shared" si="60"/>
        <v>2036</v>
      </c>
      <c r="AC339" s="31">
        <f>IF(AD339=0,"",IF(_Ijour=0,MIN(DATE(YEAR(_DebAmort),MONTH(_DebAmort)+(Z339-1)*_Imois,_Jour1),DATE(YEAR(_DebAmort),MONTH(_DebAmort)+1+(Z339-1)*_Imois,0)),DATE(YEAR(_DebAmort),MONTH(_DebAmort),_Jour1+(Z339-1)*_Ijour)))</f>
        <v>49919</v>
      </c>
      <c r="AD339" s="156">
        <f t="shared" si="66"/>
        <v>63213.600000000108</v>
      </c>
      <c r="AE339" s="153">
        <f>IF(Z339&lt;=_NoEchMaxi,ROUND(AD339*'Données Projet 1'!A348,_NbDeci),0)</f>
        <v>97.98</v>
      </c>
      <c r="AF339" s="152">
        <f>IF(OR(Z339&lt;=_Différé,Z339&gt;_NoEchMaxi),IF(_DiffTotal,-AE339,0),IF(Z339&gt;=_NoEchRemb,AD339,IF('Données Projet 1'!B348-(AE339*_EchFIXE)&gt;AD339-2,AD339,'Données Projet 1'!B348-(AE339*_EchFIXE))))+U339</f>
        <v>671</v>
      </c>
      <c r="AG339" s="154">
        <f t="shared" si="67"/>
        <v>19.77</v>
      </c>
      <c r="AH339" s="157">
        <f t="shared" si="61"/>
        <v>788.75</v>
      </c>
      <c r="AI339"/>
      <c r="AJ339" s="3"/>
      <c r="AK339" s="164"/>
      <c r="AL339" s="22"/>
      <c r="AM339" s="21"/>
      <c r="AN339" s="23"/>
      <c r="AO339" s="10"/>
      <c r="AP339" s="5" t="str">
        <f t="shared" si="68"/>
        <v/>
      </c>
      <c r="AQ339" s="7" t="str">
        <f t="shared" si="69"/>
        <v/>
      </c>
      <c r="AR339" s="8" t="str">
        <f t="shared" si="62"/>
        <v/>
      </c>
      <c r="AS339" s="31" t="str">
        <f>IF(AT339=0,"",IF(_Ijour1=0,MIN(DATE(YEAR(_DebAmort1),MONTH(_DebAmort1)+(AP339-1)*_Imois1,__Jou1),DATE(YEAR(_DebAmort1),MONTH(_DebAmort1)+1+(AP339-1)*_Imois1,0)),DATE(YEAR(_DebAmort1),MONTH(_DebAmort1),__Jou1+(AP339-1)*_Ijour1)))</f>
        <v/>
      </c>
      <c r="AT339" s="156">
        <f t="shared" si="70"/>
        <v>0</v>
      </c>
      <c r="AU339" s="153">
        <f>IF(AP339&lt;=_NoEchMaxi1,ROUND(AT339*'Données Projet 1'!H348,_NbDeci1),0)</f>
        <v>0</v>
      </c>
      <c r="AV339" s="152">
        <f>IF(OR(AP339&lt;=_Différé1,AP339&gt;_NoEchMaxi1),IF(_DiffTotal1,-AU339,0),IF(AP339&gt;=_NoEchRemb1,AT339,IF('Données Projet 1'!I348-(AU339*_EchFIXE1)&gt;AT339-2,AT339,'Données Projet 1'!I348-(AU339*_EchFIXE1))))+AK339</f>
        <v>0</v>
      </c>
      <c r="AW339" s="154">
        <f t="shared" si="71"/>
        <v>0</v>
      </c>
      <c r="AX339" s="157">
        <f t="shared" si="63"/>
        <v>0</v>
      </c>
    </row>
    <row r="340" spans="20:50" ht="15.75" customHeight="1" x14ac:dyDescent="0.3">
      <c r="T340" s="3"/>
      <c r="U340" s="164"/>
      <c r="V340" s="22"/>
      <c r="W340" s="21"/>
      <c r="X340" s="23"/>
      <c r="Y340" s="10"/>
      <c r="Z340" s="5">
        <f t="shared" si="64"/>
        <v>334</v>
      </c>
      <c r="AA340" s="7">
        <f t="shared" si="65"/>
        <v>87</v>
      </c>
      <c r="AB340" s="8">
        <f t="shared" si="60"/>
        <v>2036</v>
      </c>
      <c r="AC340" s="31">
        <f>IF(AD340=0,"",IF(_Ijour=0,MIN(DATE(YEAR(_DebAmort),MONTH(_DebAmort)+_MoisD+(Z340-1)*_Imois,_Jour2),DATE(YEAR(_DebAmort),MONTH(_DebAmort)+_MoisD+1+(Z340-1)*_Imois,0)),DATE(YEAR(_DebAmort),MONTH(_DebAmort),_Jour1+(Z340-1)*_Ijour)))</f>
        <v>49949</v>
      </c>
      <c r="AD340" s="156">
        <f t="shared" si="66"/>
        <v>62542.600000000108</v>
      </c>
      <c r="AE340" s="153">
        <f>IF(Z340&lt;=_NoEchMaxi,ROUND(AD340*'Données Projet 1'!A349,_NbDeci),0)</f>
        <v>96.94</v>
      </c>
      <c r="AF340" s="152">
        <f>IF(OR(Z340&lt;=_Différé,Z340&gt;_NoEchMaxi),IF(_DiffTotal,-AE340,0),IF(Z340&gt;=_NoEchRemb,AD340,IF('Données Projet 1'!B349-(AE340*_EchFIXE)&gt;AD340-2,AD340,'Données Projet 1'!B349-(AE340*_EchFIXE))))+U340</f>
        <v>672.04</v>
      </c>
      <c r="AG340" s="154">
        <f t="shared" si="67"/>
        <v>19.77</v>
      </c>
      <c r="AH340" s="157">
        <f t="shared" si="61"/>
        <v>788.75</v>
      </c>
      <c r="AI340"/>
      <c r="AJ340" s="3"/>
      <c r="AK340" s="164"/>
      <c r="AL340" s="22"/>
      <c r="AM340" s="21"/>
      <c r="AN340" s="23"/>
      <c r="AO340" s="10"/>
      <c r="AP340" s="5" t="str">
        <f t="shared" si="68"/>
        <v/>
      </c>
      <c r="AQ340" s="7" t="str">
        <f t="shared" si="69"/>
        <v/>
      </c>
      <c r="AR340" s="8" t="str">
        <f t="shared" si="62"/>
        <v/>
      </c>
      <c r="AS340" s="31" t="str">
        <f>IF(AT340=0,"",IF(_Ijour1=0,MIN(DATE(YEAR(_DebAmort1),MONTH(_DebAmort1)+_MoisD1+(AP340-1)*_Imois1,__Jou2),DATE(YEAR(_DebAmort1),MONTH(_DebAmort1)+_MoisD1+1+(AP340-1)*_Imois1,0)),DATE(YEAR(_DebAmort1),MONTH(_DebAmort1),__Jou1+(AP340-1)*_Ijour1)))</f>
        <v/>
      </c>
      <c r="AT340" s="156">
        <f t="shared" si="70"/>
        <v>0</v>
      </c>
      <c r="AU340" s="153">
        <f>IF(AP340&lt;=_NoEchMaxi1,ROUND(AT340*'Données Projet 1'!H349,_NbDeci1),0)</f>
        <v>0</v>
      </c>
      <c r="AV340" s="152">
        <f>IF(OR(AP340&lt;=_Différé1,AP340&gt;_NoEchMaxi1),IF(_DiffTotal1,-AU340,0),IF(AP340&gt;=_NoEchRemb1,AT340,IF('Données Projet 1'!I349-(AU340*_EchFIXE1)&gt;AT340-2,AT340,'Données Projet 1'!I349-(AU340*_EchFIXE1))))+AK340</f>
        <v>0</v>
      </c>
      <c r="AW340" s="154">
        <f t="shared" si="71"/>
        <v>0</v>
      </c>
      <c r="AX340" s="157">
        <f t="shared" si="63"/>
        <v>0</v>
      </c>
    </row>
    <row r="341" spans="20:50" ht="15.75" customHeight="1" x14ac:dyDescent="0.3">
      <c r="T341" s="3"/>
      <c r="U341" s="164"/>
      <c r="V341" s="22"/>
      <c r="W341" s="21"/>
      <c r="X341" s="23"/>
      <c r="Y341" s="10"/>
      <c r="Z341" s="5">
        <f t="shared" si="64"/>
        <v>335</v>
      </c>
      <c r="AA341" s="7">
        <f t="shared" si="65"/>
        <v>86</v>
      </c>
      <c r="AB341" s="8">
        <f t="shared" si="60"/>
        <v>2036</v>
      </c>
      <c r="AC341" s="31">
        <f>IF(AD341=0,"",IF(_Ijour=0,MIN(DATE(YEAR(_DebAmort),MONTH(_DebAmort)+(Z341-1)*_Imois,_Jour1),DATE(YEAR(_DebAmort),MONTH(_DebAmort)+1+(Z341-1)*_Imois,0)),DATE(YEAR(_DebAmort),MONTH(_DebAmort),_Jour1+(Z341-1)*_Ijour)))</f>
        <v>49980</v>
      </c>
      <c r="AD341" s="156">
        <f t="shared" si="66"/>
        <v>61870.560000000107</v>
      </c>
      <c r="AE341" s="153">
        <f>IF(Z341&lt;=_NoEchMaxi,ROUND(AD341*'Données Projet 1'!A350,_NbDeci),0)</f>
        <v>95.9</v>
      </c>
      <c r="AF341" s="152">
        <f>IF(OR(Z341&lt;=_Différé,Z341&gt;_NoEchMaxi),IF(_DiffTotal,-AE341,0),IF(Z341&gt;=_NoEchRemb,AD341,IF('Données Projet 1'!B350-(AE341*_EchFIXE)&gt;AD341-2,AD341,'Données Projet 1'!B350-(AE341*_EchFIXE))))+U341</f>
        <v>673.08</v>
      </c>
      <c r="AG341" s="154">
        <f t="shared" si="67"/>
        <v>19.77</v>
      </c>
      <c r="AH341" s="157">
        <f t="shared" si="61"/>
        <v>788.75</v>
      </c>
      <c r="AI341"/>
      <c r="AJ341" s="3"/>
      <c r="AK341" s="164"/>
      <c r="AL341" s="22"/>
      <c r="AM341" s="21"/>
      <c r="AN341" s="23"/>
      <c r="AO341" s="10"/>
      <c r="AP341" s="5" t="str">
        <f t="shared" si="68"/>
        <v/>
      </c>
      <c r="AQ341" s="7" t="str">
        <f t="shared" si="69"/>
        <v/>
      </c>
      <c r="AR341" s="8" t="str">
        <f t="shared" si="62"/>
        <v/>
      </c>
      <c r="AS341" s="31" t="str">
        <f>IF(AT341=0,"",IF(_Ijour1=0,MIN(DATE(YEAR(_DebAmort1),MONTH(_DebAmort1)+(AP341-1)*_Imois1,__Jou1),DATE(YEAR(_DebAmort1),MONTH(_DebAmort1)+1+(AP341-1)*_Imois1,0)),DATE(YEAR(_DebAmort1),MONTH(_DebAmort1),__Jou1+(AP341-1)*_Ijour1)))</f>
        <v/>
      </c>
      <c r="AT341" s="156">
        <f t="shared" si="70"/>
        <v>0</v>
      </c>
      <c r="AU341" s="153">
        <f>IF(AP341&lt;=_NoEchMaxi1,ROUND(AT341*'Données Projet 1'!H350,_NbDeci1),0)</f>
        <v>0</v>
      </c>
      <c r="AV341" s="152">
        <f>IF(OR(AP341&lt;=_Différé1,AP341&gt;_NoEchMaxi1),IF(_DiffTotal1,-AU341,0),IF(AP341&gt;=_NoEchRemb1,AT341,IF('Données Projet 1'!I350-(AU341*_EchFIXE1)&gt;AT341-2,AT341,'Données Projet 1'!I350-(AU341*_EchFIXE1))))+AK341</f>
        <v>0</v>
      </c>
      <c r="AW341" s="154">
        <f t="shared" si="71"/>
        <v>0</v>
      </c>
      <c r="AX341" s="157">
        <f t="shared" si="63"/>
        <v>0</v>
      </c>
    </row>
    <row r="342" spans="20:50" ht="15.75" customHeight="1" x14ac:dyDescent="0.3">
      <c r="T342" s="3"/>
      <c r="U342" s="164"/>
      <c r="V342" s="22"/>
      <c r="W342" s="21"/>
      <c r="X342" s="23"/>
      <c r="Y342" s="10"/>
      <c r="Z342" s="5">
        <f t="shared" si="64"/>
        <v>336</v>
      </c>
      <c r="AA342" s="7">
        <f t="shared" si="65"/>
        <v>85</v>
      </c>
      <c r="AB342" s="8">
        <f t="shared" si="60"/>
        <v>2036</v>
      </c>
      <c r="AC342" s="31">
        <f>IF(AD342=0,"",IF(_Ijour=0,MIN(DATE(YEAR(_DebAmort),MONTH(_DebAmort)+_MoisD+(Z342-1)*_Imois,_Jour2),DATE(YEAR(_DebAmort),MONTH(_DebAmort)+_MoisD+1+(Z342-1)*_Imois,0)),DATE(YEAR(_DebAmort),MONTH(_DebAmort),_Jour1+(Z342-1)*_Ijour)))</f>
        <v>50010</v>
      </c>
      <c r="AD342" s="156">
        <f t="shared" si="66"/>
        <v>61197.480000000105</v>
      </c>
      <c r="AE342" s="153">
        <f>IF(Z342&lt;=_NoEchMaxi,ROUND(AD342*'Données Projet 1'!A351,_NbDeci),0)</f>
        <v>94.86</v>
      </c>
      <c r="AF342" s="152">
        <f>IF(OR(Z342&lt;=_Différé,Z342&gt;_NoEchMaxi),IF(_DiffTotal,-AE342,0),IF(Z342&gt;=_NoEchRemb,AD342,IF('Données Projet 1'!B351-(AE342*_EchFIXE)&gt;AD342-2,AD342,'Données Projet 1'!B351-(AE342*_EchFIXE))))+U342</f>
        <v>674.12</v>
      </c>
      <c r="AG342" s="154">
        <f t="shared" si="67"/>
        <v>19.77</v>
      </c>
      <c r="AH342" s="157">
        <f t="shared" si="61"/>
        <v>788.75</v>
      </c>
      <c r="AI342"/>
      <c r="AJ342" s="3"/>
      <c r="AK342" s="164"/>
      <c r="AL342" s="22"/>
      <c r="AM342" s="21"/>
      <c r="AN342" s="23"/>
      <c r="AO342" s="10"/>
      <c r="AP342" s="5" t="str">
        <f t="shared" si="68"/>
        <v/>
      </c>
      <c r="AQ342" s="7" t="str">
        <f t="shared" si="69"/>
        <v/>
      </c>
      <c r="AR342" s="8" t="str">
        <f t="shared" si="62"/>
        <v/>
      </c>
      <c r="AS342" s="31" t="str">
        <f>IF(AT342=0,"",IF(_Ijour1=0,MIN(DATE(YEAR(_DebAmort1),MONTH(_DebAmort1)+_MoisD1+(AP342-1)*_Imois1,__Jou2),DATE(YEAR(_DebAmort1),MONTH(_DebAmort1)+_MoisD1+1+(AP342-1)*_Imois1,0)),DATE(YEAR(_DebAmort1),MONTH(_DebAmort1),__Jou1+(AP342-1)*_Ijour1)))</f>
        <v/>
      </c>
      <c r="AT342" s="156">
        <f t="shared" si="70"/>
        <v>0</v>
      </c>
      <c r="AU342" s="153">
        <f>IF(AP342&lt;=_NoEchMaxi1,ROUND(AT342*'Données Projet 1'!H351,_NbDeci1),0)</f>
        <v>0</v>
      </c>
      <c r="AV342" s="152">
        <f>IF(OR(AP342&lt;=_Différé1,AP342&gt;_NoEchMaxi1),IF(_DiffTotal1,-AU342,0),IF(AP342&gt;=_NoEchRemb1,AT342,IF('Données Projet 1'!I351-(AU342*_EchFIXE1)&gt;AT342-2,AT342,'Données Projet 1'!I351-(AU342*_EchFIXE1))))+AK342</f>
        <v>0</v>
      </c>
      <c r="AW342" s="154">
        <f t="shared" si="71"/>
        <v>0</v>
      </c>
      <c r="AX342" s="157">
        <f t="shared" si="63"/>
        <v>0</v>
      </c>
    </row>
    <row r="343" spans="20:50" ht="15.75" customHeight="1" x14ac:dyDescent="0.3">
      <c r="T343" s="3"/>
      <c r="U343" s="164"/>
      <c r="V343" s="22"/>
      <c r="W343" s="21"/>
      <c r="X343" s="23"/>
      <c r="Y343" s="10"/>
      <c r="Z343" s="5">
        <f t="shared" si="64"/>
        <v>337</v>
      </c>
      <c r="AA343" s="7">
        <f t="shared" si="65"/>
        <v>84</v>
      </c>
      <c r="AB343" s="8">
        <f t="shared" si="60"/>
        <v>2037</v>
      </c>
      <c r="AC343" s="31">
        <f>IF(AD343=0,"",IF(_Ijour=0,MIN(DATE(YEAR(_DebAmort),MONTH(_DebAmort)+(Z343-1)*_Imois,_Jour1),DATE(YEAR(_DebAmort),MONTH(_DebAmort)+1+(Z343-1)*_Imois,0)),DATE(YEAR(_DebAmort),MONTH(_DebAmort),_Jour1+(Z343-1)*_Ijour)))</f>
        <v>50041</v>
      </c>
      <c r="AD343" s="156">
        <f t="shared" si="66"/>
        <v>60523.360000000102</v>
      </c>
      <c r="AE343" s="153">
        <f>IF(Z343&lt;=_NoEchMaxi,ROUND(AD343*'Données Projet 1'!A352,_NbDeci),0)</f>
        <v>93.81</v>
      </c>
      <c r="AF343" s="152">
        <f>IF(OR(Z343&lt;=_Différé,Z343&gt;_NoEchMaxi),IF(_DiffTotal,-AE343,0),IF(Z343&gt;=_NoEchRemb,AD343,IF('Données Projet 1'!B352-(AE343*_EchFIXE)&gt;AD343-2,AD343,'Données Projet 1'!B352-(AE343*_EchFIXE))))+U343</f>
        <v>675.17000000000007</v>
      </c>
      <c r="AG343" s="154">
        <f t="shared" si="67"/>
        <v>19.77</v>
      </c>
      <c r="AH343" s="157">
        <f t="shared" si="61"/>
        <v>788.75</v>
      </c>
      <c r="AI343"/>
      <c r="AJ343" s="3"/>
      <c r="AK343" s="164"/>
      <c r="AL343" s="22"/>
      <c r="AM343" s="21"/>
      <c r="AN343" s="23"/>
      <c r="AO343" s="10"/>
      <c r="AP343" s="5" t="str">
        <f t="shared" si="68"/>
        <v/>
      </c>
      <c r="AQ343" s="7" t="str">
        <f t="shared" si="69"/>
        <v/>
      </c>
      <c r="AR343" s="8" t="str">
        <f t="shared" si="62"/>
        <v/>
      </c>
      <c r="AS343" s="31" t="str">
        <f>IF(AT343=0,"",IF(_Ijour1=0,MIN(DATE(YEAR(_DebAmort1),MONTH(_DebAmort1)+(AP343-1)*_Imois1,__Jou1),DATE(YEAR(_DebAmort1),MONTH(_DebAmort1)+1+(AP343-1)*_Imois1,0)),DATE(YEAR(_DebAmort1),MONTH(_DebAmort1),__Jou1+(AP343-1)*_Ijour1)))</f>
        <v/>
      </c>
      <c r="AT343" s="156">
        <f t="shared" si="70"/>
        <v>0</v>
      </c>
      <c r="AU343" s="153">
        <f>IF(AP343&lt;=_NoEchMaxi1,ROUND(AT343*'Données Projet 1'!H352,_NbDeci1),0)</f>
        <v>0</v>
      </c>
      <c r="AV343" s="152">
        <f>IF(OR(AP343&lt;=_Différé1,AP343&gt;_NoEchMaxi1),IF(_DiffTotal1,-AU343,0),IF(AP343&gt;=_NoEchRemb1,AT343,IF('Données Projet 1'!I352-(AU343*_EchFIXE1)&gt;AT343-2,AT343,'Données Projet 1'!I352-(AU343*_EchFIXE1))))+AK343</f>
        <v>0</v>
      </c>
      <c r="AW343" s="154">
        <f t="shared" si="71"/>
        <v>0</v>
      </c>
      <c r="AX343" s="157">
        <f t="shared" si="63"/>
        <v>0</v>
      </c>
    </row>
    <row r="344" spans="20:50" ht="15.75" customHeight="1" x14ac:dyDescent="0.3">
      <c r="T344" s="3"/>
      <c r="U344" s="164"/>
      <c r="V344" s="22"/>
      <c r="W344" s="21"/>
      <c r="X344" s="23"/>
      <c r="Y344" s="10"/>
      <c r="Z344" s="5">
        <f t="shared" si="64"/>
        <v>338</v>
      </c>
      <c r="AA344" s="7">
        <f t="shared" si="65"/>
        <v>83</v>
      </c>
      <c r="AB344" s="8">
        <f t="shared" si="60"/>
        <v>2037</v>
      </c>
      <c r="AC344" s="31">
        <f>IF(AD344=0,"",IF(_Ijour=0,MIN(DATE(YEAR(_DebAmort),MONTH(_DebAmort)+_MoisD+(Z344-1)*_Imois,_Jour2),DATE(YEAR(_DebAmort),MONTH(_DebAmort)+_MoisD+1+(Z344-1)*_Imois,0)),DATE(YEAR(_DebAmort),MONTH(_DebAmort),_Jour1+(Z344-1)*_Ijour)))</f>
        <v>50072</v>
      </c>
      <c r="AD344" s="156">
        <f t="shared" si="66"/>
        <v>59848.190000000104</v>
      </c>
      <c r="AE344" s="153">
        <f>IF(Z344&lt;=_NoEchMaxi,ROUND(AD344*'Données Projet 1'!A353,_NbDeci),0)</f>
        <v>92.76</v>
      </c>
      <c r="AF344" s="152">
        <f>IF(OR(Z344&lt;=_Différé,Z344&gt;_NoEchMaxi),IF(_DiffTotal,-AE344,0),IF(Z344&gt;=_NoEchRemb,AD344,IF('Données Projet 1'!B353-(AE344*_EchFIXE)&gt;AD344-2,AD344,'Données Projet 1'!B353-(AE344*_EchFIXE))))+U344</f>
        <v>676.22</v>
      </c>
      <c r="AG344" s="154">
        <f t="shared" si="67"/>
        <v>19.77</v>
      </c>
      <c r="AH344" s="157">
        <f t="shared" si="61"/>
        <v>788.75</v>
      </c>
      <c r="AI344"/>
      <c r="AJ344" s="3"/>
      <c r="AK344" s="164"/>
      <c r="AL344" s="22"/>
      <c r="AM344" s="21"/>
      <c r="AN344" s="23"/>
      <c r="AO344" s="10"/>
      <c r="AP344" s="5" t="str">
        <f t="shared" si="68"/>
        <v/>
      </c>
      <c r="AQ344" s="7" t="str">
        <f t="shared" si="69"/>
        <v/>
      </c>
      <c r="AR344" s="8" t="str">
        <f t="shared" si="62"/>
        <v/>
      </c>
      <c r="AS344" s="31" t="str">
        <f>IF(AT344=0,"",IF(_Ijour1=0,MIN(DATE(YEAR(_DebAmort1),MONTH(_DebAmort1)+_MoisD1+(AP344-1)*_Imois1,__Jou2),DATE(YEAR(_DebAmort1),MONTH(_DebAmort1)+_MoisD1+1+(AP344-1)*_Imois1,0)),DATE(YEAR(_DebAmort1),MONTH(_DebAmort1),__Jou1+(AP344-1)*_Ijour1)))</f>
        <v/>
      </c>
      <c r="AT344" s="156">
        <f t="shared" si="70"/>
        <v>0</v>
      </c>
      <c r="AU344" s="153">
        <f>IF(AP344&lt;=_NoEchMaxi1,ROUND(AT344*'Données Projet 1'!H353,_NbDeci1),0)</f>
        <v>0</v>
      </c>
      <c r="AV344" s="152">
        <f>IF(OR(AP344&lt;=_Différé1,AP344&gt;_NoEchMaxi1),IF(_DiffTotal1,-AU344,0),IF(AP344&gt;=_NoEchRemb1,AT344,IF('Données Projet 1'!I353-(AU344*_EchFIXE1)&gt;AT344-2,AT344,'Données Projet 1'!I353-(AU344*_EchFIXE1))))+AK344</f>
        <v>0</v>
      </c>
      <c r="AW344" s="154">
        <f t="shared" si="71"/>
        <v>0</v>
      </c>
      <c r="AX344" s="157">
        <f t="shared" si="63"/>
        <v>0</v>
      </c>
    </row>
    <row r="345" spans="20:50" ht="15.75" customHeight="1" x14ac:dyDescent="0.3">
      <c r="T345" s="3"/>
      <c r="U345" s="164"/>
      <c r="V345" s="22"/>
      <c r="W345" s="21"/>
      <c r="X345" s="23"/>
      <c r="Y345" s="10"/>
      <c r="Z345" s="5">
        <f t="shared" si="64"/>
        <v>339</v>
      </c>
      <c r="AA345" s="7">
        <f t="shared" si="65"/>
        <v>82</v>
      </c>
      <c r="AB345" s="8">
        <f t="shared" si="60"/>
        <v>2037</v>
      </c>
      <c r="AC345" s="31">
        <f>IF(AD345=0,"",IF(_Ijour=0,MIN(DATE(YEAR(_DebAmort),MONTH(_DebAmort)+(Z345-1)*_Imois,_Jour1),DATE(YEAR(_DebAmort),MONTH(_DebAmort)+1+(Z345-1)*_Imois,0)),DATE(YEAR(_DebAmort),MONTH(_DebAmort),_Jour1+(Z345-1)*_Ijour)))</f>
        <v>50100</v>
      </c>
      <c r="AD345" s="156">
        <f t="shared" si="66"/>
        <v>59171.970000000103</v>
      </c>
      <c r="AE345" s="153">
        <f>IF(Z345&lt;=_NoEchMaxi,ROUND(AD345*'Données Projet 1'!A354,_NbDeci),0)</f>
        <v>91.72</v>
      </c>
      <c r="AF345" s="152">
        <f>IF(OR(Z345&lt;=_Différé,Z345&gt;_NoEchMaxi),IF(_DiffTotal,-AE345,0),IF(Z345&gt;=_NoEchRemb,AD345,IF('Données Projet 1'!B354-(AE345*_EchFIXE)&gt;AD345-2,AD345,'Données Projet 1'!B354-(AE345*_EchFIXE))))+U345</f>
        <v>677.26</v>
      </c>
      <c r="AG345" s="154">
        <f t="shared" si="67"/>
        <v>19.77</v>
      </c>
      <c r="AH345" s="157">
        <f t="shared" si="61"/>
        <v>788.75</v>
      </c>
      <c r="AI345"/>
      <c r="AJ345" s="3"/>
      <c r="AK345" s="164"/>
      <c r="AL345" s="22"/>
      <c r="AM345" s="21"/>
      <c r="AN345" s="23"/>
      <c r="AO345" s="10"/>
      <c r="AP345" s="5" t="str">
        <f t="shared" si="68"/>
        <v/>
      </c>
      <c r="AQ345" s="7" t="str">
        <f t="shared" si="69"/>
        <v/>
      </c>
      <c r="AR345" s="8" t="str">
        <f t="shared" si="62"/>
        <v/>
      </c>
      <c r="AS345" s="31" t="str">
        <f>IF(AT345=0,"",IF(_Ijour1=0,MIN(DATE(YEAR(_DebAmort1),MONTH(_DebAmort1)+(AP345-1)*_Imois1,__Jou1),DATE(YEAR(_DebAmort1),MONTH(_DebAmort1)+1+(AP345-1)*_Imois1,0)),DATE(YEAR(_DebAmort1),MONTH(_DebAmort1),__Jou1+(AP345-1)*_Ijour1)))</f>
        <v/>
      </c>
      <c r="AT345" s="156">
        <f t="shared" si="70"/>
        <v>0</v>
      </c>
      <c r="AU345" s="153">
        <f>IF(AP345&lt;=_NoEchMaxi1,ROUND(AT345*'Données Projet 1'!H354,_NbDeci1),0)</f>
        <v>0</v>
      </c>
      <c r="AV345" s="152">
        <f>IF(OR(AP345&lt;=_Différé1,AP345&gt;_NoEchMaxi1),IF(_DiffTotal1,-AU345,0),IF(AP345&gt;=_NoEchRemb1,AT345,IF('Données Projet 1'!I354-(AU345*_EchFIXE1)&gt;AT345-2,AT345,'Données Projet 1'!I354-(AU345*_EchFIXE1))))+AK345</f>
        <v>0</v>
      </c>
      <c r="AW345" s="154">
        <f t="shared" si="71"/>
        <v>0</v>
      </c>
      <c r="AX345" s="157">
        <f t="shared" si="63"/>
        <v>0</v>
      </c>
    </row>
    <row r="346" spans="20:50" ht="15.75" customHeight="1" x14ac:dyDescent="0.3">
      <c r="T346" s="3"/>
      <c r="U346" s="164"/>
      <c r="V346" s="22"/>
      <c r="W346" s="21"/>
      <c r="X346" s="23"/>
      <c r="Y346" s="10"/>
      <c r="Z346" s="5">
        <f t="shared" si="64"/>
        <v>340</v>
      </c>
      <c r="AA346" s="7">
        <f t="shared" si="65"/>
        <v>81</v>
      </c>
      <c r="AB346" s="8">
        <f t="shared" si="60"/>
        <v>2037</v>
      </c>
      <c r="AC346" s="31">
        <f>IF(AD346=0,"",IF(_Ijour=0,MIN(DATE(YEAR(_DebAmort),MONTH(_DebAmort)+_MoisD+(Z346-1)*_Imois,_Jour2),DATE(YEAR(_DebAmort),MONTH(_DebAmort)+_MoisD+1+(Z346-1)*_Imois,0)),DATE(YEAR(_DebAmort),MONTH(_DebAmort),_Jour1+(Z346-1)*_Ijour)))</f>
        <v>50131</v>
      </c>
      <c r="AD346" s="156">
        <f t="shared" si="66"/>
        <v>58494.710000000101</v>
      </c>
      <c r="AE346" s="153">
        <f>IF(Z346&lt;=_NoEchMaxi,ROUND(AD346*'Données Projet 1'!A355,_NbDeci),0)</f>
        <v>90.67</v>
      </c>
      <c r="AF346" s="152">
        <f>IF(OR(Z346&lt;=_Différé,Z346&gt;_NoEchMaxi),IF(_DiffTotal,-AE346,0),IF(Z346&gt;=_NoEchRemb,AD346,IF('Données Projet 1'!B355-(AE346*_EchFIXE)&gt;AD346-2,AD346,'Données Projet 1'!B355-(AE346*_EchFIXE))))+U346</f>
        <v>678.31000000000006</v>
      </c>
      <c r="AG346" s="154">
        <f t="shared" si="67"/>
        <v>19.77</v>
      </c>
      <c r="AH346" s="157">
        <f t="shared" si="61"/>
        <v>788.75</v>
      </c>
      <c r="AI346"/>
      <c r="AJ346" s="3"/>
      <c r="AK346" s="164"/>
      <c r="AL346" s="22"/>
      <c r="AM346" s="21"/>
      <c r="AN346" s="23"/>
      <c r="AO346" s="10"/>
      <c r="AP346" s="5" t="str">
        <f t="shared" si="68"/>
        <v/>
      </c>
      <c r="AQ346" s="7" t="str">
        <f t="shared" si="69"/>
        <v/>
      </c>
      <c r="AR346" s="8" t="str">
        <f t="shared" si="62"/>
        <v/>
      </c>
      <c r="AS346" s="31" t="str">
        <f>IF(AT346=0,"",IF(_Ijour1=0,MIN(DATE(YEAR(_DebAmort1),MONTH(_DebAmort1)+_MoisD1+(AP346-1)*_Imois1,__Jou2),DATE(YEAR(_DebAmort1),MONTH(_DebAmort1)+_MoisD1+1+(AP346-1)*_Imois1,0)),DATE(YEAR(_DebAmort1),MONTH(_DebAmort1),__Jou1+(AP346-1)*_Ijour1)))</f>
        <v/>
      </c>
      <c r="AT346" s="156">
        <f t="shared" si="70"/>
        <v>0</v>
      </c>
      <c r="AU346" s="153">
        <f>IF(AP346&lt;=_NoEchMaxi1,ROUND(AT346*'Données Projet 1'!H355,_NbDeci1),0)</f>
        <v>0</v>
      </c>
      <c r="AV346" s="152">
        <f>IF(OR(AP346&lt;=_Différé1,AP346&gt;_NoEchMaxi1),IF(_DiffTotal1,-AU346,0),IF(AP346&gt;=_NoEchRemb1,AT346,IF('Données Projet 1'!I355-(AU346*_EchFIXE1)&gt;AT346-2,AT346,'Données Projet 1'!I355-(AU346*_EchFIXE1))))+AK346</f>
        <v>0</v>
      </c>
      <c r="AW346" s="154">
        <f t="shared" si="71"/>
        <v>0</v>
      </c>
      <c r="AX346" s="157">
        <f t="shared" si="63"/>
        <v>0</v>
      </c>
    </row>
    <row r="347" spans="20:50" ht="15.75" customHeight="1" x14ac:dyDescent="0.3">
      <c r="T347" s="3"/>
      <c r="U347" s="164"/>
      <c r="V347" s="22"/>
      <c r="W347" s="21"/>
      <c r="X347" s="23"/>
      <c r="Y347" s="10"/>
      <c r="Z347" s="5">
        <f t="shared" si="64"/>
        <v>341</v>
      </c>
      <c r="AA347" s="7">
        <f t="shared" si="65"/>
        <v>80</v>
      </c>
      <c r="AB347" s="8">
        <f t="shared" si="60"/>
        <v>2037</v>
      </c>
      <c r="AC347" s="31">
        <f>IF(AD347=0,"",IF(_Ijour=0,MIN(DATE(YEAR(_DebAmort),MONTH(_DebAmort)+(Z347-1)*_Imois,_Jour1),DATE(YEAR(_DebAmort),MONTH(_DebAmort)+1+(Z347-1)*_Imois,0)),DATE(YEAR(_DebAmort),MONTH(_DebAmort),_Jour1+(Z347-1)*_Ijour)))</f>
        <v>50161</v>
      </c>
      <c r="AD347" s="156">
        <f t="shared" si="66"/>
        <v>57816.400000000103</v>
      </c>
      <c r="AE347" s="153">
        <f>IF(Z347&lt;=_NoEchMaxi,ROUND(AD347*'Données Projet 1'!A356,_NbDeci),0)</f>
        <v>89.62</v>
      </c>
      <c r="AF347" s="152">
        <f>IF(OR(Z347&lt;=_Différé,Z347&gt;_NoEchMaxi),IF(_DiffTotal,-AE347,0),IF(Z347&gt;=_NoEchRemb,AD347,IF('Données Projet 1'!B356-(AE347*_EchFIXE)&gt;AD347-2,AD347,'Données Projet 1'!B356-(AE347*_EchFIXE))))+U347</f>
        <v>679.36</v>
      </c>
      <c r="AG347" s="154">
        <f t="shared" si="67"/>
        <v>19.77</v>
      </c>
      <c r="AH347" s="157">
        <f t="shared" si="61"/>
        <v>788.75</v>
      </c>
      <c r="AI347"/>
      <c r="AJ347" s="3"/>
      <c r="AK347" s="164"/>
      <c r="AL347" s="22"/>
      <c r="AM347" s="21"/>
      <c r="AN347" s="23"/>
      <c r="AO347" s="10"/>
      <c r="AP347" s="5" t="str">
        <f t="shared" si="68"/>
        <v/>
      </c>
      <c r="AQ347" s="7" t="str">
        <f t="shared" si="69"/>
        <v/>
      </c>
      <c r="AR347" s="8" t="str">
        <f t="shared" si="62"/>
        <v/>
      </c>
      <c r="AS347" s="31" t="str">
        <f>IF(AT347=0,"",IF(_Ijour1=0,MIN(DATE(YEAR(_DebAmort1),MONTH(_DebAmort1)+(AP347-1)*_Imois1,__Jou1),DATE(YEAR(_DebAmort1),MONTH(_DebAmort1)+1+(AP347-1)*_Imois1,0)),DATE(YEAR(_DebAmort1),MONTH(_DebAmort1),__Jou1+(AP347-1)*_Ijour1)))</f>
        <v/>
      </c>
      <c r="AT347" s="156">
        <f t="shared" si="70"/>
        <v>0</v>
      </c>
      <c r="AU347" s="153">
        <f>IF(AP347&lt;=_NoEchMaxi1,ROUND(AT347*'Données Projet 1'!H356,_NbDeci1),0)</f>
        <v>0</v>
      </c>
      <c r="AV347" s="152">
        <f>IF(OR(AP347&lt;=_Différé1,AP347&gt;_NoEchMaxi1),IF(_DiffTotal1,-AU347,0),IF(AP347&gt;=_NoEchRemb1,AT347,IF('Données Projet 1'!I356-(AU347*_EchFIXE1)&gt;AT347-2,AT347,'Données Projet 1'!I356-(AU347*_EchFIXE1))))+AK347</f>
        <v>0</v>
      </c>
      <c r="AW347" s="154">
        <f t="shared" si="71"/>
        <v>0</v>
      </c>
      <c r="AX347" s="157">
        <f t="shared" si="63"/>
        <v>0</v>
      </c>
    </row>
    <row r="348" spans="20:50" ht="15.75" customHeight="1" x14ac:dyDescent="0.3">
      <c r="T348" s="3"/>
      <c r="U348" s="164"/>
      <c r="V348" s="22"/>
      <c r="W348" s="21"/>
      <c r="X348" s="23"/>
      <c r="Y348" s="10"/>
      <c r="Z348" s="5">
        <f t="shared" si="64"/>
        <v>342</v>
      </c>
      <c r="AA348" s="7">
        <f t="shared" si="65"/>
        <v>79</v>
      </c>
      <c r="AB348" s="8">
        <f t="shared" si="60"/>
        <v>2037</v>
      </c>
      <c r="AC348" s="31">
        <f>IF(AD348=0,"",IF(_Ijour=0,MIN(DATE(YEAR(_DebAmort),MONTH(_DebAmort)+_MoisD+(Z348-1)*_Imois,_Jour2),DATE(YEAR(_DebAmort),MONTH(_DebAmort)+_MoisD+1+(Z348-1)*_Imois,0)),DATE(YEAR(_DebAmort),MONTH(_DebAmort),_Jour1+(Z348-1)*_Ijour)))</f>
        <v>50192</v>
      </c>
      <c r="AD348" s="156">
        <f t="shared" si="66"/>
        <v>57137.040000000103</v>
      </c>
      <c r="AE348" s="153">
        <f>IF(Z348&lt;=_NoEchMaxi,ROUND(AD348*'Données Projet 1'!A357,_NbDeci),0)</f>
        <v>88.56</v>
      </c>
      <c r="AF348" s="152">
        <f>IF(OR(Z348&lt;=_Différé,Z348&gt;_NoEchMaxi),IF(_DiffTotal,-AE348,0),IF(Z348&gt;=_NoEchRemb,AD348,IF('Données Projet 1'!B357-(AE348*_EchFIXE)&gt;AD348-2,AD348,'Données Projet 1'!B357-(AE348*_EchFIXE))))+U348</f>
        <v>680.42000000000007</v>
      </c>
      <c r="AG348" s="154">
        <f t="shared" si="67"/>
        <v>19.77</v>
      </c>
      <c r="AH348" s="157">
        <f t="shared" si="61"/>
        <v>788.75</v>
      </c>
      <c r="AI348"/>
      <c r="AJ348" s="3"/>
      <c r="AK348" s="164"/>
      <c r="AL348" s="22"/>
      <c r="AM348" s="21"/>
      <c r="AN348" s="23"/>
      <c r="AO348" s="10"/>
      <c r="AP348" s="5" t="str">
        <f t="shared" si="68"/>
        <v/>
      </c>
      <c r="AQ348" s="7" t="str">
        <f t="shared" si="69"/>
        <v/>
      </c>
      <c r="AR348" s="8" t="str">
        <f t="shared" si="62"/>
        <v/>
      </c>
      <c r="AS348" s="31" t="str">
        <f>IF(AT348=0,"",IF(_Ijour1=0,MIN(DATE(YEAR(_DebAmort1),MONTH(_DebAmort1)+_MoisD1+(AP348-1)*_Imois1,__Jou2),DATE(YEAR(_DebAmort1),MONTH(_DebAmort1)+_MoisD1+1+(AP348-1)*_Imois1,0)),DATE(YEAR(_DebAmort1),MONTH(_DebAmort1),__Jou1+(AP348-1)*_Ijour1)))</f>
        <v/>
      </c>
      <c r="AT348" s="156">
        <f t="shared" si="70"/>
        <v>0</v>
      </c>
      <c r="AU348" s="153">
        <f>IF(AP348&lt;=_NoEchMaxi1,ROUND(AT348*'Données Projet 1'!H357,_NbDeci1),0)</f>
        <v>0</v>
      </c>
      <c r="AV348" s="152">
        <f>IF(OR(AP348&lt;=_Différé1,AP348&gt;_NoEchMaxi1),IF(_DiffTotal1,-AU348,0),IF(AP348&gt;=_NoEchRemb1,AT348,IF('Données Projet 1'!I357-(AU348*_EchFIXE1)&gt;AT348-2,AT348,'Données Projet 1'!I357-(AU348*_EchFIXE1))))+AK348</f>
        <v>0</v>
      </c>
      <c r="AW348" s="154">
        <f t="shared" si="71"/>
        <v>0</v>
      </c>
      <c r="AX348" s="157">
        <f t="shared" si="63"/>
        <v>0</v>
      </c>
    </row>
    <row r="349" spans="20:50" ht="15.75" customHeight="1" x14ac:dyDescent="0.3">
      <c r="T349" s="3"/>
      <c r="U349" s="164"/>
      <c r="V349" s="22"/>
      <c r="W349" s="21"/>
      <c r="X349" s="23"/>
      <c r="Y349" s="10"/>
      <c r="Z349" s="5">
        <f t="shared" si="64"/>
        <v>343</v>
      </c>
      <c r="AA349" s="7">
        <f t="shared" si="65"/>
        <v>78</v>
      </c>
      <c r="AB349" s="8">
        <f t="shared" si="60"/>
        <v>2037</v>
      </c>
      <c r="AC349" s="31">
        <f>IF(AD349=0,"",IF(_Ijour=0,MIN(DATE(YEAR(_DebAmort),MONTH(_DebAmort)+(Z349-1)*_Imois,_Jour1),DATE(YEAR(_DebAmort),MONTH(_DebAmort)+1+(Z349-1)*_Imois,0)),DATE(YEAR(_DebAmort),MONTH(_DebAmort),_Jour1+(Z349-1)*_Ijour)))</f>
        <v>50222</v>
      </c>
      <c r="AD349" s="156">
        <f t="shared" si="66"/>
        <v>56456.620000000104</v>
      </c>
      <c r="AE349" s="153">
        <f>IF(Z349&lt;=_NoEchMaxi,ROUND(AD349*'Données Projet 1'!A358,_NbDeci),0)</f>
        <v>87.51</v>
      </c>
      <c r="AF349" s="152">
        <f>IF(OR(Z349&lt;=_Différé,Z349&gt;_NoEchMaxi),IF(_DiffTotal,-AE349,0),IF(Z349&gt;=_NoEchRemb,AD349,IF('Données Projet 1'!B358-(AE349*_EchFIXE)&gt;AD349-2,AD349,'Données Projet 1'!B358-(AE349*_EchFIXE))))+U349</f>
        <v>681.47</v>
      </c>
      <c r="AG349" s="154">
        <f t="shared" si="67"/>
        <v>19.77</v>
      </c>
      <c r="AH349" s="157">
        <f t="shared" si="61"/>
        <v>788.75</v>
      </c>
      <c r="AI349"/>
      <c r="AJ349" s="3"/>
      <c r="AK349" s="164"/>
      <c r="AL349" s="22"/>
      <c r="AM349" s="21"/>
      <c r="AN349" s="23"/>
      <c r="AO349" s="10"/>
      <c r="AP349" s="5" t="str">
        <f t="shared" si="68"/>
        <v/>
      </c>
      <c r="AQ349" s="7" t="str">
        <f t="shared" si="69"/>
        <v/>
      </c>
      <c r="AR349" s="8" t="str">
        <f t="shared" si="62"/>
        <v/>
      </c>
      <c r="AS349" s="31" t="str">
        <f>IF(AT349=0,"",IF(_Ijour1=0,MIN(DATE(YEAR(_DebAmort1),MONTH(_DebAmort1)+(AP349-1)*_Imois1,__Jou1),DATE(YEAR(_DebAmort1),MONTH(_DebAmort1)+1+(AP349-1)*_Imois1,0)),DATE(YEAR(_DebAmort1),MONTH(_DebAmort1),__Jou1+(AP349-1)*_Ijour1)))</f>
        <v/>
      </c>
      <c r="AT349" s="156">
        <f t="shared" si="70"/>
        <v>0</v>
      </c>
      <c r="AU349" s="153">
        <f>IF(AP349&lt;=_NoEchMaxi1,ROUND(AT349*'Données Projet 1'!H358,_NbDeci1),0)</f>
        <v>0</v>
      </c>
      <c r="AV349" s="152">
        <f>IF(OR(AP349&lt;=_Différé1,AP349&gt;_NoEchMaxi1),IF(_DiffTotal1,-AU349,0),IF(AP349&gt;=_NoEchRemb1,AT349,IF('Données Projet 1'!I358-(AU349*_EchFIXE1)&gt;AT349-2,AT349,'Données Projet 1'!I358-(AU349*_EchFIXE1))))+AK349</f>
        <v>0</v>
      </c>
      <c r="AW349" s="154">
        <f t="shared" si="71"/>
        <v>0</v>
      </c>
      <c r="AX349" s="157">
        <f t="shared" si="63"/>
        <v>0</v>
      </c>
    </row>
    <row r="350" spans="20:50" ht="15.75" customHeight="1" x14ac:dyDescent="0.3">
      <c r="T350" s="3"/>
      <c r="U350" s="164"/>
      <c r="V350" s="22"/>
      <c r="W350" s="21"/>
      <c r="X350" s="23"/>
      <c r="Y350" s="10"/>
      <c r="Z350" s="5">
        <f t="shared" si="64"/>
        <v>344</v>
      </c>
      <c r="AA350" s="7">
        <f t="shared" si="65"/>
        <v>77</v>
      </c>
      <c r="AB350" s="8">
        <f t="shared" si="60"/>
        <v>2037</v>
      </c>
      <c r="AC350" s="31">
        <f>IF(AD350=0,"",IF(_Ijour=0,MIN(DATE(YEAR(_DebAmort),MONTH(_DebAmort)+_MoisD+(Z350-1)*_Imois,_Jour2),DATE(YEAR(_DebAmort),MONTH(_DebAmort)+_MoisD+1+(Z350-1)*_Imois,0)),DATE(YEAR(_DebAmort),MONTH(_DebAmort),_Jour1+(Z350-1)*_Ijour)))</f>
        <v>50253</v>
      </c>
      <c r="AD350" s="156">
        <f t="shared" si="66"/>
        <v>55775.150000000103</v>
      </c>
      <c r="AE350" s="153">
        <f>IF(Z350&lt;=_NoEchMaxi,ROUND(AD350*'Données Projet 1'!A359,_NbDeci),0)</f>
        <v>86.45</v>
      </c>
      <c r="AF350" s="152">
        <f>IF(OR(Z350&lt;=_Différé,Z350&gt;_NoEchMaxi),IF(_DiffTotal,-AE350,0),IF(Z350&gt;=_NoEchRemb,AD350,IF('Données Projet 1'!B359-(AE350*_EchFIXE)&gt;AD350-2,AD350,'Données Projet 1'!B359-(AE350*_EchFIXE))))+U350</f>
        <v>682.53</v>
      </c>
      <c r="AG350" s="154">
        <f t="shared" si="67"/>
        <v>19.77</v>
      </c>
      <c r="AH350" s="157">
        <f t="shared" si="61"/>
        <v>788.75</v>
      </c>
      <c r="AI350"/>
      <c r="AJ350" s="3"/>
      <c r="AK350" s="164"/>
      <c r="AL350" s="22"/>
      <c r="AM350" s="21"/>
      <c r="AN350" s="23"/>
      <c r="AO350" s="10"/>
      <c r="AP350" s="5" t="str">
        <f t="shared" si="68"/>
        <v/>
      </c>
      <c r="AQ350" s="7" t="str">
        <f t="shared" si="69"/>
        <v/>
      </c>
      <c r="AR350" s="8" t="str">
        <f t="shared" si="62"/>
        <v/>
      </c>
      <c r="AS350" s="31" t="str">
        <f>IF(AT350=0,"",IF(_Ijour1=0,MIN(DATE(YEAR(_DebAmort1),MONTH(_DebAmort1)+_MoisD1+(AP350-1)*_Imois1,__Jou2),DATE(YEAR(_DebAmort1),MONTH(_DebAmort1)+_MoisD1+1+(AP350-1)*_Imois1,0)),DATE(YEAR(_DebAmort1),MONTH(_DebAmort1),__Jou1+(AP350-1)*_Ijour1)))</f>
        <v/>
      </c>
      <c r="AT350" s="156">
        <f t="shared" si="70"/>
        <v>0</v>
      </c>
      <c r="AU350" s="153">
        <f>IF(AP350&lt;=_NoEchMaxi1,ROUND(AT350*'Données Projet 1'!H359,_NbDeci1),0)</f>
        <v>0</v>
      </c>
      <c r="AV350" s="152">
        <f>IF(OR(AP350&lt;=_Différé1,AP350&gt;_NoEchMaxi1),IF(_DiffTotal1,-AU350,0),IF(AP350&gt;=_NoEchRemb1,AT350,IF('Données Projet 1'!I359-(AU350*_EchFIXE1)&gt;AT350-2,AT350,'Données Projet 1'!I359-(AU350*_EchFIXE1))))+AK350</f>
        <v>0</v>
      </c>
      <c r="AW350" s="154">
        <f t="shared" si="71"/>
        <v>0</v>
      </c>
      <c r="AX350" s="157">
        <f t="shared" si="63"/>
        <v>0</v>
      </c>
    </row>
    <row r="351" spans="20:50" ht="15.75" customHeight="1" x14ac:dyDescent="0.3">
      <c r="T351" s="3"/>
      <c r="U351" s="164"/>
      <c r="V351" s="22"/>
      <c r="W351" s="21"/>
      <c r="X351" s="23"/>
      <c r="Y351" s="10"/>
      <c r="Z351" s="5">
        <f t="shared" si="64"/>
        <v>345</v>
      </c>
      <c r="AA351" s="7">
        <f t="shared" si="65"/>
        <v>76</v>
      </c>
      <c r="AB351" s="8">
        <f t="shared" si="60"/>
        <v>2037</v>
      </c>
      <c r="AC351" s="31">
        <f>IF(AD351=0,"",IF(_Ijour=0,MIN(DATE(YEAR(_DebAmort),MONTH(_DebAmort)+(Z351-1)*_Imois,_Jour1),DATE(YEAR(_DebAmort),MONTH(_DebAmort)+1+(Z351-1)*_Imois,0)),DATE(YEAR(_DebAmort),MONTH(_DebAmort),_Jour1+(Z351-1)*_Ijour)))</f>
        <v>50284</v>
      </c>
      <c r="AD351" s="156">
        <f t="shared" si="66"/>
        <v>55092.620000000104</v>
      </c>
      <c r="AE351" s="153">
        <f>IF(Z351&lt;=_NoEchMaxi,ROUND(AD351*'Données Projet 1'!A360,_NbDeci),0)</f>
        <v>85.39</v>
      </c>
      <c r="AF351" s="152">
        <f>IF(OR(Z351&lt;=_Différé,Z351&gt;_NoEchMaxi),IF(_DiffTotal,-AE351,0),IF(Z351&gt;=_NoEchRemb,AD351,IF('Données Projet 1'!B360-(AE351*_EchFIXE)&gt;AD351-2,AD351,'Données Projet 1'!B360-(AE351*_EchFIXE))))+U351</f>
        <v>683.59</v>
      </c>
      <c r="AG351" s="154">
        <f t="shared" si="67"/>
        <v>19.77</v>
      </c>
      <c r="AH351" s="157">
        <f t="shared" si="61"/>
        <v>788.75</v>
      </c>
      <c r="AI351"/>
      <c r="AJ351" s="3"/>
      <c r="AK351" s="164"/>
      <c r="AL351" s="22"/>
      <c r="AM351" s="21"/>
      <c r="AN351" s="23"/>
      <c r="AO351" s="10"/>
      <c r="AP351" s="5" t="str">
        <f t="shared" si="68"/>
        <v/>
      </c>
      <c r="AQ351" s="7" t="str">
        <f t="shared" si="69"/>
        <v/>
      </c>
      <c r="AR351" s="8" t="str">
        <f t="shared" si="62"/>
        <v/>
      </c>
      <c r="AS351" s="31" t="str">
        <f>IF(AT351=0,"",IF(_Ijour1=0,MIN(DATE(YEAR(_DebAmort1),MONTH(_DebAmort1)+(AP351-1)*_Imois1,__Jou1),DATE(YEAR(_DebAmort1),MONTH(_DebAmort1)+1+(AP351-1)*_Imois1,0)),DATE(YEAR(_DebAmort1),MONTH(_DebAmort1),__Jou1+(AP351-1)*_Ijour1)))</f>
        <v/>
      </c>
      <c r="AT351" s="156">
        <f t="shared" si="70"/>
        <v>0</v>
      </c>
      <c r="AU351" s="153">
        <f>IF(AP351&lt;=_NoEchMaxi1,ROUND(AT351*'Données Projet 1'!H360,_NbDeci1),0)</f>
        <v>0</v>
      </c>
      <c r="AV351" s="152">
        <f>IF(OR(AP351&lt;=_Différé1,AP351&gt;_NoEchMaxi1),IF(_DiffTotal1,-AU351,0),IF(AP351&gt;=_NoEchRemb1,AT351,IF('Données Projet 1'!I360-(AU351*_EchFIXE1)&gt;AT351-2,AT351,'Données Projet 1'!I360-(AU351*_EchFIXE1))))+AK351</f>
        <v>0</v>
      </c>
      <c r="AW351" s="154">
        <f t="shared" si="71"/>
        <v>0</v>
      </c>
      <c r="AX351" s="157">
        <f t="shared" si="63"/>
        <v>0</v>
      </c>
    </row>
    <row r="352" spans="20:50" ht="15.75" customHeight="1" x14ac:dyDescent="0.3">
      <c r="T352" s="3"/>
      <c r="U352" s="164"/>
      <c r="V352" s="22"/>
      <c r="W352" s="21"/>
      <c r="X352" s="23"/>
      <c r="Y352" s="10"/>
      <c r="Z352" s="5">
        <f t="shared" si="64"/>
        <v>346</v>
      </c>
      <c r="AA352" s="7">
        <f t="shared" si="65"/>
        <v>75</v>
      </c>
      <c r="AB352" s="8">
        <f t="shared" si="60"/>
        <v>2037</v>
      </c>
      <c r="AC352" s="31">
        <f>IF(AD352=0,"",IF(_Ijour=0,MIN(DATE(YEAR(_DebAmort),MONTH(_DebAmort)+_MoisD+(Z352-1)*_Imois,_Jour2),DATE(YEAR(_DebAmort),MONTH(_DebAmort)+_MoisD+1+(Z352-1)*_Imois,0)),DATE(YEAR(_DebAmort),MONTH(_DebAmort),_Jour1+(Z352-1)*_Ijour)))</f>
        <v>50314</v>
      </c>
      <c r="AD352" s="156">
        <f t="shared" si="66"/>
        <v>54409.030000000108</v>
      </c>
      <c r="AE352" s="153">
        <f>IF(Z352&lt;=_NoEchMaxi,ROUND(AD352*'Données Projet 1'!A361,_NbDeci),0)</f>
        <v>84.33</v>
      </c>
      <c r="AF352" s="152">
        <f>IF(OR(Z352&lt;=_Différé,Z352&gt;_NoEchMaxi),IF(_DiffTotal,-AE352,0),IF(Z352&gt;=_NoEchRemb,AD352,IF('Données Projet 1'!B361-(AE352*_EchFIXE)&gt;AD352-2,AD352,'Données Projet 1'!B361-(AE352*_EchFIXE))))+U352</f>
        <v>684.65</v>
      </c>
      <c r="AG352" s="154">
        <f t="shared" si="67"/>
        <v>19.77</v>
      </c>
      <c r="AH352" s="157">
        <f t="shared" si="61"/>
        <v>788.75</v>
      </c>
      <c r="AI352"/>
      <c r="AJ352" s="3"/>
      <c r="AK352" s="164"/>
      <c r="AL352" s="22"/>
      <c r="AM352" s="21"/>
      <c r="AN352" s="23"/>
      <c r="AO352" s="10"/>
      <c r="AP352" s="5" t="str">
        <f t="shared" si="68"/>
        <v/>
      </c>
      <c r="AQ352" s="7" t="str">
        <f t="shared" si="69"/>
        <v/>
      </c>
      <c r="AR352" s="8" t="str">
        <f t="shared" si="62"/>
        <v/>
      </c>
      <c r="AS352" s="31" t="str">
        <f>IF(AT352=0,"",IF(_Ijour1=0,MIN(DATE(YEAR(_DebAmort1),MONTH(_DebAmort1)+_MoisD1+(AP352-1)*_Imois1,__Jou2),DATE(YEAR(_DebAmort1),MONTH(_DebAmort1)+_MoisD1+1+(AP352-1)*_Imois1,0)),DATE(YEAR(_DebAmort1),MONTH(_DebAmort1),__Jou1+(AP352-1)*_Ijour1)))</f>
        <v/>
      </c>
      <c r="AT352" s="156">
        <f t="shared" si="70"/>
        <v>0</v>
      </c>
      <c r="AU352" s="153">
        <f>IF(AP352&lt;=_NoEchMaxi1,ROUND(AT352*'Données Projet 1'!H361,_NbDeci1),0)</f>
        <v>0</v>
      </c>
      <c r="AV352" s="152">
        <f>IF(OR(AP352&lt;=_Différé1,AP352&gt;_NoEchMaxi1),IF(_DiffTotal1,-AU352,0),IF(AP352&gt;=_NoEchRemb1,AT352,IF('Données Projet 1'!I361-(AU352*_EchFIXE1)&gt;AT352-2,AT352,'Données Projet 1'!I361-(AU352*_EchFIXE1))))+AK352</f>
        <v>0</v>
      </c>
      <c r="AW352" s="154">
        <f t="shared" si="71"/>
        <v>0</v>
      </c>
      <c r="AX352" s="157">
        <f t="shared" si="63"/>
        <v>0</v>
      </c>
    </row>
    <row r="353" spans="20:50" ht="15.75" customHeight="1" x14ac:dyDescent="0.3">
      <c r="T353" s="3"/>
      <c r="U353" s="164"/>
      <c r="V353" s="22"/>
      <c r="W353" s="21"/>
      <c r="X353" s="23"/>
      <c r="Y353" s="10"/>
      <c r="Z353" s="5">
        <f t="shared" si="64"/>
        <v>347</v>
      </c>
      <c r="AA353" s="7">
        <f t="shared" si="65"/>
        <v>74</v>
      </c>
      <c r="AB353" s="8">
        <f t="shared" si="60"/>
        <v>2037</v>
      </c>
      <c r="AC353" s="31">
        <f>IF(AD353=0,"",IF(_Ijour=0,MIN(DATE(YEAR(_DebAmort),MONTH(_DebAmort)+(Z353-1)*_Imois,_Jour1),DATE(YEAR(_DebAmort),MONTH(_DebAmort)+1+(Z353-1)*_Imois,0)),DATE(YEAR(_DebAmort),MONTH(_DebAmort),_Jour1+(Z353-1)*_Ijour)))</f>
        <v>50345</v>
      </c>
      <c r="AD353" s="156">
        <f t="shared" si="66"/>
        <v>53724.380000000107</v>
      </c>
      <c r="AE353" s="153">
        <f>IF(Z353&lt;=_NoEchMaxi,ROUND(AD353*'Données Projet 1'!A362,_NbDeci),0)</f>
        <v>83.27</v>
      </c>
      <c r="AF353" s="152">
        <f>IF(OR(Z353&lt;=_Différé,Z353&gt;_NoEchMaxi),IF(_DiffTotal,-AE353,0),IF(Z353&gt;=_NoEchRemb,AD353,IF('Données Projet 1'!B362-(AE353*_EchFIXE)&gt;AD353-2,AD353,'Données Projet 1'!B362-(AE353*_EchFIXE))))+U353</f>
        <v>685.71</v>
      </c>
      <c r="AG353" s="154">
        <f t="shared" si="67"/>
        <v>19.77</v>
      </c>
      <c r="AH353" s="157">
        <f t="shared" si="61"/>
        <v>788.75</v>
      </c>
      <c r="AI353"/>
      <c r="AJ353" s="3"/>
      <c r="AK353" s="164"/>
      <c r="AL353" s="22"/>
      <c r="AM353" s="21"/>
      <c r="AN353" s="23"/>
      <c r="AO353" s="10"/>
      <c r="AP353" s="5" t="str">
        <f t="shared" si="68"/>
        <v/>
      </c>
      <c r="AQ353" s="7" t="str">
        <f t="shared" si="69"/>
        <v/>
      </c>
      <c r="AR353" s="8" t="str">
        <f t="shared" si="62"/>
        <v/>
      </c>
      <c r="AS353" s="31" t="str">
        <f>IF(AT353=0,"",IF(_Ijour1=0,MIN(DATE(YEAR(_DebAmort1),MONTH(_DebAmort1)+(AP353-1)*_Imois1,__Jou1),DATE(YEAR(_DebAmort1),MONTH(_DebAmort1)+1+(AP353-1)*_Imois1,0)),DATE(YEAR(_DebAmort1),MONTH(_DebAmort1),__Jou1+(AP353-1)*_Ijour1)))</f>
        <v/>
      </c>
      <c r="AT353" s="156">
        <f t="shared" si="70"/>
        <v>0</v>
      </c>
      <c r="AU353" s="153">
        <f>IF(AP353&lt;=_NoEchMaxi1,ROUND(AT353*'Données Projet 1'!H362,_NbDeci1),0)</f>
        <v>0</v>
      </c>
      <c r="AV353" s="152">
        <f>IF(OR(AP353&lt;=_Différé1,AP353&gt;_NoEchMaxi1),IF(_DiffTotal1,-AU353,0),IF(AP353&gt;=_NoEchRemb1,AT353,IF('Données Projet 1'!I362-(AU353*_EchFIXE1)&gt;AT353-2,AT353,'Données Projet 1'!I362-(AU353*_EchFIXE1))))+AK353</f>
        <v>0</v>
      </c>
      <c r="AW353" s="154">
        <f t="shared" si="71"/>
        <v>0</v>
      </c>
      <c r="AX353" s="157">
        <f t="shared" si="63"/>
        <v>0</v>
      </c>
    </row>
    <row r="354" spans="20:50" ht="15.75" customHeight="1" x14ac:dyDescent="0.3">
      <c r="T354" s="3"/>
      <c r="U354" s="164"/>
      <c r="V354" s="22"/>
      <c r="W354" s="21"/>
      <c r="X354" s="23"/>
      <c r="Y354" s="10"/>
      <c r="Z354" s="5">
        <f t="shared" si="64"/>
        <v>348</v>
      </c>
      <c r="AA354" s="7">
        <f t="shared" si="65"/>
        <v>73</v>
      </c>
      <c r="AB354" s="8">
        <f t="shared" si="60"/>
        <v>2037</v>
      </c>
      <c r="AC354" s="31">
        <f>IF(AD354=0,"",IF(_Ijour=0,MIN(DATE(YEAR(_DebAmort),MONTH(_DebAmort)+_MoisD+(Z354-1)*_Imois,_Jour2),DATE(YEAR(_DebAmort),MONTH(_DebAmort)+_MoisD+1+(Z354-1)*_Imois,0)),DATE(YEAR(_DebAmort),MONTH(_DebAmort),_Jour1+(Z354-1)*_Ijour)))</f>
        <v>50375</v>
      </c>
      <c r="AD354" s="156">
        <f t="shared" si="66"/>
        <v>53038.670000000107</v>
      </c>
      <c r="AE354" s="153">
        <f>IF(Z354&lt;=_NoEchMaxi,ROUND(AD354*'Données Projet 1'!A363,_NbDeci),0)</f>
        <v>82.21</v>
      </c>
      <c r="AF354" s="152">
        <f>IF(OR(Z354&lt;=_Différé,Z354&gt;_NoEchMaxi),IF(_DiffTotal,-AE354,0),IF(Z354&gt;=_NoEchRemb,AD354,IF('Données Projet 1'!B363-(AE354*_EchFIXE)&gt;AD354-2,AD354,'Données Projet 1'!B363-(AE354*_EchFIXE))))+U354</f>
        <v>686.77</v>
      </c>
      <c r="AG354" s="154">
        <f t="shared" si="67"/>
        <v>19.77</v>
      </c>
      <c r="AH354" s="157">
        <f t="shared" si="61"/>
        <v>788.75</v>
      </c>
      <c r="AI354"/>
      <c r="AJ354" s="3"/>
      <c r="AK354" s="164"/>
      <c r="AL354" s="22"/>
      <c r="AM354" s="21"/>
      <c r="AN354" s="23"/>
      <c r="AO354" s="10"/>
      <c r="AP354" s="5" t="str">
        <f t="shared" si="68"/>
        <v/>
      </c>
      <c r="AQ354" s="7" t="str">
        <f t="shared" si="69"/>
        <v/>
      </c>
      <c r="AR354" s="8" t="str">
        <f t="shared" si="62"/>
        <v/>
      </c>
      <c r="AS354" s="31" t="str">
        <f>IF(AT354=0,"",IF(_Ijour1=0,MIN(DATE(YEAR(_DebAmort1),MONTH(_DebAmort1)+_MoisD1+(AP354-1)*_Imois1,__Jou2),DATE(YEAR(_DebAmort1),MONTH(_DebAmort1)+_MoisD1+1+(AP354-1)*_Imois1,0)),DATE(YEAR(_DebAmort1),MONTH(_DebAmort1),__Jou1+(AP354-1)*_Ijour1)))</f>
        <v/>
      </c>
      <c r="AT354" s="156">
        <f t="shared" si="70"/>
        <v>0</v>
      </c>
      <c r="AU354" s="153">
        <f>IF(AP354&lt;=_NoEchMaxi1,ROUND(AT354*'Données Projet 1'!H363,_NbDeci1),0)</f>
        <v>0</v>
      </c>
      <c r="AV354" s="152">
        <f>IF(OR(AP354&lt;=_Différé1,AP354&gt;_NoEchMaxi1),IF(_DiffTotal1,-AU354,0),IF(AP354&gt;=_NoEchRemb1,AT354,IF('Données Projet 1'!I363-(AU354*_EchFIXE1)&gt;AT354-2,AT354,'Données Projet 1'!I363-(AU354*_EchFIXE1))))+AK354</f>
        <v>0</v>
      </c>
      <c r="AW354" s="154">
        <f t="shared" si="71"/>
        <v>0</v>
      </c>
      <c r="AX354" s="157">
        <f t="shared" si="63"/>
        <v>0</v>
      </c>
    </row>
    <row r="355" spans="20:50" ht="15.75" customHeight="1" x14ac:dyDescent="0.3">
      <c r="T355" s="3"/>
      <c r="U355" s="164"/>
      <c r="V355" s="22"/>
      <c r="W355" s="21"/>
      <c r="X355" s="23"/>
      <c r="Y355" s="10"/>
      <c r="Z355" s="5">
        <f t="shared" si="64"/>
        <v>349</v>
      </c>
      <c r="AA355" s="7">
        <f t="shared" si="65"/>
        <v>72</v>
      </c>
      <c r="AB355" s="8">
        <f t="shared" si="60"/>
        <v>2038</v>
      </c>
      <c r="AC355" s="31">
        <f>IF(AD355=0,"",IF(_Ijour=0,MIN(DATE(YEAR(_DebAmort),MONTH(_DebAmort)+(Z355-1)*_Imois,_Jour1),DATE(YEAR(_DebAmort),MONTH(_DebAmort)+1+(Z355-1)*_Imois,0)),DATE(YEAR(_DebAmort),MONTH(_DebAmort),_Jour1+(Z355-1)*_Ijour)))</f>
        <v>50406</v>
      </c>
      <c r="AD355" s="156">
        <f t="shared" si="66"/>
        <v>52351.900000000111</v>
      </c>
      <c r="AE355" s="153">
        <f>IF(Z355&lt;=_NoEchMaxi,ROUND(AD355*'Données Projet 1'!A364,_NbDeci),0)</f>
        <v>81.150000000000006</v>
      </c>
      <c r="AF355" s="152">
        <f>IF(OR(Z355&lt;=_Différé,Z355&gt;_NoEchMaxi),IF(_DiffTotal,-AE355,0),IF(Z355&gt;=_NoEchRemb,AD355,IF('Données Projet 1'!B364-(AE355*_EchFIXE)&gt;AD355-2,AD355,'Données Projet 1'!B364-(AE355*_EchFIXE))))+U355</f>
        <v>687.83</v>
      </c>
      <c r="AG355" s="154">
        <f t="shared" si="67"/>
        <v>19.77</v>
      </c>
      <c r="AH355" s="157">
        <f t="shared" si="61"/>
        <v>788.75</v>
      </c>
      <c r="AI355"/>
      <c r="AJ355" s="3"/>
      <c r="AK355" s="164"/>
      <c r="AL355" s="22"/>
      <c r="AM355" s="21"/>
      <c r="AN355" s="23"/>
      <c r="AO355" s="10"/>
      <c r="AP355" s="5" t="str">
        <f t="shared" si="68"/>
        <v/>
      </c>
      <c r="AQ355" s="7" t="str">
        <f t="shared" si="69"/>
        <v/>
      </c>
      <c r="AR355" s="8" t="str">
        <f t="shared" si="62"/>
        <v/>
      </c>
      <c r="AS355" s="31" t="str">
        <f>IF(AT355=0,"",IF(_Ijour1=0,MIN(DATE(YEAR(_DebAmort1),MONTH(_DebAmort1)+(AP355-1)*_Imois1,__Jou1),DATE(YEAR(_DebAmort1),MONTH(_DebAmort1)+1+(AP355-1)*_Imois1,0)),DATE(YEAR(_DebAmort1),MONTH(_DebAmort1),__Jou1+(AP355-1)*_Ijour1)))</f>
        <v/>
      </c>
      <c r="AT355" s="156">
        <f t="shared" si="70"/>
        <v>0</v>
      </c>
      <c r="AU355" s="153">
        <f>IF(AP355&lt;=_NoEchMaxi1,ROUND(AT355*'Données Projet 1'!H364,_NbDeci1),0)</f>
        <v>0</v>
      </c>
      <c r="AV355" s="152">
        <f>IF(OR(AP355&lt;=_Différé1,AP355&gt;_NoEchMaxi1),IF(_DiffTotal1,-AU355,0),IF(AP355&gt;=_NoEchRemb1,AT355,IF('Données Projet 1'!I364-(AU355*_EchFIXE1)&gt;AT355-2,AT355,'Données Projet 1'!I364-(AU355*_EchFIXE1))))+AK355</f>
        <v>0</v>
      </c>
      <c r="AW355" s="154">
        <f t="shared" si="71"/>
        <v>0</v>
      </c>
      <c r="AX355" s="157">
        <f t="shared" si="63"/>
        <v>0</v>
      </c>
    </row>
    <row r="356" spans="20:50" ht="15.75" customHeight="1" x14ac:dyDescent="0.3">
      <c r="T356" s="3"/>
      <c r="U356" s="164"/>
      <c r="V356" s="22"/>
      <c r="W356" s="21"/>
      <c r="X356" s="23"/>
      <c r="Y356" s="10"/>
      <c r="Z356" s="5">
        <f t="shared" si="64"/>
        <v>350</v>
      </c>
      <c r="AA356" s="7">
        <f t="shared" si="65"/>
        <v>71</v>
      </c>
      <c r="AB356" s="8">
        <f t="shared" si="60"/>
        <v>2038</v>
      </c>
      <c r="AC356" s="31">
        <f>IF(AD356=0,"",IF(_Ijour=0,MIN(DATE(YEAR(_DebAmort),MONTH(_DebAmort)+_MoisD+(Z356-1)*_Imois,_Jour2),DATE(YEAR(_DebAmort),MONTH(_DebAmort)+_MoisD+1+(Z356-1)*_Imois,0)),DATE(YEAR(_DebAmort),MONTH(_DebAmort),_Jour1+(Z356-1)*_Ijour)))</f>
        <v>50437</v>
      </c>
      <c r="AD356" s="156">
        <f t="shared" si="66"/>
        <v>51664.070000000109</v>
      </c>
      <c r="AE356" s="153">
        <f>IF(Z356&lt;=_NoEchMaxi,ROUND(AD356*'Données Projet 1'!A365,_NbDeci),0)</f>
        <v>80.08</v>
      </c>
      <c r="AF356" s="152">
        <f>IF(OR(Z356&lt;=_Différé,Z356&gt;_NoEchMaxi),IF(_DiffTotal,-AE356,0),IF(Z356&gt;=_NoEchRemb,AD356,IF('Données Projet 1'!B365-(AE356*_EchFIXE)&gt;AD356-2,AD356,'Données Projet 1'!B365-(AE356*_EchFIXE))))+U356</f>
        <v>688.9</v>
      </c>
      <c r="AG356" s="154">
        <f t="shared" si="67"/>
        <v>19.77</v>
      </c>
      <c r="AH356" s="157">
        <f t="shared" si="61"/>
        <v>788.75</v>
      </c>
      <c r="AI356"/>
      <c r="AJ356" s="3"/>
      <c r="AK356" s="164"/>
      <c r="AL356" s="22"/>
      <c r="AM356" s="21"/>
      <c r="AN356" s="23"/>
      <c r="AO356" s="10"/>
      <c r="AP356" s="5" t="str">
        <f t="shared" si="68"/>
        <v/>
      </c>
      <c r="AQ356" s="7" t="str">
        <f t="shared" si="69"/>
        <v/>
      </c>
      <c r="AR356" s="8" t="str">
        <f t="shared" si="62"/>
        <v/>
      </c>
      <c r="AS356" s="31" t="str">
        <f>IF(AT356=0,"",IF(_Ijour1=0,MIN(DATE(YEAR(_DebAmort1),MONTH(_DebAmort1)+_MoisD1+(AP356-1)*_Imois1,__Jou2),DATE(YEAR(_DebAmort1),MONTH(_DebAmort1)+_MoisD1+1+(AP356-1)*_Imois1,0)),DATE(YEAR(_DebAmort1),MONTH(_DebAmort1),__Jou1+(AP356-1)*_Ijour1)))</f>
        <v/>
      </c>
      <c r="AT356" s="156">
        <f t="shared" si="70"/>
        <v>0</v>
      </c>
      <c r="AU356" s="153">
        <f>IF(AP356&lt;=_NoEchMaxi1,ROUND(AT356*'Données Projet 1'!H365,_NbDeci1),0)</f>
        <v>0</v>
      </c>
      <c r="AV356" s="152">
        <f>IF(OR(AP356&lt;=_Différé1,AP356&gt;_NoEchMaxi1),IF(_DiffTotal1,-AU356,0),IF(AP356&gt;=_NoEchRemb1,AT356,IF('Données Projet 1'!I365-(AU356*_EchFIXE1)&gt;AT356-2,AT356,'Données Projet 1'!I365-(AU356*_EchFIXE1))))+AK356</f>
        <v>0</v>
      </c>
      <c r="AW356" s="154">
        <f t="shared" si="71"/>
        <v>0</v>
      </c>
      <c r="AX356" s="157">
        <f t="shared" si="63"/>
        <v>0</v>
      </c>
    </row>
    <row r="357" spans="20:50" ht="15.75" customHeight="1" x14ac:dyDescent="0.3">
      <c r="T357" s="3"/>
      <c r="U357" s="164"/>
      <c r="V357" s="22"/>
      <c r="W357" s="21"/>
      <c r="X357" s="23"/>
      <c r="Y357" s="10"/>
      <c r="Z357" s="5">
        <f t="shared" si="64"/>
        <v>351</v>
      </c>
      <c r="AA357" s="7">
        <f t="shared" si="65"/>
        <v>70</v>
      </c>
      <c r="AB357" s="8">
        <f t="shared" si="60"/>
        <v>2038</v>
      </c>
      <c r="AC357" s="31">
        <f>IF(AD357=0,"",IF(_Ijour=0,MIN(DATE(YEAR(_DebAmort),MONTH(_DebAmort)+(Z357-1)*_Imois,_Jour1),DATE(YEAR(_DebAmort),MONTH(_DebAmort)+1+(Z357-1)*_Imois,0)),DATE(YEAR(_DebAmort),MONTH(_DebAmort),_Jour1+(Z357-1)*_Ijour)))</f>
        <v>50465</v>
      </c>
      <c r="AD357" s="156">
        <f t="shared" si="66"/>
        <v>50975.170000000107</v>
      </c>
      <c r="AE357" s="153">
        <f>IF(Z357&lt;=_NoEchMaxi,ROUND(AD357*'Données Projet 1'!A366,_NbDeci),0)</f>
        <v>79.010000000000005</v>
      </c>
      <c r="AF357" s="152">
        <f>IF(OR(Z357&lt;=_Différé,Z357&gt;_NoEchMaxi),IF(_DiffTotal,-AE357,0),IF(Z357&gt;=_NoEchRemb,AD357,IF('Données Projet 1'!B366-(AE357*_EchFIXE)&gt;AD357-2,AD357,'Données Projet 1'!B366-(AE357*_EchFIXE))))+U357</f>
        <v>689.97</v>
      </c>
      <c r="AG357" s="154">
        <f t="shared" si="67"/>
        <v>19.77</v>
      </c>
      <c r="AH357" s="157">
        <f t="shared" si="61"/>
        <v>788.75</v>
      </c>
      <c r="AI357"/>
      <c r="AJ357" s="3"/>
      <c r="AK357" s="164"/>
      <c r="AL357" s="22"/>
      <c r="AM357" s="21"/>
      <c r="AN357" s="23"/>
      <c r="AO357" s="10"/>
      <c r="AP357" s="5" t="str">
        <f t="shared" si="68"/>
        <v/>
      </c>
      <c r="AQ357" s="7" t="str">
        <f t="shared" si="69"/>
        <v/>
      </c>
      <c r="AR357" s="8" t="str">
        <f t="shared" si="62"/>
        <v/>
      </c>
      <c r="AS357" s="31" t="str">
        <f>IF(AT357=0,"",IF(_Ijour1=0,MIN(DATE(YEAR(_DebAmort1),MONTH(_DebAmort1)+(AP357-1)*_Imois1,__Jou1),DATE(YEAR(_DebAmort1),MONTH(_DebAmort1)+1+(AP357-1)*_Imois1,0)),DATE(YEAR(_DebAmort1),MONTH(_DebAmort1),__Jou1+(AP357-1)*_Ijour1)))</f>
        <v/>
      </c>
      <c r="AT357" s="156">
        <f t="shared" si="70"/>
        <v>0</v>
      </c>
      <c r="AU357" s="153">
        <f>IF(AP357&lt;=_NoEchMaxi1,ROUND(AT357*'Données Projet 1'!H366,_NbDeci1),0)</f>
        <v>0</v>
      </c>
      <c r="AV357" s="152">
        <f>IF(OR(AP357&lt;=_Différé1,AP357&gt;_NoEchMaxi1),IF(_DiffTotal1,-AU357,0),IF(AP357&gt;=_NoEchRemb1,AT357,IF('Données Projet 1'!I366-(AU357*_EchFIXE1)&gt;AT357-2,AT357,'Données Projet 1'!I366-(AU357*_EchFIXE1))))+AK357</f>
        <v>0</v>
      </c>
      <c r="AW357" s="154">
        <f t="shared" si="71"/>
        <v>0</v>
      </c>
      <c r="AX357" s="157">
        <f t="shared" si="63"/>
        <v>0</v>
      </c>
    </row>
    <row r="358" spans="20:50" ht="15.75" customHeight="1" x14ac:dyDescent="0.3">
      <c r="T358" s="3"/>
      <c r="U358" s="164"/>
      <c r="V358" s="22"/>
      <c r="W358" s="21"/>
      <c r="X358" s="23"/>
      <c r="Y358" s="10"/>
      <c r="Z358" s="5">
        <f t="shared" si="64"/>
        <v>352</v>
      </c>
      <c r="AA358" s="7">
        <f t="shared" si="65"/>
        <v>69</v>
      </c>
      <c r="AB358" s="8">
        <f t="shared" si="60"/>
        <v>2038</v>
      </c>
      <c r="AC358" s="31">
        <f>IF(AD358=0,"",IF(_Ijour=0,MIN(DATE(YEAR(_DebAmort),MONTH(_DebAmort)+_MoisD+(Z358-1)*_Imois,_Jour2),DATE(YEAR(_DebAmort),MONTH(_DebAmort)+_MoisD+1+(Z358-1)*_Imois,0)),DATE(YEAR(_DebAmort),MONTH(_DebAmort),_Jour1+(Z358-1)*_Ijour)))</f>
        <v>50496</v>
      </c>
      <c r="AD358" s="156">
        <f t="shared" si="66"/>
        <v>50285.200000000106</v>
      </c>
      <c r="AE358" s="153">
        <f>IF(Z358&lt;=_NoEchMaxi,ROUND(AD358*'Données Projet 1'!A367,_NbDeci),0)</f>
        <v>77.94</v>
      </c>
      <c r="AF358" s="152">
        <f>IF(OR(Z358&lt;=_Différé,Z358&gt;_NoEchMaxi),IF(_DiffTotal,-AE358,0),IF(Z358&gt;=_NoEchRemb,AD358,IF('Données Projet 1'!B367-(AE358*_EchFIXE)&gt;AD358-2,AD358,'Données Projet 1'!B367-(AE358*_EchFIXE))))+U358</f>
        <v>691.04</v>
      </c>
      <c r="AG358" s="154">
        <f t="shared" si="67"/>
        <v>19.77</v>
      </c>
      <c r="AH358" s="157">
        <f t="shared" si="61"/>
        <v>788.75</v>
      </c>
      <c r="AI358"/>
      <c r="AJ358" s="3"/>
      <c r="AK358" s="164"/>
      <c r="AL358" s="22"/>
      <c r="AM358" s="21"/>
      <c r="AN358" s="23"/>
      <c r="AO358" s="10"/>
      <c r="AP358" s="5" t="str">
        <f t="shared" si="68"/>
        <v/>
      </c>
      <c r="AQ358" s="7" t="str">
        <f t="shared" si="69"/>
        <v/>
      </c>
      <c r="AR358" s="8" t="str">
        <f t="shared" si="62"/>
        <v/>
      </c>
      <c r="AS358" s="31" t="str">
        <f>IF(AT358=0,"",IF(_Ijour1=0,MIN(DATE(YEAR(_DebAmort1),MONTH(_DebAmort1)+_MoisD1+(AP358-1)*_Imois1,__Jou2),DATE(YEAR(_DebAmort1),MONTH(_DebAmort1)+_MoisD1+1+(AP358-1)*_Imois1,0)),DATE(YEAR(_DebAmort1),MONTH(_DebAmort1),__Jou1+(AP358-1)*_Ijour1)))</f>
        <v/>
      </c>
      <c r="AT358" s="156">
        <f t="shared" si="70"/>
        <v>0</v>
      </c>
      <c r="AU358" s="153">
        <f>IF(AP358&lt;=_NoEchMaxi1,ROUND(AT358*'Données Projet 1'!H367,_NbDeci1),0)</f>
        <v>0</v>
      </c>
      <c r="AV358" s="152">
        <f>IF(OR(AP358&lt;=_Différé1,AP358&gt;_NoEchMaxi1),IF(_DiffTotal1,-AU358,0),IF(AP358&gt;=_NoEchRemb1,AT358,IF('Données Projet 1'!I367-(AU358*_EchFIXE1)&gt;AT358-2,AT358,'Données Projet 1'!I367-(AU358*_EchFIXE1))))+AK358</f>
        <v>0</v>
      </c>
      <c r="AW358" s="154">
        <f t="shared" si="71"/>
        <v>0</v>
      </c>
      <c r="AX358" s="157">
        <f t="shared" si="63"/>
        <v>0</v>
      </c>
    </row>
    <row r="359" spans="20:50" ht="15.75" customHeight="1" x14ac:dyDescent="0.3">
      <c r="T359" s="3"/>
      <c r="U359" s="164"/>
      <c r="V359" s="22"/>
      <c r="W359" s="21"/>
      <c r="X359" s="23"/>
      <c r="Y359" s="10"/>
      <c r="Z359" s="5">
        <f t="shared" si="64"/>
        <v>353</v>
      </c>
      <c r="AA359" s="7">
        <f t="shared" si="65"/>
        <v>68</v>
      </c>
      <c r="AB359" s="8">
        <f t="shared" si="60"/>
        <v>2038</v>
      </c>
      <c r="AC359" s="31">
        <f>IF(AD359=0,"",IF(_Ijour=0,MIN(DATE(YEAR(_DebAmort),MONTH(_DebAmort)+(Z359-1)*_Imois,_Jour1),DATE(YEAR(_DebAmort),MONTH(_DebAmort)+1+(Z359-1)*_Imois,0)),DATE(YEAR(_DebAmort),MONTH(_DebAmort),_Jour1+(Z359-1)*_Ijour)))</f>
        <v>50526</v>
      </c>
      <c r="AD359" s="156">
        <f t="shared" si="66"/>
        <v>49594.160000000105</v>
      </c>
      <c r="AE359" s="153">
        <f>IF(Z359&lt;=_NoEchMaxi,ROUND(AD359*'Données Projet 1'!A368,_NbDeci),0)</f>
        <v>76.87</v>
      </c>
      <c r="AF359" s="152">
        <f>IF(OR(Z359&lt;=_Différé,Z359&gt;_NoEchMaxi),IF(_DiffTotal,-AE359,0),IF(Z359&gt;=_NoEchRemb,AD359,IF('Données Projet 1'!B368-(AE359*_EchFIXE)&gt;AD359-2,AD359,'Données Projet 1'!B368-(AE359*_EchFIXE))))+U359</f>
        <v>692.11</v>
      </c>
      <c r="AG359" s="154">
        <f t="shared" si="67"/>
        <v>19.77</v>
      </c>
      <c r="AH359" s="157">
        <f t="shared" si="61"/>
        <v>788.75</v>
      </c>
      <c r="AI359"/>
      <c r="AJ359" s="3"/>
      <c r="AK359" s="164"/>
      <c r="AL359" s="22"/>
      <c r="AM359" s="21"/>
      <c r="AN359" s="23"/>
      <c r="AO359" s="10"/>
      <c r="AP359" s="5" t="str">
        <f t="shared" si="68"/>
        <v/>
      </c>
      <c r="AQ359" s="7" t="str">
        <f t="shared" si="69"/>
        <v/>
      </c>
      <c r="AR359" s="8" t="str">
        <f t="shared" si="62"/>
        <v/>
      </c>
      <c r="AS359" s="31" t="str">
        <f>IF(AT359=0,"",IF(_Ijour1=0,MIN(DATE(YEAR(_DebAmort1),MONTH(_DebAmort1)+(AP359-1)*_Imois1,__Jou1),DATE(YEAR(_DebAmort1),MONTH(_DebAmort1)+1+(AP359-1)*_Imois1,0)),DATE(YEAR(_DebAmort1),MONTH(_DebAmort1),__Jou1+(AP359-1)*_Ijour1)))</f>
        <v/>
      </c>
      <c r="AT359" s="156">
        <f t="shared" si="70"/>
        <v>0</v>
      </c>
      <c r="AU359" s="153">
        <f>IF(AP359&lt;=_NoEchMaxi1,ROUND(AT359*'Données Projet 1'!H368,_NbDeci1),0)</f>
        <v>0</v>
      </c>
      <c r="AV359" s="152">
        <f>IF(OR(AP359&lt;=_Différé1,AP359&gt;_NoEchMaxi1),IF(_DiffTotal1,-AU359,0),IF(AP359&gt;=_NoEchRemb1,AT359,IF('Données Projet 1'!I368-(AU359*_EchFIXE1)&gt;AT359-2,AT359,'Données Projet 1'!I368-(AU359*_EchFIXE1))))+AK359</f>
        <v>0</v>
      </c>
      <c r="AW359" s="154">
        <f t="shared" si="71"/>
        <v>0</v>
      </c>
      <c r="AX359" s="157">
        <f t="shared" si="63"/>
        <v>0</v>
      </c>
    </row>
    <row r="360" spans="20:50" ht="15.75" customHeight="1" x14ac:dyDescent="0.3">
      <c r="T360" s="3"/>
      <c r="U360" s="164"/>
      <c r="V360" s="22"/>
      <c r="W360" s="21"/>
      <c r="X360" s="23"/>
      <c r="Y360" s="10"/>
      <c r="Z360" s="5">
        <f t="shared" si="64"/>
        <v>354</v>
      </c>
      <c r="AA360" s="7">
        <f t="shared" si="65"/>
        <v>67</v>
      </c>
      <c r="AB360" s="8">
        <f t="shared" si="60"/>
        <v>2038</v>
      </c>
      <c r="AC360" s="31">
        <f>IF(AD360=0,"",IF(_Ijour=0,MIN(DATE(YEAR(_DebAmort),MONTH(_DebAmort)+_MoisD+(Z360-1)*_Imois,_Jour2),DATE(YEAR(_DebAmort),MONTH(_DebAmort)+_MoisD+1+(Z360-1)*_Imois,0)),DATE(YEAR(_DebAmort),MONTH(_DebAmort),_Jour1+(Z360-1)*_Ijour)))</f>
        <v>50557</v>
      </c>
      <c r="AD360" s="156">
        <f t="shared" si="66"/>
        <v>48902.050000000105</v>
      </c>
      <c r="AE360" s="153">
        <f>IF(Z360&lt;=_NoEchMaxi,ROUND(AD360*'Données Projet 1'!A369,_NbDeci),0)</f>
        <v>75.8</v>
      </c>
      <c r="AF360" s="152">
        <f>IF(OR(Z360&lt;=_Différé,Z360&gt;_NoEchMaxi),IF(_DiffTotal,-AE360,0),IF(Z360&gt;=_NoEchRemb,AD360,IF('Données Projet 1'!B369-(AE360*_EchFIXE)&gt;AD360-2,AD360,'Données Projet 1'!B369-(AE360*_EchFIXE))))+U360</f>
        <v>693.18000000000006</v>
      </c>
      <c r="AG360" s="154">
        <f t="shared" si="67"/>
        <v>19.77</v>
      </c>
      <c r="AH360" s="157">
        <f t="shared" si="61"/>
        <v>788.75</v>
      </c>
      <c r="AI360"/>
      <c r="AJ360" s="3"/>
      <c r="AK360" s="164"/>
      <c r="AL360" s="22"/>
      <c r="AM360" s="21"/>
      <c r="AN360" s="23"/>
      <c r="AO360" s="10"/>
      <c r="AP360" s="5" t="str">
        <f t="shared" si="68"/>
        <v/>
      </c>
      <c r="AQ360" s="7" t="str">
        <f t="shared" si="69"/>
        <v/>
      </c>
      <c r="AR360" s="8" t="str">
        <f t="shared" si="62"/>
        <v/>
      </c>
      <c r="AS360" s="31" t="str">
        <f>IF(AT360=0,"",IF(_Ijour1=0,MIN(DATE(YEAR(_DebAmort1),MONTH(_DebAmort1)+_MoisD1+(AP360-1)*_Imois1,__Jou2),DATE(YEAR(_DebAmort1),MONTH(_DebAmort1)+_MoisD1+1+(AP360-1)*_Imois1,0)),DATE(YEAR(_DebAmort1),MONTH(_DebAmort1),__Jou1+(AP360-1)*_Ijour1)))</f>
        <v/>
      </c>
      <c r="AT360" s="156">
        <f t="shared" si="70"/>
        <v>0</v>
      </c>
      <c r="AU360" s="153">
        <f>IF(AP360&lt;=_NoEchMaxi1,ROUND(AT360*'Données Projet 1'!H369,_NbDeci1),0)</f>
        <v>0</v>
      </c>
      <c r="AV360" s="152">
        <f>IF(OR(AP360&lt;=_Différé1,AP360&gt;_NoEchMaxi1),IF(_DiffTotal1,-AU360,0),IF(AP360&gt;=_NoEchRemb1,AT360,IF('Données Projet 1'!I369-(AU360*_EchFIXE1)&gt;AT360-2,AT360,'Données Projet 1'!I369-(AU360*_EchFIXE1))))+AK360</f>
        <v>0</v>
      </c>
      <c r="AW360" s="154">
        <f t="shared" si="71"/>
        <v>0</v>
      </c>
      <c r="AX360" s="157">
        <f t="shared" si="63"/>
        <v>0</v>
      </c>
    </row>
    <row r="361" spans="20:50" ht="15.75" customHeight="1" x14ac:dyDescent="0.3">
      <c r="T361" s="3"/>
      <c r="U361" s="164"/>
      <c r="V361" s="22"/>
      <c r="W361" s="21"/>
      <c r="X361" s="23"/>
      <c r="Y361" s="10"/>
      <c r="Z361" s="5">
        <f t="shared" si="64"/>
        <v>355</v>
      </c>
      <c r="AA361" s="7">
        <f t="shared" si="65"/>
        <v>66</v>
      </c>
      <c r="AB361" s="8">
        <f t="shared" si="60"/>
        <v>2038</v>
      </c>
      <c r="AC361" s="31">
        <f>IF(AD361=0,"",IF(_Ijour=0,MIN(DATE(YEAR(_DebAmort),MONTH(_DebAmort)+(Z361-1)*_Imois,_Jour1),DATE(YEAR(_DebAmort),MONTH(_DebAmort)+1+(Z361-1)*_Imois,0)),DATE(YEAR(_DebAmort),MONTH(_DebAmort),_Jour1+(Z361-1)*_Ijour)))</f>
        <v>50587</v>
      </c>
      <c r="AD361" s="156">
        <f t="shared" si="66"/>
        <v>48208.870000000104</v>
      </c>
      <c r="AE361" s="153">
        <f>IF(Z361&lt;=_NoEchMaxi,ROUND(AD361*'Données Projet 1'!A370,_NbDeci),0)</f>
        <v>74.72</v>
      </c>
      <c r="AF361" s="152">
        <f>IF(OR(Z361&lt;=_Différé,Z361&gt;_NoEchMaxi),IF(_DiffTotal,-AE361,0),IF(Z361&gt;=_NoEchRemb,AD361,IF('Données Projet 1'!B370-(AE361*_EchFIXE)&gt;AD361-2,AD361,'Données Projet 1'!B370-(AE361*_EchFIXE))))+U361</f>
        <v>694.26</v>
      </c>
      <c r="AG361" s="154">
        <f t="shared" si="67"/>
        <v>19.77</v>
      </c>
      <c r="AH361" s="157">
        <f t="shared" si="61"/>
        <v>788.75</v>
      </c>
      <c r="AI361"/>
      <c r="AJ361" s="3"/>
      <c r="AK361" s="164"/>
      <c r="AL361" s="22"/>
      <c r="AM361" s="21"/>
      <c r="AN361" s="23"/>
      <c r="AO361" s="10"/>
      <c r="AP361" s="5" t="str">
        <f t="shared" si="68"/>
        <v/>
      </c>
      <c r="AQ361" s="7" t="str">
        <f t="shared" si="69"/>
        <v/>
      </c>
      <c r="AR361" s="8" t="str">
        <f t="shared" si="62"/>
        <v/>
      </c>
      <c r="AS361" s="31" t="str">
        <f>IF(AT361=0,"",IF(_Ijour1=0,MIN(DATE(YEAR(_DebAmort1),MONTH(_DebAmort1)+(AP361-1)*_Imois1,__Jou1),DATE(YEAR(_DebAmort1),MONTH(_DebAmort1)+1+(AP361-1)*_Imois1,0)),DATE(YEAR(_DebAmort1),MONTH(_DebAmort1),__Jou1+(AP361-1)*_Ijour1)))</f>
        <v/>
      </c>
      <c r="AT361" s="156">
        <f t="shared" si="70"/>
        <v>0</v>
      </c>
      <c r="AU361" s="153">
        <f>IF(AP361&lt;=_NoEchMaxi1,ROUND(AT361*'Données Projet 1'!H370,_NbDeci1),0)</f>
        <v>0</v>
      </c>
      <c r="AV361" s="152">
        <f>IF(OR(AP361&lt;=_Différé1,AP361&gt;_NoEchMaxi1),IF(_DiffTotal1,-AU361,0),IF(AP361&gt;=_NoEchRemb1,AT361,IF('Données Projet 1'!I370-(AU361*_EchFIXE1)&gt;AT361-2,AT361,'Données Projet 1'!I370-(AU361*_EchFIXE1))))+AK361</f>
        <v>0</v>
      </c>
      <c r="AW361" s="154">
        <f t="shared" si="71"/>
        <v>0</v>
      </c>
      <c r="AX361" s="157">
        <f t="shared" si="63"/>
        <v>0</v>
      </c>
    </row>
    <row r="362" spans="20:50" ht="15.75" customHeight="1" x14ac:dyDescent="0.3">
      <c r="T362" s="3"/>
      <c r="U362" s="164"/>
      <c r="V362" s="22"/>
      <c r="W362" s="21"/>
      <c r="X362" s="23"/>
      <c r="Y362" s="10"/>
      <c r="Z362" s="5">
        <f t="shared" si="64"/>
        <v>356</v>
      </c>
      <c r="AA362" s="7">
        <f t="shared" si="65"/>
        <v>65</v>
      </c>
      <c r="AB362" s="8">
        <f t="shared" si="60"/>
        <v>2038</v>
      </c>
      <c r="AC362" s="31">
        <f>IF(AD362=0,"",IF(_Ijour=0,MIN(DATE(YEAR(_DebAmort),MONTH(_DebAmort)+_MoisD+(Z362-1)*_Imois,_Jour2),DATE(YEAR(_DebAmort),MONTH(_DebAmort)+_MoisD+1+(Z362-1)*_Imois,0)),DATE(YEAR(_DebAmort),MONTH(_DebAmort),_Jour1+(Z362-1)*_Ijour)))</f>
        <v>50618</v>
      </c>
      <c r="AD362" s="156">
        <f t="shared" si="66"/>
        <v>47514.610000000102</v>
      </c>
      <c r="AE362" s="153">
        <f>IF(Z362&lt;=_NoEchMaxi,ROUND(AD362*'Données Projet 1'!A371,_NbDeci),0)</f>
        <v>73.650000000000006</v>
      </c>
      <c r="AF362" s="152">
        <f>IF(OR(Z362&lt;=_Différé,Z362&gt;_NoEchMaxi),IF(_DiffTotal,-AE362,0),IF(Z362&gt;=_NoEchRemb,AD362,IF('Données Projet 1'!B371-(AE362*_EchFIXE)&gt;AD362-2,AD362,'Données Projet 1'!B371-(AE362*_EchFIXE))))+U362</f>
        <v>695.33</v>
      </c>
      <c r="AG362" s="154">
        <f t="shared" si="67"/>
        <v>19.77</v>
      </c>
      <c r="AH362" s="157">
        <f t="shared" si="61"/>
        <v>788.75</v>
      </c>
      <c r="AI362"/>
      <c r="AJ362" s="3"/>
      <c r="AK362" s="164"/>
      <c r="AL362" s="22"/>
      <c r="AM362" s="21"/>
      <c r="AN362" s="23"/>
      <c r="AO362" s="10"/>
      <c r="AP362" s="5" t="str">
        <f t="shared" si="68"/>
        <v/>
      </c>
      <c r="AQ362" s="7" t="str">
        <f t="shared" si="69"/>
        <v/>
      </c>
      <c r="AR362" s="8" t="str">
        <f t="shared" si="62"/>
        <v/>
      </c>
      <c r="AS362" s="31" t="str">
        <f>IF(AT362=0,"",IF(_Ijour1=0,MIN(DATE(YEAR(_DebAmort1),MONTH(_DebAmort1)+_MoisD1+(AP362-1)*_Imois1,__Jou2),DATE(YEAR(_DebAmort1),MONTH(_DebAmort1)+_MoisD1+1+(AP362-1)*_Imois1,0)),DATE(YEAR(_DebAmort1),MONTH(_DebAmort1),__Jou1+(AP362-1)*_Ijour1)))</f>
        <v/>
      </c>
      <c r="AT362" s="156">
        <f t="shared" si="70"/>
        <v>0</v>
      </c>
      <c r="AU362" s="153">
        <f>IF(AP362&lt;=_NoEchMaxi1,ROUND(AT362*'Données Projet 1'!H371,_NbDeci1),0)</f>
        <v>0</v>
      </c>
      <c r="AV362" s="152">
        <f>IF(OR(AP362&lt;=_Différé1,AP362&gt;_NoEchMaxi1),IF(_DiffTotal1,-AU362,0),IF(AP362&gt;=_NoEchRemb1,AT362,IF('Données Projet 1'!I371-(AU362*_EchFIXE1)&gt;AT362-2,AT362,'Données Projet 1'!I371-(AU362*_EchFIXE1))))+AK362</f>
        <v>0</v>
      </c>
      <c r="AW362" s="154">
        <f t="shared" si="71"/>
        <v>0</v>
      </c>
      <c r="AX362" s="157">
        <f t="shared" si="63"/>
        <v>0</v>
      </c>
    </row>
    <row r="363" spans="20:50" ht="15.75" customHeight="1" x14ac:dyDescent="0.3">
      <c r="T363" s="3"/>
      <c r="U363" s="164"/>
      <c r="V363" s="22"/>
      <c r="W363" s="21"/>
      <c r="X363" s="23"/>
      <c r="Y363" s="10"/>
      <c r="Z363" s="5">
        <f t="shared" si="64"/>
        <v>357</v>
      </c>
      <c r="AA363" s="7">
        <f t="shared" si="65"/>
        <v>64</v>
      </c>
      <c r="AB363" s="8">
        <f t="shared" si="60"/>
        <v>2038</v>
      </c>
      <c r="AC363" s="31">
        <f>IF(AD363=0,"",IF(_Ijour=0,MIN(DATE(YEAR(_DebAmort),MONTH(_DebAmort)+(Z363-1)*_Imois,_Jour1),DATE(YEAR(_DebAmort),MONTH(_DebAmort)+1+(Z363-1)*_Imois,0)),DATE(YEAR(_DebAmort),MONTH(_DebAmort),_Jour1+(Z363-1)*_Ijour)))</f>
        <v>50649</v>
      </c>
      <c r="AD363" s="156">
        <f t="shared" si="66"/>
        <v>46819.280000000101</v>
      </c>
      <c r="AE363" s="153">
        <f>IF(Z363&lt;=_NoEchMaxi,ROUND(AD363*'Données Projet 1'!A372,_NbDeci),0)</f>
        <v>72.569999999999993</v>
      </c>
      <c r="AF363" s="152">
        <f>IF(OR(Z363&lt;=_Différé,Z363&gt;_NoEchMaxi),IF(_DiffTotal,-AE363,0),IF(Z363&gt;=_NoEchRemb,AD363,IF('Données Projet 1'!B372-(AE363*_EchFIXE)&gt;AD363-2,AD363,'Données Projet 1'!B372-(AE363*_EchFIXE))))+U363</f>
        <v>696.41000000000008</v>
      </c>
      <c r="AG363" s="154">
        <f t="shared" si="67"/>
        <v>19.77</v>
      </c>
      <c r="AH363" s="157">
        <f t="shared" si="61"/>
        <v>788.75</v>
      </c>
      <c r="AI363"/>
      <c r="AJ363" s="3"/>
      <c r="AK363" s="164"/>
      <c r="AL363" s="22"/>
      <c r="AM363" s="21"/>
      <c r="AN363" s="23"/>
      <c r="AO363" s="10"/>
      <c r="AP363" s="5" t="str">
        <f t="shared" si="68"/>
        <v/>
      </c>
      <c r="AQ363" s="7" t="str">
        <f t="shared" si="69"/>
        <v/>
      </c>
      <c r="AR363" s="8" t="str">
        <f t="shared" si="62"/>
        <v/>
      </c>
      <c r="AS363" s="31" t="str">
        <f>IF(AT363=0,"",IF(_Ijour1=0,MIN(DATE(YEAR(_DebAmort1),MONTH(_DebAmort1)+(AP363-1)*_Imois1,__Jou1),DATE(YEAR(_DebAmort1),MONTH(_DebAmort1)+1+(AP363-1)*_Imois1,0)),DATE(YEAR(_DebAmort1),MONTH(_DebAmort1),__Jou1+(AP363-1)*_Ijour1)))</f>
        <v/>
      </c>
      <c r="AT363" s="156">
        <f t="shared" si="70"/>
        <v>0</v>
      </c>
      <c r="AU363" s="153">
        <f>IF(AP363&lt;=_NoEchMaxi1,ROUND(AT363*'Données Projet 1'!H372,_NbDeci1),0)</f>
        <v>0</v>
      </c>
      <c r="AV363" s="152">
        <f>IF(OR(AP363&lt;=_Différé1,AP363&gt;_NoEchMaxi1),IF(_DiffTotal1,-AU363,0),IF(AP363&gt;=_NoEchRemb1,AT363,IF('Données Projet 1'!I372-(AU363*_EchFIXE1)&gt;AT363-2,AT363,'Données Projet 1'!I372-(AU363*_EchFIXE1))))+AK363</f>
        <v>0</v>
      </c>
      <c r="AW363" s="154">
        <f t="shared" si="71"/>
        <v>0</v>
      </c>
      <c r="AX363" s="157">
        <f t="shared" si="63"/>
        <v>0</v>
      </c>
    </row>
    <row r="364" spans="20:50" ht="15.75" customHeight="1" x14ac:dyDescent="0.3">
      <c r="T364" s="3"/>
      <c r="U364" s="164"/>
      <c r="V364" s="22"/>
      <c r="W364" s="21"/>
      <c r="X364" s="23"/>
      <c r="Y364" s="10"/>
      <c r="Z364" s="5">
        <f t="shared" si="64"/>
        <v>358</v>
      </c>
      <c r="AA364" s="7">
        <f t="shared" si="65"/>
        <v>63</v>
      </c>
      <c r="AB364" s="8">
        <f t="shared" si="60"/>
        <v>2038</v>
      </c>
      <c r="AC364" s="31">
        <f>IF(AD364=0,"",IF(_Ijour=0,MIN(DATE(YEAR(_DebAmort),MONTH(_DebAmort)+_MoisD+(Z364-1)*_Imois,_Jour2),DATE(YEAR(_DebAmort),MONTH(_DebAmort)+_MoisD+1+(Z364-1)*_Imois,0)),DATE(YEAR(_DebAmort),MONTH(_DebAmort),_Jour1+(Z364-1)*_Ijour)))</f>
        <v>50679</v>
      </c>
      <c r="AD364" s="156">
        <f t="shared" si="66"/>
        <v>46122.870000000097</v>
      </c>
      <c r="AE364" s="153">
        <f>IF(Z364&lt;=_NoEchMaxi,ROUND(AD364*'Données Projet 1'!A373,_NbDeci),0)</f>
        <v>71.489999999999995</v>
      </c>
      <c r="AF364" s="152">
        <f>IF(OR(Z364&lt;=_Différé,Z364&gt;_NoEchMaxi),IF(_DiffTotal,-AE364,0),IF(Z364&gt;=_NoEchRemb,AD364,IF('Données Projet 1'!B373-(AE364*_EchFIXE)&gt;AD364-2,AD364,'Données Projet 1'!B373-(AE364*_EchFIXE))))+U364</f>
        <v>697.49</v>
      </c>
      <c r="AG364" s="154">
        <f t="shared" si="67"/>
        <v>19.77</v>
      </c>
      <c r="AH364" s="157">
        <f t="shared" si="61"/>
        <v>788.75</v>
      </c>
      <c r="AI364"/>
      <c r="AJ364" s="3"/>
      <c r="AK364" s="164"/>
      <c r="AL364" s="22"/>
      <c r="AM364" s="21"/>
      <c r="AN364" s="23"/>
      <c r="AO364" s="10"/>
      <c r="AP364" s="5" t="str">
        <f t="shared" si="68"/>
        <v/>
      </c>
      <c r="AQ364" s="7" t="str">
        <f t="shared" si="69"/>
        <v/>
      </c>
      <c r="AR364" s="8" t="str">
        <f t="shared" si="62"/>
        <v/>
      </c>
      <c r="AS364" s="31" t="str">
        <f>IF(AT364=0,"",IF(_Ijour1=0,MIN(DATE(YEAR(_DebAmort1),MONTH(_DebAmort1)+_MoisD1+(AP364-1)*_Imois1,__Jou2),DATE(YEAR(_DebAmort1),MONTH(_DebAmort1)+_MoisD1+1+(AP364-1)*_Imois1,0)),DATE(YEAR(_DebAmort1),MONTH(_DebAmort1),__Jou1+(AP364-1)*_Ijour1)))</f>
        <v/>
      </c>
      <c r="AT364" s="156">
        <f t="shared" si="70"/>
        <v>0</v>
      </c>
      <c r="AU364" s="153">
        <f>IF(AP364&lt;=_NoEchMaxi1,ROUND(AT364*'Données Projet 1'!H373,_NbDeci1),0)</f>
        <v>0</v>
      </c>
      <c r="AV364" s="152">
        <f>IF(OR(AP364&lt;=_Différé1,AP364&gt;_NoEchMaxi1),IF(_DiffTotal1,-AU364,0),IF(AP364&gt;=_NoEchRemb1,AT364,IF('Données Projet 1'!I373-(AU364*_EchFIXE1)&gt;AT364-2,AT364,'Données Projet 1'!I373-(AU364*_EchFIXE1))))+AK364</f>
        <v>0</v>
      </c>
      <c r="AW364" s="154">
        <f t="shared" si="71"/>
        <v>0</v>
      </c>
      <c r="AX364" s="157">
        <f t="shared" si="63"/>
        <v>0</v>
      </c>
    </row>
    <row r="365" spans="20:50" ht="15.75" customHeight="1" x14ac:dyDescent="0.3">
      <c r="T365" s="3"/>
      <c r="U365" s="164"/>
      <c r="V365" s="22"/>
      <c r="W365" s="21"/>
      <c r="X365" s="23"/>
      <c r="Y365" s="10"/>
      <c r="Z365" s="5">
        <f t="shared" si="64"/>
        <v>359</v>
      </c>
      <c r="AA365" s="7">
        <f t="shared" si="65"/>
        <v>62</v>
      </c>
      <c r="AB365" s="8">
        <f t="shared" si="60"/>
        <v>2038</v>
      </c>
      <c r="AC365" s="31">
        <f>IF(AD365=0,"",IF(_Ijour=0,MIN(DATE(YEAR(_DebAmort),MONTH(_DebAmort)+(Z365-1)*_Imois,_Jour1),DATE(YEAR(_DebAmort),MONTH(_DebAmort)+1+(Z365-1)*_Imois,0)),DATE(YEAR(_DebAmort),MONTH(_DebAmort),_Jour1+(Z365-1)*_Ijour)))</f>
        <v>50710</v>
      </c>
      <c r="AD365" s="156">
        <f t="shared" si="66"/>
        <v>45425.380000000099</v>
      </c>
      <c r="AE365" s="153">
        <f>IF(Z365&lt;=_NoEchMaxi,ROUND(AD365*'Données Projet 1'!A374,_NbDeci),0)</f>
        <v>70.41</v>
      </c>
      <c r="AF365" s="152">
        <f>IF(OR(Z365&lt;=_Différé,Z365&gt;_NoEchMaxi),IF(_DiffTotal,-AE365,0),IF(Z365&gt;=_NoEchRemb,AD365,IF('Données Projet 1'!B374-(AE365*_EchFIXE)&gt;AD365-2,AD365,'Données Projet 1'!B374-(AE365*_EchFIXE))))+U365</f>
        <v>698.57</v>
      </c>
      <c r="AG365" s="154">
        <f t="shared" si="67"/>
        <v>19.77</v>
      </c>
      <c r="AH365" s="157">
        <f t="shared" si="61"/>
        <v>788.75</v>
      </c>
      <c r="AI365"/>
      <c r="AJ365" s="3"/>
      <c r="AK365" s="164"/>
      <c r="AL365" s="22"/>
      <c r="AM365" s="21"/>
      <c r="AN365" s="23"/>
      <c r="AO365" s="10"/>
      <c r="AP365" s="5" t="str">
        <f t="shared" si="68"/>
        <v/>
      </c>
      <c r="AQ365" s="7" t="str">
        <f t="shared" si="69"/>
        <v/>
      </c>
      <c r="AR365" s="8" t="str">
        <f t="shared" si="62"/>
        <v/>
      </c>
      <c r="AS365" s="31" t="str">
        <f>IF(AT365=0,"",IF(_Ijour1=0,MIN(DATE(YEAR(_DebAmort1),MONTH(_DebAmort1)+(AP365-1)*_Imois1,__Jou1),DATE(YEAR(_DebAmort1),MONTH(_DebAmort1)+1+(AP365-1)*_Imois1,0)),DATE(YEAR(_DebAmort1),MONTH(_DebAmort1),__Jou1+(AP365-1)*_Ijour1)))</f>
        <v/>
      </c>
      <c r="AT365" s="156">
        <f t="shared" si="70"/>
        <v>0</v>
      </c>
      <c r="AU365" s="153">
        <f>IF(AP365&lt;=_NoEchMaxi1,ROUND(AT365*'Données Projet 1'!H374,_NbDeci1),0)</f>
        <v>0</v>
      </c>
      <c r="AV365" s="152">
        <f>IF(OR(AP365&lt;=_Différé1,AP365&gt;_NoEchMaxi1),IF(_DiffTotal1,-AU365,0),IF(AP365&gt;=_NoEchRemb1,AT365,IF('Données Projet 1'!I374-(AU365*_EchFIXE1)&gt;AT365-2,AT365,'Données Projet 1'!I374-(AU365*_EchFIXE1))))+AK365</f>
        <v>0</v>
      </c>
      <c r="AW365" s="154">
        <f t="shared" si="71"/>
        <v>0</v>
      </c>
      <c r="AX365" s="157">
        <f t="shared" si="63"/>
        <v>0</v>
      </c>
    </row>
    <row r="366" spans="20:50" ht="15.75" customHeight="1" x14ac:dyDescent="0.3">
      <c r="T366" s="3"/>
      <c r="U366" s="164"/>
      <c r="V366" s="22"/>
      <c r="W366" s="21"/>
      <c r="X366" s="23"/>
      <c r="Y366" s="10"/>
      <c r="Z366" s="5">
        <f t="shared" si="64"/>
        <v>360</v>
      </c>
      <c r="AA366" s="7">
        <f t="shared" si="65"/>
        <v>61</v>
      </c>
      <c r="AB366" s="8">
        <f t="shared" si="60"/>
        <v>2038</v>
      </c>
      <c r="AC366" s="31">
        <f>IF(AD366=0,"",IF(_Ijour=0,MIN(DATE(YEAR(_DebAmort),MONTH(_DebAmort)+_MoisD+(Z366-1)*_Imois,_Jour2),DATE(YEAR(_DebAmort),MONTH(_DebAmort)+_MoisD+1+(Z366-1)*_Imois,0)),DATE(YEAR(_DebAmort),MONTH(_DebAmort),_Jour1+(Z366-1)*_Ijour)))</f>
        <v>50740</v>
      </c>
      <c r="AD366" s="156">
        <f t="shared" si="66"/>
        <v>44726.8100000001</v>
      </c>
      <c r="AE366" s="153">
        <f>IF(Z366&lt;=_NoEchMaxi,ROUND(AD366*'Données Projet 1'!A375,_NbDeci),0)</f>
        <v>69.33</v>
      </c>
      <c r="AF366" s="152">
        <f>IF(OR(Z366&lt;=_Différé,Z366&gt;_NoEchMaxi),IF(_DiffTotal,-AE366,0),IF(Z366&gt;=_NoEchRemb,AD366,IF('Données Projet 1'!B375-(AE366*_EchFIXE)&gt;AD366-2,AD366,'Données Projet 1'!B375-(AE366*_EchFIXE))))+U366</f>
        <v>699.65</v>
      </c>
      <c r="AG366" s="154">
        <f t="shared" si="67"/>
        <v>19.77</v>
      </c>
      <c r="AH366" s="157">
        <f t="shared" si="61"/>
        <v>788.75</v>
      </c>
      <c r="AI366"/>
      <c r="AJ366" s="3"/>
      <c r="AK366" s="164"/>
      <c r="AL366" s="22"/>
      <c r="AM366" s="21"/>
      <c r="AN366" s="23"/>
      <c r="AO366" s="10"/>
      <c r="AP366" s="5" t="str">
        <f t="shared" si="68"/>
        <v/>
      </c>
      <c r="AQ366" s="7" t="str">
        <f t="shared" si="69"/>
        <v/>
      </c>
      <c r="AR366" s="8" t="str">
        <f t="shared" si="62"/>
        <v/>
      </c>
      <c r="AS366" s="31" t="str">
        <f>IF(AT366=0,"",IF(_Ijour1=0,MIN(DATE(YEAR(_DebAmort1),MONTH(_DebAmort1)+_MoisD1+(AP366-1)*_Imois1,__Jou2),DATE(YEAR(_DebAmort1),MONTH(_DebAmort1)+_MoisD1+1+(AP366-1)*_Imois1,0)),DATE(YEAR(_DebAmort1),MONTH(_DebAmort1),__Jou1+(AP366-1)*_Ijour1)))</f>
        <v/>
      </c>
      <c r="AT366" s="156">
        <f t="shared" si="70"/>
        <v>0</v>
      </c>
      <c r="AU366" s="153">
        <f>IF(AP366&lt;=_NoEchMaxi1,ROUND(AT366*'Données Projet 1'!H375,_NbDeci1),0)</f>
        <v>0</v>
      </c>
      <c r="AV366" s="152">
        <f>IF(OR(AP366&lt;=_Différé1,AP366&gt;_NoEchMaxi1),IF(_DiffTotal1,-AU366,0),IF(AP366&gt;=_NoEchRemb1,AT366,IF('Données Projet 1'!I375-(AU366*_EchFIXE1)&gt;AT366-2,AT366,'Données Projet 1'!I375-(AU366*_EchFIXE1))))+AK366</f>
        <v>0</v>
      </c>
      <c r="AW366" s="154">
        <f t="shared" si="71"/>
        <v>0</v>
      </c>
      <c r="AX366" s="157">
        <f t="shared" si="63"/>
        <v>0</v>
      </c>
    </row>
    <row r="367" spans="20:50" ht="15.75" customHeight="1" x14ac:dyDescent="0.3">
      <c r="T367" s="3"/>
      <c r="U367" s="164"/>
      <c r="V367" s="22"/>
      <c r="W367" s="21"/>
      <c r="X367" s="23"/>
      <c r="Y367" s="10"/>
      <c r="Z367" s="5">
        <f t="shared" si="64"/>
        <v>361</v>
      </c>
      <c r="AA367" s="7">
        <f t="shared" si="65"/>
        <v>60</v>
      </c>
      <c r="AB367" s="8">
        <f t="shared" si="60"/>
        <v>2039</v>
      </c>
      <c r="AC367" s="31">
        <f>IF(AD367=0,"",IF(_Ijour=0,MIN(DATE(YEAR(_DebAmort),MONTH(_DebAmort)+(Z367-1)*_Imois,_Jour1),DATE(YEAR(_DebAmort),MONTH(_DebAmort)+1+(Z367-1)*_Imois,0)),DATE(YEAR(_DebAmort),MONTH(_DebAmort),_Jour1+(Z367-1)*_Ijour)))</f>
        <v>50771</v>
      </c>
      <c r="AD367" s="156">
        <f t="shared" si="66"/>
        <v>44027.160000000098</v>
      </c>
      <c r="AE367" s="153">
        <f>IF(Z367&lt;=_NoEchMaxi,ROUND(AD367*'Données Projet 1'!A376,_NbDeci),0)</f>
        <v>68.239999999999995</v>
      </c>
      <c r="AF367" s="152">
        <f>IF(OR(Z367&lt;=_Différé,Z367&gt;_NoEchMaxi),IF(_DiffTotal,-AE367,0),IF(Z367&gt;=_NoEchRemb,AD367,IF('Données Projet 1'!B376-(AE367*_EchFIXE)&gt;AD367-2,AD367,'Données Projet 1'!B376-(AE367*_EchFIXE))))+U367</f>
        <v>700.74</v>
      </c>
      <c r="AG367" s="154">
        <f t="shared" si="67"/>
        <v>19.77</v>
      </c>
      <c r="AH367" s="157">
        <f t="shared" si="61"/>
        <v>788.75</v>
      </c>
      <c r="AI367"/>
      <c r="AJ367" s="3"/>
      <c r="AK367" s="164"/>
      <c r="AL367" s="22"/>
      <c r="AM367" s="21"/>
      <c r="AN367" s="23"/>
      <c r="AO367" s="10"/>
      <c r="AP367" s="5" t="str">
        <f t="shared" si="68"/>
        <v/>
      </c>
      <c r="AQ367" s="7" t="str">
        <f t="shared" si="69"/>
        <v/>
      </c>
      <c r="AR367" s="8" t="str">
        <f t="shared" si="62"/>
        <v/>
      </c>
      <c r="AS367" s="31" t="str">
        <f>IF(AT367=0,"",IF(_Ijour1=0,MIN(DATE(YEAR(_DebAmort1),MONTH(_DebAmort1)+(AP367-1)*_Imois1,__Jou1),DATE(YEAR(_DebAmort1),MONTH(_DebAmort1)+1+(AP367-1)*_Imois1,0)),DATE(YEAR(_DebAmort1),MONTH(_DebAmort1),__Jou1+(AP367-1)*_Ijour1)))</f>
        <v/>
      </c>
      <c r="AT367" s="156">
        <f t="shared" si="70"/>
        <v>0</v>
      </c>
      <c r="AU367" s="153">
        <f>IF(AP367&lt;=_NoEchMaxi1,ROUND(AT367*'Données Projet 1'!H376,_NbDeci1),0)</f>
        <v>0</v>
      </c>
      <c r="AV367" s="152">
        <f>IF(OR(AP367&lt;=_Différé1,AP367&gt;_NoEchMaxi1),IF(_DiffTotal1,-AU367,0),IF(AP367&gt;=_NoEchRemb1,AT367,IF('Données Projet 1'!I376-(AU367*_EchFIXE1)&gt;AT367-2,AT367,'Données Projet 1'!I376-(AU367*_EchFIXE1))))+AK367</f>
        <v>0</v>
      </c>
      <c r="AW367" s="154">
        <f t="shared" si="71"/>
        <v>0</v>
      </c>
      <c r="AX367" s="157">
        <f t="shared" si="63"/>
        <v>0</v>
      </c>
    </row>
    <row r="368" spans="20:50" ht="15.75" customHeight="1" x14ac:dyDescent="0.3">
      <c r="T368" s="3"/>
      <c r="U368" s="164"/>
      <c r="V368" s="22"/>
      <c r="W368" s="21"/>
      <c r="X368" s="23"/>
      <c r="Y368" s="10"/>
      <c r="Z368" s="5">
        <f t="shared" si="64"/>
        <v>362</v>
      </c>
      <c r="AA368" s="7">
        <f t="shared" si="65"/>
        <v>59</v>
      </c>
      <c r="AB368" s="8">
        <f t="shared" si="60"/>
        <v>2039</v>
      </c>
      <c r="AC368" s="31">
        <f>IF(AD368=0,"",IF(_Ijour=0,MIN(DATE(YEAR(_DebAmort),MONTH(_DebAmort)+_MoisD+(Z368-1)*_Imois,_Jour2),DATE(YEAR(_DebAmort),MONTH(_DebAmort)+_MoisD+1+(Z368-1)*_Imois,0)),DATE(YEAR(_DebAmort),MONTH(_DebAmort),_Jour1+(Z368-1)*_Ijour)))</f>
        <v>50802</v>
      </c>
      <c r="AD368" s="156">
        <f t="shared" si="66"/>
        <v>43326.4200000001</v>
      </c>
      <c r="AE368" s="153">
        <f>IF(Z368&lt;=_NoEchMaxi,ROUND(AD368*'Données Projet 1'!A377,_NbDeci),0)</f>
        <v>67.16</v>
      </c>
      <c r="AF368" s="152">
        <f>IF(OR(Z368&lt;=_Différé,Z368&gt;_NoEchMaxi),IF(_DiffTotal,-AE368,0),IF(Z368&gt;=_NoEchRemb,AD368,IF('Données Projet 1'!B377-(AE368*_EchFIXE)&gt;AD368-2,AD368,'Données Projet 1'!B377-(AE368*_EchFIXE))))+U368</f>
        <v>701.82</v>
      </c>
      <c r="AG368" s="154">
        <f t="shared" si="67"/>
        <v>19.77</v>
      </c>
      <c r="AH368" s="157">
        <f t="shared" si="61"/>
        <v>788.75</v>
      </c>
      <c r="AI368"/>
      <c r="AJ368" s="3"/>
      <c r="AK368" s="164"/>
      <c r="AL368" s="22"/>
      <c r="AM368" s="21"/>
      <c r="AN368" s="23"/>
      <c r="AO368" s="10"/>
      <c r="AP368" s="5" t="str">
        <f t="shared" si="68"/>
        <v/>
      </c>
      <c r="AQ368" s="7" t="str">
        <f t="shared" si="69"/>
        <v/>
      </c>
      <c r="AR368" s="8" t="str">
        <f t="shared" si="62"/>
        <v/>
      </c>
      <c r="AS368" s="31" t="str">
        <f>IF(AT368=0,"",IF(_Ijour1=0,MIN(DATE(YEAR(_DebAmort1),MONTH(_DebAmort1)+_MoisD1+(AP368-1)*_Imois1,__Jou2),DATE(YEAR(_DebAmort1),MONTH(_DebAmort1)+_MoisD1+1+(AP368-1)*_Imois1,0)),DATE(YEAR(_DebAmort1),MONTH(_DebAmort1),__Jou1+(AP368-1)*_Ijour1)))</f>
        <v/>
      </c>
      <c r="AT368" s="156">
        <f t="shared" si="70"/>
        <v>0</v>
      </c>
      <c r="AU368" s="153">
        <f>IF(AP368&lt;=_NoEchMaxi1,ROUND(AT368*'Données Projet 1'!H377,_NbDeci1),0)</f>
        <v>0</v>
      </c>
      <c r="AV368" s="152">
        <f>IF(OR(AP368&lt;=_Différé1,AP368&gt;_NoEchMaxi1),IF(_DiffTotal1,-AU368,0),IF(AP368&gt;=_NoEchRemb1,AT368,IF('Données Projet 1'!I377-(AU368*_EchFIXE1)&gt;AT368-2,AT368,'Données Projet 1'!I377-(AU368*_EchFIXE1))))+AK368</f>
        <v>0</v>
      </c>
      <c r="AW368" s="154">
        <f t="shared" si="71"/>
        <v>0</v>
      </c>
      <c r="AX368" s="157">
        <f t="shared" si="63"/>
        <v>0</v>
      </c>
    </row>
    <row r="369" spans="20:50" ht="15.75" customHeight="1" x14ac:dyDescent="0.3">
      <c r="T369" s="3"/>
      <c r="U369" s="164"/>
      <c r="V369" s="22"/>
      <c r="W369" s="21"/>
      <c r="X369" s="23"/>
      <c r="Y369" s="10"/>
      <c r="Z369" s="5">
        <f t="shared" si="64"/>
        <v>363</v>
      </c>
      <c r="AA369" s="7">
        <f t="shared" si="65"/>
        <v>58</v>
      </c>
      <c r="AB369" s="8">
        <f t="shared" si="60"/>
        <v>2039</v>
      </c>
      <c r="AC369" s="31">
        <f>IF(AD369=0,"",IF(_Ijour=0,MIN(DATE(YEAR(_DebAmort),MONTH(_DebAmort)+(Z369-1)*_Imois,_Jour1),DATE(YEAR(_DebAmort),MONTH(_DebAmort)+1+(Z369-1)*_Imois,0)),DATE(YEAR(_DebAmort),MONTH(_DebAmort),_Jour1+(Z369-1)*_Ijour)))</f>
        <v>50830</v>
      </c>
      <c r="AD369" s="156">
        <f t="shared" si="66"/>
        <v>42624.6000000001</v>
      </c>
      <c r="AE369" s="153">
        <f>IF(Z369&lt;=_NoEchMaxi,ROUND(AD369*'Données Projet 1'!A378,_NbDeci),0)</f>
        <v>66.069999999999993</v>
      </c>
      <c r="AF369" s="152">
        <f>IF(OR(Z369&lt;=_Différé,Z369&gt;_NoEchMaxi),IF(_DiffTotal,-AE369,0),IF(Z369&gt;=_NoEchRemb,AD369,IF('Données Projet 1'!B378-(AE369*_EchFIXE)&gt;AD369-2,AD369,'Données Projet 1'!B378-(AE369*_EchFIXE))))+U369</f>
        <v>702.91000000000008</v>
      </c>
      <c r="AG369" s="154">
        <f t="shared" si="67"/>
        <v>19.77</v>
      </c>
      <c r="AH369" s="157">
        <f t="shared" si="61"/>
        <v>788.75</v>
      </c>
      <c r="AI369"/>
      <c r="AJ369" s="3"/>
      <c r="AK369" s="164"/>
      <c r="AL369" s="22"/>
      <c r="AM369" s="21"/>
      <c r="AN369" s="23"/>
      <c r="AO369" s="10"/>
      <c r="AP369" s="5" t="str">
        <f t="shared" si="68"/>
        <v/>
      </c>
      <c r="AQ369" s="7" t="str">
        <f t="shared" si="69"/>
        <v/>
      </c>
      <c r="AR369" s="8" t="str">
        <f t="shared" si="62"/>
        <v/>
      </c>
      <c r="AS369" s="31" t="str">
        <f>IF(AT369=0,"",IF(_Ijour1=0,MIN(DATE(YEAR(_DebAmort1),MONTH(_DebAmort1)+(AP369-1)*_Imois1,__Jou1),DATE(YEAR(_DebAmort1),MONTH(_DebAmort1)+1+(AP369-1)*_Imois1,0)),DATE(YEAR(_DebAmort1),MONTH(_DebAmort1),__Jou1+(AP369-1)*_Ijour1)))</f>
        <v/>
      </c>
      <c r="AT369" s="156">
        <f t="shared" si="70"/>
        <v>0</v>
      </c>
      <c r="AU369" s="153">
        <f>IF(AP369&lt;=_NoEchMaxi1,ROUND(AT369*'Données Projet 1'!H378,_NbDeci1),0)</f>
        <v>0</v>
      </c>
      <c r="AV369" s="152">
        <f>IF(OR(AP369&lt;=_Différé1,AP369&gt;_NoEchMaxi1),IF(_DiffTotal1,-AU369,0),IF(AP369&gt;=_NoEchRemb1,AT369,IF('Données Projet 1'!I378-(AU369*_EchFIXE1)&gt;AT369-2,AT369,'Données Projet 1'!I378-(AU369*_EchFIXE1))))+AK369</f>
        <v>0</v>
      </c>
      <c r="AW369" s="154">
        <f t="shared" si="71"/>
        <v>0</v>
      </c>
      <c r="AX369" s="157">
        <f t="shared" si="63"/>
        <v>0</v>
      </c>
    </row>
    <row r="370" spans="20:50" ht="15.75" customHeight="1" x14ac:dyDescent="0.3">
      <c r="T370" s="3"/>
      <c r="U370" s="164"/>
      <c r="V370" s="22"/>
      <c r="W370" s="21"/>
      <c r="X370" s="23"/>
      <c r="Y370" s="10"/>
      <c r="Z370" s="5">
        <f t="shared" si="64"/>
        <v>364</v>
      </c>
      <c r="AA370" s="7">
        <f t="shared" si="65"/>
        <v>57</v>
      </c>
      <c r="AB370" s="8">
        <f t="shared" si="60"/>
        <v>2039</v>
      </c>
      <c r="AC370" s="31">
        <f>IF(AD370=0,"",IF(_Ijour=0,MIN(DATE(YEAR(_DebAmort),MONTH(_DebAmort)+_MoisD+(Z370-1)*_Imois,_Jour2),DATE(YEAR(_DebAmort),MONTH(_DebAmort)+_MoisD+1+(Z370-1)*_Imois,0)),DATE(YEAR(_DebAmort),MONTH(_DebAmort),_Jour1+(Z370-1)*_Ijour)))</f>
        <v>50861</v>
      </c>
      <c r="AD370" s="156">
        <f t="shared" si="66"/>
        <v>41921.690000000097</v>
      </c>
      <c r="AE370" s="153">
        <f>IF(Z370&lt;=_NoEchMaxi,ROUND(AD370*'Données Projet 1'!A379,_NbDeci),0)</f>
        <v>64.98</v>
      </c>
      <c r="AF370" s="152">
        <f>IF(OR(Z370&lt;=_Différé,Z370&gt;_NoEchMaxi),IF(_DiffTotal,-AE370,0),IF(Z370&gt;=_NoEchRemb,AD370,IF('Données Projet 1'!B379-(AE370*_EchFIXE)&gt;AD370-2,AD370,'Données Projet 1'!B379-(AE370*_EchFIXE))))+U370</f>
        <v>704</v>
      </c>
      <c r="AG370" s="154">
        <f t="shared" si="67"/>
        <v>19.77</v>
      </c>
      <c r="AH370" s="157">
        <f t="shared" si="61"/>
        <v>788.75</v>
      </c>
      <c r="AI370"/>
      <c r="AJ370" s="3"/>
      <c r="AK370" s="164"/>
      <c r="AL370" s="22"/>
      <c r="AM370" s="21"/>
      <c r="AN370" s="23"/>
      <c r="AO370" s="10"/>
      <c r="AP370" s="5" t="str">
        <f t="shared" si="68"/>
        <v/>
      </c>
      <c r="AQ370" s="7" t="str">
        <f t="shared" si="69"/>
        <v/>
      </c>
      <c r="AR370" s="8" t="str">
        <f t="shared" si="62"/>
        <v/>
      </c>
      <c r="AS370" s="31" t="str">
        <f>IF(AT370=0,"",IF(_Ijour1=0,MIN(DATE(YEAR(_DebAmort1),MONTH(_DebAmort1)+_MoisD1+(AP370-1)*_Imois1,__Jou2),DATE(YEAR(_DebAmort1),MONTH(_DebAmort1)+_MoisD1+1+(AP370-1)*_Imois1,0)),DATE(YEAR(_DebAmort1),MONTH(_DebAmort1),__Jou1+(AP370-1)*_Ijour1)))</f>
        <v/>
      </c>
      <c r="AT370" s="156">
        <f t="shared" si="70"/>
        <v>0</v>
      </c>
      <c r="AU370" s="153">
        <f>IF(AP370&lt;=_NoEchMaxi1,ROUND(AT370*'Données Projet 1'!H379,_NbDeci1),0)</f>
        <v>0</v>
      </c>
      <c r="AV370" s="152">
        <f>IF(OR(AP370&lt;=_Différé1,AP370&gt;_NoEchMaxi1),IF(_DiffTotal1,-AU370,0),IF(AP370&gt;=_NoEchRemb1,AT370,IF('Données Projet 1'!I379-(AU370*_EchFIXE1)&gt;AT370-2,AT370,'Données Projet 1'!I379-(AU370*_EchFIXE1))))+AK370</f>
        <v>0</v>
      </c>
      <c r="AW370" s="154">
        <f t="shared" si="71"/>
        <v>0</v>
      </c>
      <c r="AX370" s="157">
        <f t="shared" si="63"/>
        <v>0</v>
      </c>
    </row>
    <row r="371" spans="20:50" ht="15.75" customHeight="1" x14ac:dyDescent="0.3">
      <c r="T371" s="3"/>
      <c r="U371" s="164"/>
      <c r="V371" s="22"/>
      <c r="W371" s="21"/>
      <c r="X371" s="23"/>
      <c r="Y371" s="10"/>
      <c r="Z371" s="5">
        <f t="shared" si="64"/>
        <v>365</v>
      </c>
      <c r="AA371" s="7">
        <f t="shared" si="65"/>
        <v>56</v>
      </c>
      <c r="AB371" s="8">
        <f t="shared" si="60"/>
        <v>2039</v>
      </c>
      <c r="AC371" s="31">
        <f>IF(AD371=0,"",IF(_Ijour=0,MIN(DATE(YEAR(_DebAmort),MONTH(_DebAmort)+(Z371-1)*_Imois,_Jour1),DATE(YEAR(_DebAmort),MONTH(_DebAmort)+1+(Z371-1)*_Imois,0)),DATE(YEAR(_DebAmort),MONTH(_DebAmort),_Jour1+(Z371-1)*_Ijour)))</f>
        <v>50891</v>
      </c>
      <c r="AD371" s="156">
        <f t="shared" si="66"/>
        <v>41217.690000000097</v>
      </c>
      <c r="AE371" s="153">
        <f>IF(Z371&lt;=_NoEchMaxi,ROUND(AD371*'Données Projet 1'!A380,_NbDeci),0)</f>
        <v>63.89</v>
      </c>
      <c r="AF371" s="152">
        <f>IF(OR(Z371&lt;=_Différé,Z371&gt;_NoEchMaxi),IF(_DiffTotal,-AE371,0),IF(Z371&gt;=_NoEchRemb,AD371,IF('Données Projet 1'!B380-(AE371*_EchFIXE)&gt;AD371-2,AD371,'Données Projet 1'!B380-(AE371*_EchFIXE))))+U371</f>
        <v>705.09</v>
      </c>
      <c r="AG371" s="154">
        <f t="shared" si="67"/>
        <v>19.77</v>
      </c>
      <c r="AH371" s="157">
        <f t="shared" si="61"/>
        <v>788.75</v>
      </c>
      <c r="AI371"/>
      <c r="AJ371" s="3"/>
      <c r="AK371" s="164"/>
      <c r="AL371" s="22"/>
      <c r="AM371" s="21"/>
      <c r="AN371" s="23"/>
      <c r="AO371" s="10"/>
      <c r="AP371" s="5" t="str">
        <f t="shared" si="68"/>
        <v/>
      </c>
      <c r="AQ371" s="7" t="str">
        <f t="shared" si="69"/>
        <v/>
      </c>
      <c r="AR371" s="8" t="str">
        <f t="shared" si="62"/>
        <v/>
      </c>
      <c r="AS371" s="31" t="str">
        <f>IF(AT371=0,"",IF(_Ijour1=0,MIN(DATE(YEAR(_DebAmort1),MONTH(_DebAmort1)+(AP371-1)*_Imois1,__Jou1),DATE(YEAR(_DebAmort1),MONTH(_DebAmort1)+1+(AP371-1)*_Imois1,0)),DATE(YEAR(_DebAmort1),MONTH(_DebAmort1),__Jou1+(AP371-1)*_Ijour1)))</f>
        <v/>
      </c>
      <c r="AT371" s="156">
        <f t="shared" si="70"/>
        <v>0</v>
      </c>
      <c r="AU371" s="153">
        <f>IF(AP371&lt;=_NoEchMaxi1,ROUND(AT371*'Données Projet 1'!H380,_NbDeci1),0)</f>
        <v>0</v>
      </c>
      <c r="AV371" s="152">
        <f>IF(OR(AP371&lt;=_Différé1,AP371&gt;_NoEchMaxi1),IF(_DiffTotal1,-AU371,0),IF(AP371&gt;=_NoEchRemb1,AT371,IF('Données Projet 1'!I380-(AU371*_EchFIXE1)&gt;AT371-2,AT371,'Données Projet 1'!I380-(AU371*_EchFIXE1))))+AK371</f>
        <v>0</v>
      </c>
      <c r="AW371" s="154">
        <f t="shared" si="71"/>
        <v>0</v>
      </c>
      <c r="AX371" s="157">
        <f t="shared" si="63"/>
        <v>0</v>
      </c>
    </row>
    <row r="372" spans="20:50" ht="15.75" customHeight="1" x14ac:dyDescent="0.3">
      <c r="T372" s="3"/>
      <c r="U372" s="164"/>
      <c r="V372" s="22"/>
      <c r="W372" s="21"/>
      <c r="X372" s="23"/>
      <c r="Y372" s="10"/>
      <c r="Z372" s="5">
        <f t="shared" si="64"/>
        <v>366</v>
      </c>
      <c r="AA372" s="7">
        <f t="shared" si="65"/>
        <v>55</v>
      </c>
      <c r="AB372" s="8">
        <f t="shared" si="60"/>
        <v>2039</v>
      </c>
      <c r="AC372" s="31">
        <f>IF(AD372=0,"",IF(_Ijour=0,MIN(DATE(YEAR(_DebAmort),MONTH(_DebAmort)+_MoisD+(Z372-1)*_Imois,_Jour2),DATE(YEAR(_DebAmort),MONTH(_DebAmort)+_MoisD+1+(Z372-1)*_Imois,0)),DATE(YEAR(_DebAmort),MONTH(_DebAmort),_Jour1+(Z372-1)*_Ijour)))</f>
        <v>50922</v>
      </c>
      <c r="AD372" s="156">
        <f t="shared" si="66"/>
        <v>40512.6000000001</v>
      </c>
      <c r="AE372" s="153">
        <f>IF(Z372&lt;=_NoEchMaxi,ROUND(AD372*'Données Projet 1'!A381,_NbDeci),0)</f>
        <v>62.79</v>
      </c>
      <c r="AF372" s="152">
        <f>IF(OR(Z372&lt;=_Différé,Z372&gt;_NoEchMaxi),IF(_DiffTotal,-AE372,0),IF(Z372&gt;=_NoEchRemb,AD372,IF('Données Projet 1'!B381-(AE372*_EchFIXE)&gt;AD372-2,AD372,'Données Projet 1'!B381-(AE372*_EchFIXE))))+U372</f>
        <v>706.19</v>
      </c>
      <c r="AG372" s="154">
        <f t="shared" si="67"/>
        <v>19.77</v>
      </c>
      <c r="AH372" s="157">
        <f t="shared" si="61"/>
        <v>788.75</v>
      </c>
      <c r="AI372"/>
      <c r="AJ372" s="3"/>
      <c r="AK372" s="164"/>
      <c r="AL372" s="22"/>
      <c r="AM372" s="21"/>
      <c r="AN372" s="23"/>
      <c r="AO372" s="10"/>
      <c r="AP372" s="5" t="str">
        <f t="shared" si="68"/>
        <v/>
      </c>
      <c r="AQ372" s="7" t="str">
        <f t="shared" si="69"/>
        <v/>
      </c>
      <c r="AR372" s="8" t="str">
        <f t="shared" si="62"/>
        <v/>
      </c>
      <c r="AS372" s="31" t="str">
        <f>IF(AT372=0,"",IF(_Ijour1=0,MIN(DATE(YEAR(_DebAmort1),MONTH(_DebAmort1)+_MoisD1+(AP372-1)*_Imois1,__Jou2),DATE(YEAR(_DebAmort1),MONTH(_DebAmort1)+_MoisD1+1+(AP372-1)*_Imois1,0)),DATE(YEAR(_DebAmort1),MONTH(_DebAmort1),__Jou1+(AP372-1)*_Ijour1)))</f>
        <v/>
      </c>
      <c r="AT372" s="156">
        <f t="shared" si="70"/>
        <v>0</v>
      </c>
      <c r="AU372" s="153">
        <f>IF(AP372&lt;=_NoEchMaxi1,ROUND(AT372*'Données Projet 1'!H381,_NbDeci1),0)</f>
        <v>0</v>
      </c>
      <c r="AV372" s="152">
        <f>IF(OR(AP372&lt;=_Différé1,AP372&gt;_NoEchMaxi1),IF(_DiffTotal1,-AU372,0),IF(AP372&gt;=_NoEchRemb1,AT372,IF('Données Projet 1'!I381-(AU372*_EchFIXE1)&gt;AT372-2,AT372,'Données Projet 1'!I381-(AU372*_EchFIXE1))))+AK372</f>
        <v>0</v>
      </c>
      <c r="AW372" s="154">
        <f t="shared" si="71"/>
        <v>0</v>
      </c>
      <c r="AX372" s="157">
        <f t="shared" si="63"/>
        <v>0</v>
      </c>
    </row>
    <row r="373" spans="20:50" ht="15.75" customHeight="1" x14ac:dyDescent="0.3">
      <c r="T373" s="3"/>
      <c r="U373" s="164"/>
      <c r="V373" s="22"/>
      <c r="W373" s="21"/>
      <c r="X373" s="23"/>
      <c r="Y373" s="10"/>
      <c r="Z373" s="5">
        <f t="shared" si="64"/>
        <v>367</v>
      </c>
      <c r="AA373" s="7">
        <f t="shared" si="65"/>
        <v>54</v>
      </c>
      <c r="AB373" s="8">
        <f t="shared" si="60"/>
        <v>2039</v>
      </c>
      <c r="AC373" s="31">
        <f>IF(AD373=0,"",IF(_Ijour=0,MIN(DATE(YEAR(_DebAmort),MONTH(_DebAmort)+(Z373-1)*_Imois,_Jour1),DATE(YEAR(_DebAmort),MONTH(_DebAmort)+1+(Z373-1)*_Imois,0)),DATE(YEAR(_DebAmort),MONTH(_DebAmort),_Jour1+(Z373-1)*_Ijour)))</f>
        <v>50952</v>
      </c>
      <c r="AD373" s="156">
        <f t="shared" si="66"/>
        <v>39806.410000000098</v>
      </c>
      <c r="AE373" s="153">
        <f>IF(Z373&lt;=_NoEchMaxi,ROUND(AD373*'Données Projet 1'!A382,_NbDeci),0)</f>
        <v>61.7</v>
      </c>
      <c r="AF373" s="152">
        <f>IF(OR(Z373&lt;=_Différé,Z373&gt;_NoEchMaxi),IF(_DiffTotal,-AE373,0),IF(Z373&gt;=_NoEchRemb,AD373,IF('Données Projet 1'!B382-(AE373*_EchFIXE)&gt;AD373-2,AD373,'Données Projet 1'!B382-(AE373*_EchFIXE))))+U373</f>
        <v>707.28</v>
      </c>
      <c r="AG373" s="154">
        <f t="shared" si="67"/>
        <v>19.77</v>
      </c>
      <c r="AH373" s="157">
        <f t="shared" si="61"/>
        <v>788.75</v>
      </c>
      <c r="AI373"/>
      <c r="AJ373" s="3"/>
      <c r="AK373" s="164"/>
      <c r="AL373" s="22"/>
      <c r="AM373" s="21"/>
      <c r="AN373" s="23"/>
      <c r="AO373" s="10"/>
      <c r="AP373" s="5" t="str">
        <f t="shared" si="68"/>
        <v/>
      </c>
      <c r="AQ373" s="7" t="str">
        <f t="shared" si="69"/>
        <v/>
      </c>
      <c r="AR373" s="8" t="str">
        <f t="shared" si="62"/>
        <v/>
      </c>
      <c r="AS373" s="31" t="str">
        <f>IF(AT373=0,"",IF(_Ijour1=0,MIN(DATE(YEAR(_DebAmort1),MONTH(_DebAmort1)+(AP373-1)*_Imois1,__Jou1),DATE(YEAR(_DebAmort1),MONTH(_DebAmort1)+1+(AP373-1)*_Imois1,0)),DATE(YEAR(_DebAmort1),MONTH(_DebAmort1),__Jou1+(AP373-1)*_Ijour1)))</f>
        <v/>
      </c>
      <c r="AT373" s="156">
        <f t="shared" si="70"/>
        <v>0</v>
      </c>
      <c r="AU373" s="153">
        <f>IF(AP373&lt;=_NoEchMaxi1,ROUND(AT373*'Données Projet 1'!H382,_NbDeci1),0)</f>
        <v>0</v>
      </c>
      <c r="AV373" s="152">
        <f>IF(OR(AP373&lt;=_Différé1,AP373&gt;_NoEchMaxi1),IF(_DiffTotal1,-AU373,0),IF(AP373&gt;=_NoEchRemb1,AT373,IF('Données Projet 1'!I382-(AU373*_EchFIXE1)&gt;AT373-2,AT373,'Données Projet 1'!I382-(AU373*_EchFIXE1))))+AK373</f>
        <v>0</v>
      </c>
      <c r="AW373" s="154">
        <f t="shared" si="71"/>
        <v>0</v>
      </c>
      <c r="AX373" s="157">
        <f t="shared" si="63"/>
        <v>0</v>
      </c>
    </row>
    <row r="374" spans="20:50" ht="15.75" customHeight="1" x14ac:dyDescent="0.3">
      <c r="T374" s="3"/>
      <c r="U374" s="164"/>
      <c r="V374" s="22"/>
      <c r="W374" s="21"/>
      <c r="X374" s="23"/>
      <c r="Y374" s="10"/>
      <c r="Z374" s="5">
        <f t="shared" si="64"/>
        <v>368</v>
      </c>
      <c r="AA374" s="7">
        <f t="shared" si="65"/>
        <v>53</v>
      </c>
      <c r="AB374" s="8">
        <f t="shared" si="60"/>
        <v>2039</v>
      </c>
      <c r="AC374" s="31">
        <f>IF(AD374=0,"",IF(_Ijour=0,MIN(DATE(YEAR(_DebAmort),MONTH(_DebAmort)+_MoisD+(Z374-1)*_Imois,_Jour2),DATE(YEAR(_DebAmort),MONTH(_DebAmort)+_MoisD+1+(Z374-1)*_Imois,0)),DATE(YEAR(_DebAmort),MONTH(_DebAmort),_Jour1+(Z374-1)*_Ijour)))</f>
        <v>50983</v>
      </c>
      <c r="AD374" s="156">
        <f t="shared" si="66"/>
        <v>39099.130000000099</v>
      </c>
      <c r="AE374" s="153">
        <f>IF(Z374&lt;=_NoEchMaxi,ROUND(AD374*'Données Projet 1'!A383,_NbDeci),0)</f>
        <v>60.6</v>
      </c>
      <c r="AF374" s="152">
        <f>IF(OR(Z374&lt;=_Différé,Z374&gt;_NoEchMaxi),IF(_DiffTotal,-AE374,0),IF(Z374&gt;=_NoEchRemb,AD374,IF('Données Projet 1'!B383-(AE374*_EchFIXE)&gt;AD374-2,AD374,'Données Projet 1'!B383-(AE374*_EchFIXE))))+U374</f>
        <v>708.38</v>
      </c>
      <c r="AG374" s="154">
        <f t="shared" si="67"/>
        <v>19.77</v>
      </c>
      <c r="AH374" s="157">
        <f t="shared" si="61"/>
        <v>788.75</v>
      </c>
      <c r="AI374"/>
      <c r="AJ374" s="3"/>
      <c r="AK374" s="164"/>
      <c r="AL374" s="22"/>
      <c r="AM374" s="21"/>
      <c r="AN374" s="23"/>
      <c r="AO374" s="10"/>
      <c r="AP374" s="5" t="str">
        <f t="shared" si="68"/>
        <v/>
      </c>
      <c r="AQ374" s="7" t="str">
        <f t="shared" si="69"/>
        <v/>
      </c>
      <c r="AR374" s="8" t="str">
        <f t="shared" si="62"/>
        <v/>
      </c>
      <c r="AS374" s="31" t="str">
        <f>IF(AT374=0,"",IF(_Ijour1=0,MIN(DATE(YEAR(_DebAmort1),MONTH(_DebAmort1)+_MoisD1+(AP374-1)*_Imois1,__Jou2),DATE(YEAR(_DebAmort1),MONTH(_DebAmort1)+_MoisD1+1+(AP374-1)*_Imois1,0)),DATE(YEAR(_DebAmort1),MONTH(_DebAmort1),__Jou1+(AP374-1)*_Ijour1)))</f>
        <v/>
      </c>
      <c r="AT374" s="156">
        <f t="shared" si="70"/>
        <v>0</v>
      </c>
      <c r="AU374" s="153">
        <f>IF(AP374&lt;=_NoEchMaxi1,ROUND(AT374*'Données Projet 1'!H383,_NbDeci1),0)</f>
        <v>0</v>
      </c>
      <c r="AV374" s="152">
        <f>IF(OR(AP374&lt;=_Différé1,AP374&gt;_NoEchMaxi1),IF(_DiffTotal1,-AU374,0),IF(AP374&gt;=_NoEchRemb1,AT374,IF('Données Projet 1'!I383-(AU374*_EchFIXE1)&gt;AT374-2,AT374,'Données Projet 1'!I383-(AU374*_EchFIXE1))))+AK374</f>
        <v>0</v>
      </c>
      <c r="AW374" s="154">
        <f t="shared" si="71"/>
        <v>0</v>
      </c>
      <c r="AX374" s="157">
        <f t="shared" si="63"/>
        <v>0</v>
      </c>
    </row>
    <row r="375" spans="20:50" ht="15.75" customHeight="1" x14ac:dyDescent="0.3">
      <c r="T375" s="3"/>
      <c r="U375" s="164"/>
      <c r="V375" s="22"/>
      <c r="W375" s="21"/>
      <c r="X375" s="23"/>
      <c r="Y375" s="10"/>
      <c r="Z375" s="5">
        <f t="shared" si="64"/>
        <v>369</v>
      </c>
      <c r="AA375" s="7">
        <f t="shared" si="65"/>
        <v>52</v>
      </c>
      <c r="AB375" s="8">
        <f t="shared" si="60"/>
        <v>2039</v>
      </c>
      <c r="AC375" s="31">
        <f>IF(AD375=0,"",IF(_Ijour=0,MIN(DATE(YEAR(_DebAmort),MONTH(_DebAmort)+(Z375-1)*_Imois,_Jour1),DATE(YEAR(_DebAmort),MONTH(_DebAmort)+1+(Z375-1)*_Imois,0)),DATE(YEAR(_DebAmort),MONTH(_DebAmort),_Jour1+(Z375-1)*_Ijour)))</f>
        <v>51014</v>
      </c>
      <c r="AD375" s="156">
        <f t="shared" si="66"/>
        <v>38390.750000000102</v>
      </c>
      <c r="AE375" s="153">
        <f>IF(Z375&lt;=_NoEchMaxi,ROUND(AD375*'Données Projet 1'!A384,_NbDeci),0)</f>
        <v>59.51</v>
      </c>
      <c r="AF375" s="152">
        <f>IF(OR(Z375&lt;=_Différé,Z375&gt;_NoEchMaxi),IF(_DiffTotal,-AE375,0),IF(Z375&gt;=_NoEchRemb,AD375,IF('Données Projet 1'!B384-(AE375*_EchFIXE)&gt;AD375-2,AD375,'Données Projet 1'!B384-(AE375*_EchFIXE))))+U375</f>
        <v>709.47</v>
      </c>
      <c r="AG375" s="154">
        <f t="shared" si="67"/>
        <v>19.77</v>
      </c>
      <c r="AH375" s="157">
        <f t="shared" si="61"/>
        <v>788.75</v>
      </c>
      <c r="AI375"/>
      <c r="AJ375" s="3"/>
      <c r="AK375" s="164"/>
      <c r="AL375" s="22"/>
      <c r="AM375" s="21"/>
      <c r="AN375" s="23"/>
      <c r="AO375" s="10"/>
      <c r="AP375" s="5" t="str">
        <f t="shared" si="68"/>
        <v/>
      </c>
      <c r="AQ375" s="7" t="str">
        <f t="shared" si="69"/>
        <v/>
      </c>
      <c r="AR375" s="8" t="str">
        <f t="shared" si="62"/>
        <v/>
      </c>
      <c r="AS375" s="31" t="str">
        <f>IF(AT375=0,"",IF(_Ijour1=0,MIN(DATE(YEAR(_DebAmort1),MONTH(_DebAmort1)+(AP375-1)*_Imois1,__Jou1),DATE(YEAR(_DebAmort1),MONTH(_DebAmort1)+1+(AP375-1)*_Imois1,0)),DATE(YEAR(_DebAmort1),MONTH(_DebAmort1),__Jou1+(AP375-1)*_Ijour1)))</f>
        <v/>
      </c>
      <c r="AT375" s="156">
        <f t="shared" si="70"/>
        <v>0</v>
      </c>
      <c r="AU375" s="153">
        <f>IF(AP375&lt;=_NoEchMaxi1,ROUND(AT375*'Données Projet 1'!H384,_NbDeci1),0)</f>
        <v>0</v>
      </c>
      <c r="AV375" s="152">
        <f>IF(OR(AP375&lt;=_Différé1,AP375&gt;_NoEchMaxi1),IF(_DiffTotal1,-AU375,0),IF(AP375&gt;=_NoEchRemb1,AT375,IF('Données Projet 1'!I384-(AU375*_EchFIXE1)&gt;AT375-2,AT375,'Données Projet 1'!I384-(AU375*_EchFIXE1))))+AK375</f>
        <v>0</v>
      </c>
      <c r="AW375" s="154">
        <f t="shared" si="71"/>
        <v>0</v>
      </c>
      <c r="AX375" s="157">
        <f t="shared" si="63"/>
        <v>0</v>
      </c>
    </row>
    <row r="376" spans="20:50" ht="15.75" customHeight="1" x14ac:dyDescent="0.3">
      <c r="T376" s="3"/>
      <c r="U376" s="164"/>
      <c r="V376" s="22"/>
      <c r="W376" s="21"/>
      <c r="X376" s="23"/>
      <c r="Y376" s="10"/>
      <c r="Z376" s="5">
        <f t="shared" si="64"/>
        <v>370</v>
      </c>
      <c r="AA376" s="7">
        <f t="shared" si="65"/>
        <v>51</v>
      </c>
      <c r="AB376" s="8">
        <f t="shared" si="60"/>
        <v>2039</v>
      </c>
      <c r="AC376" s="31">
        <f>IF(AD376=0,"",IF(_Ijour=0,MIN(DATE(YEAR(_DebAmort),MONTH(_DebAmort)+_MoisD+(Z376-1)*_Imois,_Jour2),DATE(YEAR(_DebAmort),MONTH(_DebAmort)+_MoisD+1+(Z376-1)*_Imois,0)),DATE(YEAR(_DebAmort),MONTH(_DebAmort),_Jour1+(Z376-1)*_Ijour)))</f>
        <v>51044</v>
      </c>
      <c r="AD376" s="156">
        <f t="shared" si="66"/>
        <v>37681.280000000101</v>
      </c>
      <c r="AE376" s="153">
        <f>IF(Z376&lt;=_NoEchMaxi,ROUND(AD376*'Données Projet 1'!A385,_NbDeci),0)</f>
        <v>58.41</v>
      </c>
      <c r="AF376" s="152">
        <f>IF(OR(Z376&lt;=_Différé,Z376&gt;_NoEchMaxi),IF(_DiffTotal,-AE376,0),IF(Z376&gt;=_NoEchRemb,AD376,IF('Données Projet 1'!B385-(AE376*_EchFIXE)&gt;AD376-2,AD376,'Données Projet 1'!B385-(AE376*_EchFIXE))))+U376</f>
        <v>710.57</v>
      </c>
      <c r="AG376" s="154">
        <f t="shared" si="67"/>
        <v>19.77</v>
      </c>
      <c r="AH376" s="157">
        <f t="shared" si="61"/>
        <v>788.75</v>
      </c>
      <c r="AI376"/>
      <c r="AJ376" s="3"/>
      <c r="AK376" s="164"/>
      <c r="AL376" s="22"/>
      <c r="AM376" s="21"/>
      <c r="AN376" s="23"/>
      <c r="AO376" s="10"/>
      <c r="AP376" s="5" t="str">
        <f t="shared" si="68"/>
        <v/>
      </c>
      <c r="AQ376" s="7" t="str">
        <f t="shared" si="69"/>
        <v/>
      </c>
      <c r="AR376" s="8" t="str">
        <f t="shared" si="62"/>
        <v/>
      </c>
      <c r="AS376" s="31" t="str">
        <f>IF(AT376=0,"",IF(_Ijour1=0,MIN(DATE(YEAR(_DebAmort1),MONTH(_DebAmort1)+_MoisD1+(AP376-1)*_Imois1,__Jou2),DATE(YEAR(_DebAmort1),MONTH(_DebAmort1)+_MoisD1+1+(AP376-1)*_Imois1,0)),DATE(YEAR(_DebAmort1),MONTH(_DebAmort1),__Jou1+(AP376-1)*_Ijour1)))</f>
        <v/>
      </c>
      <c r="AT376" s="156">
        <f t="shared" si="70"/>
        <v>0</v>
      </c>
      <c r="AU376" s="153">
        <f>IF(AP376&lt;=_NoEchMaxi1,ROUND(AT376*'Données Projet 1'!H385,_NbDeci1),0)</f>
        <v>0</v>
      </c>
      <c r="AV376" s="152">
        <f>IF(OR(AP376&lt;=_Différé1,AP376&gt;_NoEchMaxi1),IF(_DiffTotal1,-AU376,0),IF(AP376&gt;=_NoEchRemb1,AT376,IF('Données Projet 1'!I385-(AU376*_EchFIXE1)&gt;AT376-2,AT376,'Données Projet 1'!I385-(AU376*_EchFIXE1))))+AK376</f>
        <v>0</v>
      </c>
      <c r="AW376" s="154">
        <f t="shared" si="71"/>
        <v>0</v>
      </c>
      <c r="AX376" s="157">
        <f t="shared" si="63"/>
        <v>0</v>
      </c>
    </row>
    <row r="377" spans="20:50" ht="15.75" customHeight="1" x14ac:dyDescent="0.3">
      <c r="T377" s="3"/>
      <c r="U377" s="164"/>
      <c r="V377" s="22"/>
      <c r="W377" s="21"/>
      <c r="X377" s="23"/>
      <c r="Y377" s="10"/>
      <c r="Z377" s="5">
        <f t="shared" si="64"/>
        <v>371</v>
      </c>
      <c r="AA377" s="7">
        <f t="shared" si="65"/>
        <v>50</v>
      </c>
      <c r="AB377" s="8">
        <f t="shared" si="60"/>
        <v>2039</v>
      </c>
      <c r="AC377" s="31">
        <f>IF(AD377=0,"",IF(_Ijour=0,MIN(DATE(YEAR(_DebAmort),MONTH(_DebAmort)+(Z377-1)*_Imois,_Jour1),DATE(YEAR(_DebAmort),MONTH(_DebAmort)+1+(Z377-1)*_Imois,0)),DATE(YEAR(_DebAmort),MONTH(_DebAmort),_Jour1+(Z377-1)*_Ijour)))</f>
        <v>51075</v>
      </c>
      <c r="AD377" s="156">
        <f t="shared" si="66"/>
        <v>36970.710000000101</v>
      </c>
      <c r="AE377" s="153">
        <f>IF(Z377&lt;=_NoEchMaxi,ROUND(AD377*'Données Projet 1'!A386,_NbDeci),0)</f>
        <v>57.3</v>
      </c>
      <c r="AF377" s="152">
        <f>IF(OR(Z377&lt;=_Différé,Z377&gt;_NoEchMaxi),IF(_DiffTotal,-AE377,0),IF(Z377&gt;=_NoEchRemb,AD377,IF('Données Projet 1'!B386-(AE377*_EchFIXE)&gt;AD377-2,AD377,'Données Projet 1'!B386-(AE377*_EchFIXE))))+U377</f>
        <v>711.68000000000006</v>
      </c>
      <c r="AG377" s="154">
        <f t="shared" si="67"/>
        <v>19.77</v>
      </c>
      <c r="AH377" s="157">
        <f t="shared" si="61"/>
        <v>788.75</v>
      </c>
      <c r="AI377"/>
      <c r="AJ377" s="3"/>
      <c r="AK377" s="164"/>
      <c r="AL377" s="22"/>
      <c r="AM377" s="21"/>
      <c r="AN377" s="23"/>
      <c r="AO377" s="10"/>
      <c r="AP377" s="5" t="str">
        <f t="shared" si="68"/>
        <v/>
      </c>
      <c r="AQ377" s="7" t="str">
        <f t="shared" si="69"/>
        <v/>
      </c>
      <c r="AR377" s="8" t="str">
        <f t="shared" si="62"/>
        <v/>
      </c>
      <c r="AS377" s="31" t="str">
        <f>IF(AT377=0,"",IF(_Ijour1=0,MIN(DATE(YEAR(_DebAmort1),MONTH(_DebAmort1)+(AP377-1)*_Imois1,__Jou1),DATE(YEAR(_DebAmort1),MONTH(_DebAmort1)+1+(AP377-1)*_Imois1,0)),DATE(YEAR(_DebAmort1),MONTH(_DebAmort1),__Jou1+(AP377-1)*_Ijour1)))</f>
        <v/>
      </c>
      <c r="AT377" s="156">
        <f t="shared" si="70"/>
        <v>0</v>
      </c>
      <c r="AU377" s="153">
        <f>IF(AP377&lt;=_NoEchMaxi1,ROUND(AT377*'Données Projet 1'!H386,_NbDeci1),0)</f>
        <v>0</v>
      </c>
      <c r="AV377" s="152">
        <f>IF(OR(AP377&lt;=_Différé1,AP377&gt;_NoEchMaxi1),IF(_DiffTotal1,-AU377,0),IF(AP377&gt;=_NoEchRemb1,AT377,IF('Données Projet 1'!I386-(AU377*_EchFIXE1)&gt;AT377-2,AT377,'Données Projet 1'!I386-(AU377*_EchFIXE1))))+AK377</f>
        <v>0</v>
      </c>
      <c r="AW377" s="154">
        <f t="shared" si="71"/>
        <v>0</v>
      </c>
      <c r="AX377" s="157">
        <f t="shared" si="63"/>
        <v>0</v>
      </c>
    </row>
    <row r="378" spans="20:50" ht="15.75" customHeight="1" x14ac:dyDescent="0.3">
      <c r="T378" s="3"/>
      <c r="U378" s="164"/>
      <c r="V378" s="22"/>
      <c r="W378" s="21"/>
      <c r="X378" s="23"/>
      <c r="Y378" s="10"/>
      <c r="Z378" s="5">
        <f t="shared" si="64"/>
        <v>372</v>
      </c>
      <c r="AA378" s="7">
        <f t="shared" si="65"/>
        <v>49</v>
      </c>
      <c r="AB378" s="8">
        <f t="shared" si="60"/>
        <v>2039</v>
      </c>
      <c r="AC378" s="31">
        <f>IF(AD378=0,"",IF(_Ijour=0,MIN(DATE(YEAR(_DebAmort),MONTH(_DebAmort)+_MoisD+(Z378-1)*_Imois,_Jour2),DATE(YEAR(_DebAmort),MONTH(_DebAmort)+_MoisD+1+(Z378-1)*_Imois,0)),DATE(YEAR(_DebAmort),MONTH(_DebAmort),_Jour1+(Z378-1)*_Ijour)))</f>
        <v>51105</v>
      </c>
      <c r="AD378" s="156">
        <f t="shared" si="66"/>
        <v>36259.030000000101</v>
      </c>
      <c r="AE378" s="153">
        <f>IF(Z378&lt;=_NoEchMaxi,ROUND(AD378*'Données Projet 1'!A387,_NbDeci),0)</f>
        <v>56.2</v>
      </c>
      <c r="AF378" s="152">
        <f>IF(OR(Z378&lt;=_Différé,Z378&gt;_NoEchMaxi),IF(_DiffTotal,-AE378,0),IF(Z378&gt;=_NoEchRemb,AD378,IF('Données Projet 1'!B387-(AE378*_EchFIXE)&gt;AD378-2,AD378,'Données Projet 1'!B387-(AE378*_EchFIXE))))+U378</f>
        <v>712.78</v>
      </c>
      <c r="AG378" s="154">
        <f t="shared" si="67"/>
        <v>19.77</v>
      </c>
      <c r="AH378" s="157">
        <f t="shared" si="61"/>
        <v>788.75</v>
      </c>
      <c r="AI378"/>
      <c r="AJ378" s="3"/>
      <c r="AK378" s="164"/>
      <c r="AL378" s="22"/>
      <c r="AM378" s="21"/>
      <c r="AN378" s="23"/>
      <c r="AO378" s="10"/>
      <c r="AP378" s="5" t="str">
        <f t="shared" si="68"/>
        <v/>
      </c>
      <c r="AQ378" s="7" t="str">
        <f t="shared" si="69"/>
        <v/>
      </c>
      <c r="AR378" s="8" t="str">
        <f t="shared" si="62"/>
        <v/>
      </c>
      <c r="AS378" s="31" t="str">
        <f>IF(AT378=0,"",IF(_Ijour1=0,MIN(DATE(YEAR(_DebAmort1),MONTH(_DebAmort1)+_MoisD1+(AP378-1)*_Imois1,__Jou2),DATE(YEAR(_DebAmort1),MONTH(_DebAmort1)+_MoisD1+1+(AP378-1)*_Imois1,0)),DATE(YEAR(_DebAmort1),MONTH(_DebAmort1),__Jou1+(AP378-1)*_Ijour1)))</f>
        <v/>
      </c>
      <c r="AT378" s="156">
        <f t="shared" si="70"/>
        <v>0</v>
      </c>
      <c r="AU378" s="153">
        <f>IF(AP378&lt;=_NoEchMaxi1,ROUND(AT378*'Données Projet 1'!H387,_NbDeci1),0)</f>
        <v>0</v>
      </c>
      <c r="AV378" s="152">
        <f>IF(OR(AP378&lt;=_Différé1,AP378&gt;_NoEchMaxi1),IF(_DiffTotal1,-AU378,0),IF(AP378&gt;=_NoEchRemb1,AT378,IF('Données Projet 1'!I387-(AU378*_EchFIXE1)&gt;AT378-2,AT378,'Données Projet 1'!I387-(AU378*_EchFIXE1))))+AK378</f>
        <v>0</v>
      </c>
      <c r="AW378" s="154">
        <f t="shared" si="71"/>
        <v>0</v>
      </c>
      <c r="AX378" s="157">
        <f t="shared" si="63"/>
        <v>0</v>
      </c>
    </row>
    <row r="379" spans="20:50" ht="15.75" customHeight="1" x14ac:dyDescent="0.3">
      <c r="T379" s="3"/>
      <c r="U379" s="164"/>
      <c r="V379" s="22"/>
      <c r="W379" s="21"/>
      <c r="X379" s="23"/>
      <c r="Y379" s="10"/>
      <c r="Z379" s="5">
        <f t="shared" si="64"/>
        <v>373</v>
      </c>
      <c r="AA379" s="7">
        <f t="shared" si="65"/>
        <v>48</v>
      </c>
      <c r="AB379" s="8">
        <f t="shared" si="60"/>
        <v>2040</v>
      </c>
      <c r="AC379" s="31">
        <f>IF(AD379=0,"",IF(_Ijour=0,MIN(DATE(YEAR(_DebAmort),MONTH(_DebAmort)+(Z379-1)*_Imois,_Jour1),DATE(YEAR(_DebAmort),MONTH(_DebAmort)+1+(Z379-1)*_Imois,0)),DATE(YEAR(_DebAmort),MONTH(_DebAmort),_Jour1+(Z379-1)*_Ijour)))</f>
        <v>51136</v>
      </c>
      <c r="AD379" s="156">
        <f t="shared" si="66"/>
        <v>35546.250000000102</v>
      </c>
      <c r="AE379" s="153">
        <f>IF(Z379&lt;=_NoEchMaxi,ROUND(AD379*'Données Projet 1'!A388,_NbDeci),0)</f>
        <v>55.1</v>
      </c>
      <c r="AF379" s="152">
        <f>IF(OR(Z379&lt;=_Différé,Z379&gt;_NoEchMaxi),IF(_DiffTotal,-AE379,0),IF(Z379&gt;=_NoEchRemb,AD379,IF('Données Projet 1'!B388-(AE379*_EchFIXE)&gt;AD379-2,AD379,'Données Projet 1'!B388-(AE379*_EchFIXE))))+U379</f>
        <v>713.88</v>
      </c>
      <c r="AG379" s="154">
        <f t="shared" si="67"/>
        <v>19.77</v>
      </c>
      <c r="AH379" s="157">
        <f t="shared" si="61"/>
        <v>788.75</v>
      </c>
      <c r="AI379"/>
      <c r="AJ379" s="3"/>
      <c r="AK379" s="164"/>
      <c r="AL379" s="22"/>
      <c r="AM379" s="21"/>
      <c r="AN379" s="23"/>
      <c r="AO379" s="10"/>
      <c r="AP379" s="5" t="str">
        <f t="shared" si="68"/>
        <v/>
      </c>
      <c r="AQ379" s="7" t="str">
        <f t="shared" si="69"/>
        <v/>
      </c>
      <c r="AR379" s="8" t="str">
        <f t="shared" si="62"/>
        <v/>
      </c>
      <c r="AS379" s="31" t="str">
        <f>IF(AT379=0,"",IF(_Ijour1=0,MIN(DATE(YEAR(_DebAmort1),MONTH(_DebAmort1)+(AP379-1)*_Imois1,__Jou1),DATE(YEAR(_DebAmort1),MONTH(_DebAmort1)+1+(AP379-1)*_Imois1,0)),DATE(YEAR(_DebAmort1),MONTH(_DebAmort1),__Jou1+(AP379-1)*_Ijour1)))</f>
        <v/>
      </c>
      <c r="AT379" s="156">
        <f t="shared" si="70"/>
        <v>0</v>
      </c>
      <c r="AU379" s="153">
        <f>IF(AP379&lt;=_NoEchMaxi1,ROUND(AT379*'Données Projet 1'!H388,_NbDeci1),0)</f>
        <v>0</v>
      </c>
      <c r="AV379" s="152">
        <f>IF(OR(AP379&lt;=_Différé1,AP379&gt;_NoEchMaxi1),IF(_DiffTotal1,-AU379,0),IF(AP379&gt;=_NoEchRemb1,AT379,IF('Données Projet 1'!I388-(AU379*_EchFIXE1)&gt;AT379-2,AT379,'Données Projet 1'!I388-(AU379*_EchFIXE1))))+AK379</f>
        <v>0</v>
      </c>
      <c r="AW379" s="154">
        <f t="shared" si="71"/>
        <v>0</v>
      </c>
      <c r="AX379" s="157">
        <f t="shared" si="63"/>
        <v>0</v>
      </c>
    </row>
    <row r="380" spans="20:50" ht="15.75" customHeight="1" x14ac:dyDescent="0.3">
      <c r="T380" s="3"/>
      <c r="U380" s="164"/>
      <c r="V380" s="22"/>
      <c r="W380" s="21"/>
      <c r="X380" s="23"/>
      <c r="Y380" s="10"/>
      <c r="Z380" s="5">
        <f t="shared" si="64"/>
        <v>374</v>
      </c>
      <c r="AA380" s="7">
        <f t="shared" si="65"/>
        <v>47</v>
      </c>
      <c r="AB380" s="8">
        <f t="shared" si="60"/>
        <v>2040</v>
      </c>
      <c r="AC380" s="31">
        <f>IF(AD380=0,"",IF(_Ijour=0,MIN(DATE(YEAR(_DebAmort),MONTH(_DebAmort)+_MoisD+(Z380-1)*_Imois,_Jour2),DATE(YEAR(_DebAmort),MONTH(_DebAmort)+_MoisD+1+(Z380-1)*_Imois,0)),DATE(YEAR(_DebAmort),MONTH(_DebAmort),_Jour1+(Z380-1)*_Ijour)))</f>
        <v>51167</v>
      </c>
      <c r="AD380" s="156">
        <f t="shared" si="66"/>
        <v>34832.370000000104</v>
      </c>
      <c r="AE380" s="153">
        <f>IF(Z380&lt;=_NoEchMaxi,ROUND(AD380*'Données Projet 1'!A389,_NbDeci),0)</f>
        <v>53.99</v>
      </c>
      <c r="AF380" s="152">
        <f>IF(OR(Z380&lt;=_Différé,Z380&gt;_NoEchMaxi),IF(_DiffTotal,-AE380,0),IF(Z380&gt;=_NoEchRemb,AD380,IF('Données Projet 1'!B389-(AE380*_EchFIXE)&gt;AD380-2,AD380,'Données Projet 1'!B389-(AE380*_EchFIXE))))+U380</f>
        <v>714.99</v>
      </c>
      <c r="AG380" s="154">
        <f t="shared" si="67"/>
        <v>19.77</v>
      </c>
      <c r="AH380" s="157">
        <f t="shared" si="61"/>
        <v>788.75</v>
      </c>
      <c r="AI380"/>
      <c r="AJ380" s="3"/>
      <c r="AK380" s="164"/>
      <c r="AL380" s="22"/>
      <c r="AM380" s="21"/>
      <c r="AN380" s="23"/>
      <c r="AO380" s="10"/>
      <c r="AP380" s="5" t="str">
        <f t="shared" si="68"/>
        <v/>
      </c>
      <c r="AQ380" s="7" t="str">
        <f t="shared" si="69"/>
        <v/>
      </c>
      <c r="AR380" s="8" t="str">
        <f t="shared" si="62"/>
        <v/>
      </c>
      <c r="AS380" s="31" t="str">
        <f>IF(AT380=0,"",IF(_Ijour1=0,MIN(DATE(YEAR(_DebAmort1),MONTH(_DebAmort1)+_MoisD1+(AP380-1)*_Imois1,__Jou2),DATE(YEAR(_DebAmort1),MONTH(_DebAmort1)+_MoisD1+1+(AP380-1)*_Imois1,0)),DATE(YEAR(_DebAmort1),MONTH(_DebAmort1),__Jou1+(AP380-1)*_Ijour1)))</f>
        <v/>
      </c>
      <c r="AT380" s="156">
        <f t="shared" si="70"/>
        <v>0</v>
      </c>
      <c r="AU380" s="153">
        <f>IF(AP380&lt;=_NoEchMaxi1,ROUND(AT380*'Données Projet 1'!H389,_NbDeci1),0)</f>
        <v>0</v>
      </c>
      <c r="AV380" s="152">
        <f>IF(OR(AP380&lt;=_Différé1,AP380&gt;_NoEchMaxi1),IF(_DiffTotal1,-AU380,0),IF(AP380&gt;=_NoEchRemb1,AT380,IF('Données Projet 1'!I389-(AU380*_EchFIXE1)&gt;AT380-2,AT380,'Données Projet 1'!I389-(AU380*_EchFIXE1))))+AK380</f>
        <v>0</v>
      </c>
      <c r="AW380" s="154">
        <f t="shared" si="71"/>
        <v>0</v>
      </c>
      <c r="AX380" s="157">
        <f t="shared" si="63"/>
        <v>0</v>
      </c>
    </row>
    <row r="381" spans="20:50" ht="15.75" customHeight="1" x14ac:dyDescent="0.3">
      <c r="T381" s="3"/>
      <c r="U381" s="164"/>
      <c r="V381" s="22"/>
      <c r="W381" s="21"/>
      <c r="X381" s="23"/>
      <c r="Y381" s="10"/>
      <c r="Z381" s="5">
        <f t="shared" si="64"/>
        <v>375</v>
      </c>
      <c r="AA381" s="7">
        <f t="shared" si="65"/>
        <v>46</v>
      </c>
      <c r="AB381" s="8">
        <f t="shared" si="60"/>
        <v>2040</v>
      </c>
      <c r="AC381" s="31">
        <f>IF(AD381=0,"",IF(_Ijour=0,MIN(DATE(YEAR(_DebAmort),MONTH(_DebAmort)+(Z381-1)*_Imois,_Jour1),DATE(YEAR(_DebAmort),MONTH(_DebAmort)+1+(Z381-1)*_Imois,0)),DATE(YEAR(_DebAmort),MONTH(_DebAmort),_Jour1+(Z381-1)*_Ijour)))</f>
        <v>51196</v>
      </c>
      <c r="AD381" s="156">
        <f t="shared" si="66"/>
        <v>34117.380000000107</v>
      </c>
      <c r="AE381" s="153">
        <f>IF(Z381&lt;=_NoEchMaxi,ROUND(AD381*'Données Projet 1'!A390,_NbDeci),0)</f>
        <v>52.88</v>
      </c>
      <c r="AF381" s="152">
        <f>IF(OR(Z381&lt;=_Différé,Z381&gt;_NoEchMaxi),IF(_DiffTotal,-AE381,0),IF(Z381&gt;=_NoEchRemb,AD381,IF('Données Projet 1'!B390-(AE381*_EchFIXE)&gt;AD381-2,AD381,'Données Projet 1'!B390-(AE381*_EchFIXE))))+U381</f>
        <v>716.1</v>
      </c>
      <c r="AG381" s="154">
        <f t="shared" si="67"/>
        <v>19.77</v>
      </c>
      <c r="AH381" s="157">
        <f t="shared" si="61"/>
        <v>788.75</v>
      </c>
      <c r="AI381"/>
      <c r="AJ381" s="3"/>
      <c r="AK381" s="164"/>
      <c r="AL381" s="22"/>
      <c r="AM381" s="21"/>
      <c r="AN381" s="23"/>
      <c r="AO381" s="10"/>
      <c r="AP381" s="5" t="str">
        <f t="shared" si="68"/>
        <v/>
      </c>
      <c r="AQ381" s="7" t="str">
        <f t="shared" si="69"/>
        <v/>
      </c>
      <c r="AR381" s="8" t="str">
        <f t="shared" si="62"/>
        <v/>
      </c>
      <c r="AS381" s="31" t="str">
        <f>IF(AT381=0,"",IF(_Ijour1=0,MIN(DATE(YEAR(_DebAmort1),MONTH(_DebAmort1)+(AP381-1)*_Imois1,__Jou1),DATE(YEAR(_DebAmort1),MONTH(_DebAmort1)+1+(AP381-1)*_Imois1,0)),DATE(YEAR(_DebAmort1),MONTH(_DebAmort1),__Jou1+(AP381-1)*_Ijour1)))</f>
        <v/>
      </c>
      <c r="AT381" s="156">
        <f t="shared" si="70"/>
        <v>0</v>
      </c>
      <c r="AU381" s="153">
        <f>IF(AP381&lt;=_NoEchMaxi1,ROUND(AT381*'Données Projet 1'!H390,_NbDeci1),0)</f>
        <v>0</v>
      </c>
      <c r="AV381" s="152">
        <f>IF(OR(AP381&lt;=_Différé1,AP381&gt;_NoEchMaxi1),IF(_DiffTotal1,-AU381,0),IF(AP381&gt;=_NoEchRemb1,AT381,IF('Données Projet 1'!I390-(AU381*_EchFIXE1)&gt;AT381-2,AT381,'Données Projet 1'!I390-(AU381*_EchFIXE1))))+AK381</f>
        <v>0</v>
      </c>
      <c r="AW381" s="154">
        <f t="shared" si="71"/>
        <v>0</v>
      </c>
      <c r="AX381" s="157">
        <f t="shared" si="63"/>
        <v>0</v>
      </c>
    </row>
    <row r="382" spans="20:50" ht="15.75" customHeight="1" x14ac:dyDescent="0.3">
      <c r="T382" s="3"/>
      <c r="U382" s="164"/>
      <c r="V382" s="22"/>
      <c r="W382" s="21"/>
      <c r="X382" s="23"/>
      <c r="Y382" s="10"/>
      <c r="Z382" s="5">
        <f t="shared" si="64"/>
        <v>376</v>
      </c>
      <c r="AA382" s="7">
        <f t="shared" si="65"/>
        <v>45</v>
      </c>
      <c r="AB382" s="8">
        <f t="shared" si="60"/>
        <v>2040</v>
      </c>
      <c r="AC382" s="31">
        <f>IF(AD382=0,"",IF(_Ijour=0,MIN(DATE(YEAR(_DebAmort),MONTH(_DebAmort)+_MoisD+(Z382-1)*_Imois,_Jour2),DATE(YEAR(_DebAmort),MONTH(_DebAmort)+_MoisD+1+(Z382-1)*_Imois,0)),DATE(YEAR(_DebAmort),MONTH(_DebAmort),_Jour1+(Z382-1)*_Ijour)))</f>
        <v>51227</v>
      </c>
      <c r="AD382" s="156">
        <f t="shared" si="66"/>
        <v>33401.280000000108</v>
      </c>
      <c r="AE382" s="153">
        <f>IF(Z382&lt;=_NoEchMaxi,ROUND(AD382*'Données Projet 1'!A391,_NbDeci),0)</f>
        <v>51.77</v>
      </c>
      <c r="AF382" s="152">
        <f>IF(OR(Z382&lt;=_Différé,Z382&gt;_NoEchMaxi),IF(_DiffTotal,-AE382,0),IF(Z382&gt;=_NoEchRemb,AD382,IF('Données Projet 1'!B391-(AE382*_EchFIXE)&gt;AD382-2,AD382,'Données Projet 1'!B391-(AE382*_EchFIXE))))+U382</f>
        <v>717.21</v>
      </c>
      <c r="AG382" s="154">
        <f t="shared" si="67"/>
        <v>19.77</v>
      </c>
      <c r="AH382" s="157">
        <f t="shared" si="61"/>
        <v>788.75</v>
      </c>
      <c r="AI382"/>
      <c r="AJ382" s="3"/>
      <c r="AK382" s="164"/>
      <c r="AL382" s="22"/>
      <c r="AM382" s="21"/>
      <c r="AN382" s="23"/>
      <c r="AO382" s="10"/>
      <c r="AP382" s="5" t="str">
        <f t="shared" si="68"/>
        <v/>
      </c>
      <c r="AQ382" s="7" t="str">
        <f t="shared" si="69"/>
        <v/>
      </c>
      <c r="AR382" s="8" t="str">
        <f t="shared" si="62"/>
        <v/>
      </c>
      <c r="AS382" s="31" t="str">
        <f>IF(AT382=0,"",IF(_Ijour1=0,MIN(DATE(YEAR(_DebAmort1),MONTH(_DebAmort1)+_MoisD1+(AP382-1)*_Imois1,__Jou2),DATE(YEAR(_DebAmort1),MONTH(_DebAmort1)+_MoisD1+1+(AP382-1)*_Imois1,0)),DATE(YEAR(_DebAmort1),MONTH(_DebAmort1),__Jou1+(AP382-1)*_Ijour1)))</f>
        <v/>
      </c>
      <c r="AT382" s="156">
        <f t="shared" si="70"/>
        <v>0</v>
      </c>
      <c r="AU382" s="153">
        <f>IF(AP382&lt;=_NoEchMaxi1,ROUND(AT382*'Données Projet 1'!H391,_NbDeci1),0)</f>
        <v>0</v>
      </c>
      <c r="AV382" s="152">
        <f>IF(OR(AP382&lt;=_Différé1,AP382&gt;_NoEchMaxi1),IF(_DiffTotal1,-AU382,0),IF(AP382&gt;=_NoEchRemb1,AT382,IF('Données Projet 1'!I391-(AU382*_EchFIXE1)&gt;AT382-2,AT382,'Données Projet 1'!I391-(AU382*_EchFIXE1))))+AK382</f>
        <v>0</v>
      </c>
      <c r="AW382" s="154">
        <f t="shared" si="71"/>
        <v>0</v>
      </c>
      <c r="AX382" s="157">
        <f t="shared" si="63"/>
        <v>0</v>
      </c>
    </row>
    <row r="383" spans="20:50" ht="15.75" customHeight="1" x14ac:dyDescent="0.3">
      <c r="T383" s="3"/>
      <c r="U383" s="164"/>
      <c r="V383" s="22"/>
      <c r="W383" s="21"/>
      <c r="X383" s="23"/>
      <c r="Y383" s="10"/>
      <c r="Z383" s="5">
        <f t="shared" si="64"/>
        <v>377</v>
      </c>
      <c r="AA383" s="7">
        <f t="shared" si="65"/>
        <v>44</v>
      </c>
      <c r="AB383" s="8">
        <f t="shared" si="60"/>
        <v>2040</v>
      </c>
      <c r="AC383" s="31">
        <f>IF(AD383=0,"",IF(_Ijour=0,MIN(DATE(YEAR(_DebAmort),MONTH(_DebAmort)+(Z383-1)*_Imois,_Jour1),DATE(YEAR(_DebAmort),MONTH(_DebAmort)+1+(Z383-1)*_Imois,0)),DATE(YEAR(_DebAmort),MONTH(_DebAmort),_Jour1+(Z383-1)*_Ijour)))</f>
        <v>51257</v>
      </c>
      <c r="AD383" s="156">
        <f t="shared" si="66"/>
        <v>32684.070000000109</v>
      </c>
      <c r="AE383" s="153">
        <f>IF(Z383&lt;=_NoEchMaxi,ROUND(AD383*'Données Projet 1'!A392,_NbDeci),0)</f>
        <v>50.66</v>
      </c>
      <c r="AF383" s="152">
        <f>IF(OR(Z383&lt;=_Différé,Z383&gt;_NoEchMaxi),IF(_DiffTotal,-AE383,0),IF(Z383&gt;=_NoEchRemb,AD383,IF('Données Projet 1'!B392-(AE383*_EchFIXE)&gt;AD383-2,AD383,'Données Projet 1'!B392-(AE383*_EchFIXE))))+U383</f>
        <v>718.32</v>
      </c>
      <c r="AG383" s="154">
        <f t="shared" si="67"/>
        <v>19.77</v>
      </c>
      <c r="AH383" s="157">
        <f t="shared" si="61"/>
        <v>788.75</v>
      </c>
      <c r="AI383"/>
      <c r="AJ383" s="3"/>
      <c r="AK383" s="164"/>
      <c r="AL383" s="22"/>
      <c r="AM383" s="21"/>
      <c r="AN383" s="23"/>
      <c r="AO383" s="10"/>
      <c r="AP383" s="5" t="str">
        <f t="shared" si="68"/>
        <v/>
      </c>
      <c r="AQ383" s="7" t="str">
        <f t="shared" si="69"/>
        <v/>
      </c>
      <c r="AR383" s="8" t="str">
        <f t="shared" si="62"/>
        <v/>
      </c>
      <c r="AS383" s="31" t="str">
        <f>IF(AT383=0,"",IF(_Ijour1=0,MIN(DATE(YEAR(_DebAmort1),MONTH(_DebAmort1)+(AP383-1)*_Imois1,__Jou1),DATE(YEAR(_DebAmort1),MONTH(_DebAmort1)+1+(AP383-1)*_Imois1,0)),DATE(YEAR(_DebAmort1),MONTH(_DebAmort1),__Jou1+(AP383-1)*_Ijour1)))</f>
        <v/>
      </c>
      <c r="AT383" s="156">
        <f t="shared" si="70"/>
        <v>0</v>
      </c>
      <c r="AU383" s="153">
        <f>IF(AP383&lt;=_NoEchMaxi1,ROUND(AT383*'Données Projet 1'!H392,_NbDeci1),0)</f>
        <v>0</v>
      </c>
      <c r="AV383" s="152">
        <f>IF(OR(AP383&lt;=_Différé1,AP383&gt;_NoEchMaxi1),IF(_DiffTotal1,-AU383,0),IF(AP383&gt;=_NoEchRemb1,AT383,IF('Données Projet 1'!I392-(AU383*_EchFIXE1)&gt;AT383-2,AT383,'Données Projet 1'!I392-(AU383*_EchFIXE1))))+AK383</f>
        <v>0</v>
      </c>
      <c r="AW383" s="154">
        <f t="shared" si="71"/>
        <v>0</v>
      </c>
      <c r="AX383" s="157">
        <f t="shared" si="63"/>
        <v>0</v>
      </c>
    </row>
    <row r="384" spans="20:50" ht="15.75" customHeight="1" x14ac:dyDescent="0.3">
      <c r="T384" s="3"/>
      <c r="U384" s="164"/>
      <c r="V384" s="22"/>
      <c r="W384" s="21"/>
      <c r="X384" s="23"/>
      <c r="Y384" s="10"/>
      <c r="Z384" s="5">
        <f t="shared" si="64"/>
        <v>378</v>
      </c>
      <c r="AA384" s="7">
        <f t="shared" si="65"/>
        <v>43</v>
      </c>
      <c r="AB384" s="8">
        <f t="shared" si="60"/>
        <v>2040</v>
      </c>
      <c r="AC384" s="31">
        <f>IF(AD384=0,"",IF(_Ijour=0,MIN(DATE(YEAR(_DebAmort),MONTH(_DebAmort)+_MoisD+(Z384-1)*_Imois,_Jour2),DATE(YEAR(_DebAmort),MONTH(_DebAmort)+_MoisD+1+(Z384-1)*_Imois,0)),DATE(YEAR(_DebAmort),MONTH(_DebAmort),_Jour1+(Z384-1)*_Ijour)))</f>
        <v>51288</v>
      </c>
      <c r="AD384" s="156">
        <f t="shared" si="66"/>
        <v>31965.750000000109</v>
      </c>
      <c r="AE384" s="153">
        <f>IF(Z384&lt;=_NoEchMaxi,ROUND(AD384*'Données Projet 1'!A393,_NbDeci),0)</f>
        <v>49.55</v>
      </c>
      <c r="AF384" s="152">
        <f>IF(OR(Z384&lt;=_Différé,Z384&gt;_NoEchMaxi),IF(_DiffTotal,-AE384,0),IF(Z384&gt;=_NoEchRemb,AD384,IF('Données Projet 1'!B393-(AE384*_EchFIXE)&gt;AD384-2,AD384,'Données Projet 1'!B393-(AE384*_EchFIXE))))+U384</f>
        <v>719.43000000000006</v>
      </c>
      <c r="AG384" s="154">
        <f t="shared" si="67"/>
        <v>19.77</v>
      </c>
      <c r="AH384" s="157">
        <f t="shared" si="61"/>
        <v>788.75</v>
      </c>
      <c r="AI384"/>
      <c r="AJ384" s="3"/>
      <c r="AK384" s="164"/>
      <c r="AL384" s="22"/>
      <c r="AM384" s="21"/>
      <c r="AN384" s="23"/>
      <c r="AO384" s="10"/>
      <c r="AP384" s="5" t="str">
        <f t="shared" si="68"/>
        <v/>
      </c>
      <c r="AQ384" s="7" t="str">
        <f t="shared" si="69"/>
        <v/>
      </c>
      <c r="AR384" s="8" t="str">
        <f t="shared" si="62"/>
        <v/>
      </c>
      <c r="AS384" s="31" t="str">
        <f>IF(AT384=0,"",IF(_Ijour1=0,MIN(DATE(YEAR(_DebAmort1),MONTH(_DebAmort1)+_MoisD1+(AP384-1)*_Imois1,__Jou2),DATE(YEAR(_DebAmort1),MONTH(_DebAmort1)+_MoisD1+1+(AP384-1)*_Imois1,0)),DATE(YEAR(_DebAmort1),MONTH(_DebAmort1),__Jou1+(AP384-1)*_Ijour1)))</f>
        <v/>
      </c>
      <c r="AT384" s="156">
        <f t="shared" si="70"/>
        <v>0</v>
      </c>
      <c r="AU384" s="153">
        <f>IF(AP384&lt;=_NoEchMaxi1,ROUND(AT384*'Données Projet 1'!H393,_NbDeci1),0)</f>
        <v>0</v>
      </c>
      <c r="AV384" s="152">
        <f>IF(OR(AP384&lt;=_Différé1,AP384&gt;_NoEchMaxi1),IF(_DiffTotal1,-AU384,0),IF(AP384&gt;=_NoEchRemb1,AT384,IF('Données Projet 1'!I393-(AU384*_EchFIXE1)&gt;AT384-2,AT384,'Données Projet 1'!I393-(AU384*_EchFIXE1))))+AK384</f>
        <v>0</v>
      </c>
      <c r="AW384" s="154">
        <f t="shared" si="71"/>
        <v>0</v>
      </c>
      <c r="AX384" s="157">
        <f t="shared" si="63"/>
        <v>0</v>
      </c>
    </row>
    <row r="385" spans="20:50" ht="15.75" customHeight="1" x14ac:dyDescent="0.3">
      <c r="T385" s="3"/>
      <c r="U385" s="164"/>
      <c r="V385" s="22"/>
      <c r="W385" s="21"/>
      <c r="X385" s="23"/>
      <c r="Y385" s="10"/>
      <c r="Z385" s="5">
        <f t="shared" si="64"/>
        <v>379</v>
      </c>
      <c r="AA385" s="7">
        <f t="shared" si="65"/>
        <v>42</v>
      </c>
      <c r="AB385" s="8">
        <f t="shared" si="60"/>
        <v>2040</v>
      </c>
      <c r="AC385" s="31">
        <f>IF(AD385=0,"",IF(_Ijour=0,MIN(DATE(YEAR(_DebAmort),MONTH(_DebAmort)+(Z385-1)*_Imois,_Jour1),DATE(YEAR(_DebAmort),MONTH(_DebAmort)+1+(Z385-1)*_Imois,0)),DATE(YEAR(_DebAmort),MONTH(_DebAmort),_Jour1+(Z385-1)*_Ijour)))</f>
        <v>51318</v>
      </c>
      <c r="AD385" s="156">
        <f t="shared" si="66"/>
        <v>31246.320000000109</v>
      </c>
      <c r="AE385" s="153">
        <f>IF(Z385&lt;=_NoEchMaxi,ROUND(AD385*'Données Projet 1'!A394,_NbDeci),0)</f>
        <v>48.43</v>
      </c>
      <c r="AF385" s="152">
        <f>IF(OR(Z385&lt;=_Différé,Z385&gt;_NoEchMaxi),IF(_DiffTotal,-AE385,0),IF(Z385&gt;=_NoEchRemb,AD385,IF('Données Projet 1'!B394-(AE385*_EchFIXE)&gt;AD385-2,AD385,'Données Projet 1'!B394-(AE385*_EchFIXE))))+U385</f>
        <v>720.55000000000007</v>
      </c>
      <c r="AG385" s="154">
        <f t="shared" si="67"/>
        <v>19.77</v>
      </c>
      <c r="AH385" s="157">
        <f t="shared" si="61"/>
        <v>788.75</v>
      </c>
      <c r="AI385"/>
      <c r="AJ385" s="3"/>
      <c r="AK385" s="164"/>
      <c r="AL385" s="22"/>
      <c r="AM385" s="21"/>
      <c r="AN385" s="23"/>
      <c r="AO385" s="10"/>
      <c r="AP385" s="5" t="str">
        <f t="shared" si="68"/>
        <v/>
      </c>
      <c r="AQ385" s="7" t="str">
        <f t="shared" si="69"/>
        <v/>
      </c>
      <c r="AR385" s="8" t="str">
        <f t="shared" si="62"/>
        <v/>
      </c>
      <c r="AS385" s="31" t="str">
        <f>IF(AT385=0,"",IF(_Ijour1=0,MIN(DATE(YEAR(_DebAmort1),MONTH(_DebAmort1)+(AP385-1)*_Imois1,__Jou1),DATE(YEAR(_DebAmort1),MONTH(_DebAmort1)+1+(AP385-1)*_Imois1,0)),DATE(YEAR(_DebAmort1),MONTH(_DebAmort1),__Jou1+(AP385-1)*_Ijour1)))</f>
        <v/>
      </c>
      <c r="AT385" s="156">
        <f t="shared" si="70"/>
        <v>0</v>
      </c>
      <c r="AU385" s="153">
        <f>IF(AP385&lt;=_NoEchMaxi1,ROUND(AT385*'Données Projet 1'!H394,_NbDeci1),0)</f>
        <v>0</v>
      </c>
      <c r="AV385" s="152">
        <f>IF(OR(AP385&lt;=_Différé1,AP385&gt;_NoEchMaxi1),IF(_DiffTotal1,-AU385,0),IF(AP385&gt;=_NoEchRemb1,AT385,IF('Données Projet 1'!I394-(AU385*_EchFIXE1)&gt;AT385-2,AT385,'Données Projet 1'!I394-(AU385*_EchFIXE1))))+AK385</f>
        <v>0</v>
      </c>
      <c r="AW385" s="154">
        <f t="shared" si="71"/>
        <v>0</v>
      </c>
      <c r="AX385" s="157">
        <f t="shared" si="63"/>
        <v>0</v>
      </c>
    </row>
    <row r="386" spans="20:50" ht="15.75" customHeight="1" x14ac:dyDescent="0.3">
      <c r="T386" s="3"/>
      <c r="U386" s="164"/>
      <c r="V386" s="22"/>
      <c r="W386" s="21"/>
      <c r="X386" s="23"/>
      <c r="Y386" s="10"/>
      <c r="Z386" s="5">
        <f t="shared" si="64"/>
        <v>380</v>
      </c>
      <c r="AA386" s="7">
        <f t="shared" si="65"/>
        <v>41</v>
      </c>
      <c r="AB386" s="8">
        <f t="shared" si="60"/>
        <v>2040</v>
      </c>
      <c r="AC386" s="31">
        <f>IF(AD386=0,"",IF(_Ijour=0,MIN(DATE(YEAR(_DebAmort),MONTH(_DebAmort)+_MoisD+(Z386-1)*_Imois,_Jour2),DATE(YEAR(_DebAmort),MONTH(_DebAmort)+_MoisD+1+(Z386-1)*_Imois,0)),DATE(YEAR(_DebAmort),MONTH(_DebAmort),_Jour1+(Z386-1)*_Ijour)))</f>
        <v>51349</v>
      </c>
      <c r="AD386" s="156">
        <f t="shared" si="66"/>
        <v>30525.77000000011</v>
      </c>
      <c r="AE386" s="153">
        <f>IF(Z386&lt;=_NoEchMaxi,ROUND(AD386*'Données Projet 1'!A395,_NbDeci),0)</f>
        <v>47.31</v>
      </c>
      <c r="AF386" s="152">
        <f>IF(OR(Z386&lt;=_Différé,Z386&gt;_NoEchMaxi),IF(_DiffTotal,-AE386,0),IF(Z386&gt;=_NoEchRemb,AD386,IF('Données Projet 1'!B395-(AE386*_EchFIXE)&gt;AD386-2,AD386,'Données Projet 1'!B395-(AE386*_EchFIXE))))+U386</f>
        <v>721.67000000000007</v>
      </c>
      <c r="AG386" s="154">
        <f t="shared" si="67"/>
        <v>19.77</v>
      </c>
      <c r="AH386" s="157">
        <f t="shared" si="61"/>
        <v>788.75</v>
      </c>
      <c r="AI386"/>
      <c r="AJ386" s="3"/>
      <c r="AK386" s="164"/>
      <c r="AL386" s="22"/>
      <c r="AM386" s="21"/>
      <c r="AN386" s="23"/>
      <c r="AO386" s="10"/>
      <c r="AP386" s="5" t="str">
        <f t="shared" si="68"/>
        <v/>
      </c>
      <c r="AQ386" s="7" t="str">
        <f t="shared" si="69"/>
        <v/>
      </c>
      <c r="AR386" s="8" t="str">
        <f t="shared" si="62"/>
        <v/>
      </c>
      <c r="AS386" s="31" t="str">
        <f>IF(AT386=0,"",IF(_Ijour1=0,MIN(DATE(YEAR(_DebAmort1),MONTH(_DebAmort1)+_MoisD1+(AP386-1)*_Imois1,__Jou2),DATE(YEAR(_DebAmort1),MONTH(_DebAmort1)+_MoisD1+1+(AP386-1)*_Imois1,0)),DATE(YEAR(_DebAmort1),MONTH(_DebAmort1),__Jou1+(AP386-1)*_Ijour1)))</f>
        <v/>
      </c>
      <c r="AT386" s="156">
        <f t="shared" si="70"/>
        <v>0</v>
      </c>
      <c r="AU386" s="153">
        <f>IF(AP386&lt;=_NoEchMaxi1,ROUND(AT386*'Données Projet 1'!H395,_NbDeci1),0)</f>
        <v>0</v>
      </c>
      <c r="AV386" s="152">
        <f>IF(OR(AP386&lt;=_Différé1,AP386&gt;_NoEchMaxi1),IF(_DiffTotal1,-AU386,0),IF(AP386&gt;=_NoEchRemb1,AT386,IF('Données Projet 1'!I395-(AU386*_EchFIXE1)&gt;AT386-2,AT386,'Données Projet 1'!I395-(AU386*_EchFIXE1))))+AK386</f>
        <v>0</v>
      </c>
      <c r="AW386" s="154">
        <f t="shared" si="71"/>
        <v>0</v>
      </c>
      <c r="AX386" s="157">
        <f t="shared" si="63"/>
        <v>0</v>
      </c>
    </row>
    <row r="387" spans="20:50" ht="15.75" customHeight="1" x14ac:dyDescent="0.3">
      <c r="T387" s="3"/>
      <c r="U387" s="164"/>
      <c r="V387" s="22"/>
      <c r="W387" s="21"/>
      <c r="X387" s="23"/>
      <c r="Y387" s="10"/>
      <c r="Z387" s="5">
        <f t="shared" si="64"/>
        <v>381</v>
      </c>
      <c r="AA387" s="7">
        <f t="shared" si="65"/>
        <v>40</v>
      </c>
      <c r="AB387" s="8">
        <f t="shared" si="60"/>
        <v>2040</v>
      </c>
      <c r="AC387" s="31">
        <f>IF(AD387=0,"",IF(_Ijour=0,MIN(DATE(YEAR(_DebAmort),MONTH(_DebAmort)+(Z387-1)*_Imois,_Jour1),DATE(YEAR(_DebAmort),MONTH(_DebAmort)+1+(Z387-1)*_Imois,0)),DATE(YEAR(_DebAmort),MONTH(_DebAmort),_Jour1+(Z387-1)*_Ijour)))</f>
        <v>51380</v>
      </c>
      <c r="AD387" s="156">
        <f t="shared" si="66"/>
        <v>29804.100000000108</v>
      </c>
      <c r="AE387" s="153">
        <f>IF(Z387&lt;=_NoEchMaxi,ROUND(AD387*'Données Projet 1'!A396,_NbDeci),0)</f>
        <v>46.2</v>
      </c>
      <c r="AF387" s="152">
        <f>IF(OR(Z387&lt;=_Différé,Z387&gt;_NoEchMaxi),IF(_DiffTotal,-AE387,0),IF(Z387&gt;=_NoEchRemb,AD387,IF('Données Projet 1'!B396-(AE387*_EchFIXE)&gt;AD387-2,AD387,'Données Projet 1'!B396-(AE387*_EchFIXE))))+U387</f>
        <v>722.78</v>
      </c>
      <c r="AG387" s="154">
        <f t="shared" si="67"/>
        <v>19.77</v>
      </c>
      <c r="AH387" s="157">
        <f t="shared" si="61"/>
        <v>788.75</v>
      </c>
      <c r="AI387"/>
      <c r="AJ387" s="3"/>
      <c r="AK387" s="164"/>
      <c r="AL387" s="22"/>
      <c r="AM387" s="21"/>
      <c r="AN387" s="23"/>
      <c r="AO387" s="10"/>
      <c r="AP387" s="5" t="str">
        <f t="shared" si="68"/>
        <v/>
      </c>
      <c r="AQ387" s="7" t="str">
        <f t="shared" si="69"/>
        <v/>
      </c>
      <c r="AR387" s="8" t="str">
        <f t="shared" si="62"/>
        <v/>
      </c>
      <c r="AS387" s="31" t="str">
        <f>IF(AT387=0,"",IF(_Ijour1=0,MIN(DATE(YEAR(_DebAmort1),MONTH(_DebAmort1)+(AP387-1)*_Imois1,__Jou1),DATE(YEAR(_DebAmort1),MONTH(_DebAmort1)+1+(AP387-1)*_Imois1,0)),DATE(YEAR(_DebAmort1),MONTH(_DebAmort1),__Jou1+(AP387-1)*_Ijour1)))</f>
        <v/>
      </c>
      <c r="AT387" s="156">
        <f t="shared" si="70"/>
        <v>0</v>
      </c>
      <c r="AU387" s="153">
        <f>IF(AP387&lt;=_NoEchMaxi1,ROUND(AT387*'Données Projet 1'!H396,_NbDeci1),0)</f>
        <v>0</v>
      </c>
      <c r="AV387" s="152">
        <f>IF(OR(AP387&lt;=_Différé1,AP387&gt;_NoEchMaxi1),IF(_DiffTotal1,-AU387,0),IF(AP387&gt;=_NoEchRemb1,AT387,IF('Données Projet 1'!I396-(AU387*_EchFIXE1)&gt;AT387-2,AT387,'Données Projet 1'!I396-(AU387*_EchFIXE1))))+AK387</f>
        <v>0</v>
      </c>
      <c r="AW387" s="154">
        <f t="shared" si="71"/>
        <v>0</v>
      </c>
      <c r="AX387" s="157">
        <f t="shared" si="63"/>
        <v>0</v>
      </c>
    </row>
    <row r="388" spans="20:50" ht="15.75" customHeight="1" x14ac:dyDescent="0.3">
      <c r="T388" s="3"/>
      <c r="U388" s="164"/>
      <c r="V388" s="22"/>
      <c r="W388" s="21"/>
      <c r="X388" s="23"/>
      <c r="Y388" s="10"/>
      <c r="Z388" s="5">
        <f t="shared" si="64"/>
        <v>382</v>
      </c>
      <c r="AA388" s="7">
        <f t="shared" si="65"/>
        <v>39</v>
      </c>
      <c r="AB388" s="8">
        <f t="shared" si="60"/>
        <v>2040</v>
      </c>
      <c r="AC388" s="31">
        <f>IF(AD388=0,"",IF(_Ijour=0,MIN(DATE(YEAR(_DebAmort),MONTH(_DebAmort)+_MoisD+(Z388-1)*_Imois,_Jour2),DATE(YEAR(_DebAmort),MONTH(_DebAmort)+_MoisD+1+(Z388-1)*_Imois,0)),DATE(YEAR(_DebAmort),MONTH(_DebAmort),_Jour1+(Z388-1)*_Ijour)))</f>
        <v>51410</v>
      </c>
      <c r="AD388" s="156">
        <f t="shared" si="66"/>
        <v>29081.320000000109</v>
      </c>
      <c r="AE388" s="153">
        <f>IF(Z388&lt;=_NoEchMaxi,ROUND(AD388*'Données Projet 1'!A397,_NbDeci),0)</f>
        <v>45.08</v>
      </c>
      <c r="AF388" s="152">
        <f>IF(OR(Z388&lt;=_Différé,Z388&gt;_NoEchMaxi),IF(_DiffTotal,-AE388,0),IF(Z388&gt;=_NoEchRemb,AD388,IF('Données Projet 1'!B397-(AE388*_EchFIXE)&gt;AD388-2,AD388,'Données Projet 1'!B397-(AE388*_EchFIXE))))+U388</f>
        <v>723.9</v>
      </c>
      <c r="AG388" s="154">
        <f t="shared" si="67"/>
        <v>19.77</v>
      </c>
      <c r="AH388" s="157">
        <f t="shared" si="61"/>
        <v>788.75</v>
      </c>
      <c r="AI388"/>
      <c r="AJ388" s="3"/>
      <c r="AK388" s="164"/>
      <c r="AL388" s="22"/>
      <c r="AM388" s="21"/>
      <c r="AN388" s="23"/>
      <c r="AO388" s="10"/>
      <c r="AP388" s="5" t="str">
        <f t="shared" si="68"/>
        <v/>
      </c>
      <c r="AQ388" s="7" t="str">
        <f t="shared" si="69"/>
        <v/>
      </c>
      <c r="AR388" s="8" t="str">
        <f t="shared" si="62"/>
        <v/>
      </c>
      <c r="AS388" s="31" t="str">
        <f>IF(AT388=0,"",IF(_Ijour1=0,MIN(DATE(YEAR(_DebAmort1),MONTH(_DebAmort1)+_MoisD1+(AP388-1)*_Imois1,__Jou2),DATE(YEAR(_DebAmort1),MONTH(_DebAmort1)+_MoisD1+1+(AP388-1)*_Imois1,0)),DATE(YEAR(_DebAmort1),MONTH(_DebAmort1),__Jou1+(AP388-1)*_Ijour1)))</f>
        <v/>
      </c>
      <c r="AT388" s="156">
        <f t="shared" si="70"/>
        <v>0</v>
      </c>
      <c r="AU388" s="153">
        <f>IF(AP388&lt;=_NoEchMaxi1,ROUND(AT388*'Données Projet 1'!H397,_NbDeci1),0)</f>
        <v>0</v>
      </c>
      <c r="AV388" s="152">
        <f>IF(OR(AP388&lt;=_Différé1,AP388&gt;_NoEchMaxi1),IF(_DiffTotal1,-AU388,0),IF(AP388&gt;=_NoEchRemb1,AT388,IF('Données Projet 1'!I397-(AU388*_EchFIXE1)&gt;AT388-2,AT388,'Données Projet 1'!I397-(AU388*_EchFIXE1))))+AK388</f>
        <v>0</v>
      </c>
      <c r="AW388" s="154">
        <f t="shared" si="71"/>
        <v>0</v>
      </c>
      <c r="AX388" s="157">
        <f t="shared" si="63"/>
        <v>0</v>
      </c>
    </row>
    <row r="389" spans="20:50" ht="15.75" customHeight="1" x14ac:dyDescent="0.3">
      <c r="T389" s="3"/>
      <c r="U389" s="164"/>
      <c r="V389" s="22"/>
      <c r="W389" s="21"/>
      <c r="X389" s="23"/>
      <c r="Y389" s="10"/>
      <c r="Z389" s="5">
        <f t="shared" si="64"/>
        <v>383</v>
      </c>
      <c r="AA389" s="7">
        <f t="shared" si="65"/>
        <v>38</v>
      </c>
      <c r="AB389" s="8">
        <f t="shared" si="60"/>
        <v>2040</v>
      </c>
      <c r="AC389" s="31">
        <f>IF(AD389=0,"",IF(_Ijour=0,MIN(DATE(YEAR(_DebAmort),MONTH(_DebAmort)+(Z389-1)*_Imois,_Jour1),DATE(YEAR(_DebAmort),MONTH(_DebAmort)+1+(Z389-1)*_Imois,0)),DATE(YEAR(_DebAmort),MONTH(_DebAmort),_Jour1+(Z389-1)*_Ijour)))</f>
        <v>51441</v>
      </c>
      <c r="AD389" s="156">
        <f t="shared" si="66"/>
        <v>28357.420000000107</v>
      </c>
      <c r="AE389" s="153">
        <f>IF(Z389&lt;=_NoEchMaxi,ROUND(AD389*'Données Projet 1'!A398,_NbDeci),0)</f>
        <v>43.95</v>
      </c>
      <c r="AF389" s="152">
        <f>IF(OR(Z389&lt;=_Différé,Z389&gt;_NoEchMaxi),IF(_DiffTotal,-AE389,0),IF(Z389&gt;=_NoEchRemb,AD389,IF('Données Projet 1'!B398-(AE389*_EchFIXE)&gt;AD389-2,AD389,'Données Projet 1'!B398-(AE389*_EchFIXE))))+U389</f>
        <v>725.03</v>
      </c>
      <c r="AG389" s="154">
        <f t="shared" si="67"/>
        <v>19.77</v>
      </c>
      <c r="AH389" s="157">
        <f t="shared" si="61"/>
        <v>788.75</v>
      </c>
      <c r="AI389"/>
      <c r="AJ389" s="3"/>
      <c r="AK389" s="164"/>
      <c r="AL389" s="22"/>
      <c r="AM389" s="21"/>
      <c r="AN389" s="23"/>
      <c r="AO389" s="10"/>
      <c r="AP389" s="5" t="str">
        <f t="shared" si="68"/>
        <v/>
      </c>
      <c r="AQ389" s="7" t="str">
        <f t="shared" si="69"/>
        <v/>
      </c>
      <c r="AR389" s="8" t="str">
        <f t="shared" si="62"/>
        <v/>
      </c>
      <c r="AS389" s="31" t="str">
        <f>IF(AT389=0,"",IF(_Ijour1=0,MIN(DATE(YEAR(_DebAmort1),MONTH(_DebAmort1)+(AP389-1)*_Imois1,__Jou1),DATE(YEAR(_DebAmort1),MONTH(_DebAmort1)+1+(AP389-1)*_Imois1,0)),DATE(YEAR(_DebAmort1),MONTH(_DebAmort1),__Jou1+(AP389-1)*_Ijour1)))</f>
        <v/>
      </c>
      <c r="AT389" s="156">
        <f t="shared" si="70"/>
        <v>0</v>
      </c>
      <c r="AU389" s="153">
        <f>IF(AP389&lt;=_NoEchMaxi1,ROUND(AT389*'Données Projet 1'!H398,_NbDeci1),0)</f>
        <v>0</v>
      </c>
      <c r="AV389" s="152">
        <f>IF(OR(AP389&lt;=_Différé1,AP389&gt;_NoEchMaxi1),IF(_DiffTotal1,-AU389,0),IF(AP389&gt;=_NoEchRemb1,AT389,IF('Données Projet 1'!I398-(AU389*_EchFIXE1)&gt;AT389-2,AT389,'Données Projet 1'!I398-(AU389*_EchFIXE1))))+AK389</f>
        <v>0</v>
      </c>
      <c r="AW389" s="154">
        <f t="shared" si="71"/>
        <v>0</v>
      </c>
      <c r="AX389" s="157">
        <f t="shared" si="63"/>
        <v>0</v>
      </c>
    </row>
    <row r="390" spans="20:50" ht="15.75" customHeight="1" x14ac:dyDescent="0.3">
      <c r="T390" s="3"/>
      <c r="U390" s="164"/>
      <c r="V390" s="22"/>
      <c r="W390" s="21"/>
      <c r="X390" s="23"/>
      <c r="Y390" s="10"/>
      <c r="Z390" s="5">
        <f t="shared" si="64"/>
        <v>384</v>
      </c>
      <c r="AA390" s="7">
        <f t="shared" si="65"/>
        <v>37</v>
      </c>
      <c r="AB390" s="8">
        <f t="shared" ref="AB390:AB439" si="72">IF(ISNUMBER(AC390),YEAR(AC390),"")</f>
        <v>2040</v>
      </c>
      <c r="AC390" s="31">
        <f>IF(AD390=0,"",IF(_Ijour=0,MIN(DATE(YEAR(_DebAmort),MONTH(_DebAmort)+_MoisD+(Z390-1)*_Imois,_Jour2),DATE(YEAR(_DebAmort),MONTH(_DebAmort)+_MoisD+1+(Z390-1)*_Imois,0)),DATE(YEAR(_DebAmort),MONTH(_DebAmort),_Jour1+(Z390-1)*_Ijour)))</f>
        <v>51471</v>
      </c>
      <c r="AD390" s="156">
        <f t="shared" si="66"/>
        <v>27632.390000000109</v>
      </c>
      <c r="AE390" s="153">
        <f>IF(Z390&lt;=_NoEchMaxi,ROUND(AD390*'Données Projet 1'!A399,_NbDeci),0)</f>
        <v>42.83</v>
      </c>
      <c r="AF390" s="152">
        <f>IF(OR(Z390&lt;=_Différé,Z390&gt;_NoEchMaxi),IF(_DiffTotal,-AE390,0),IF(Z390&gt;=_NoEchRemb,AD390,IF('Données Projet 1'!B399-(AE390*_EchFIXE)&gt;AD390-2,AD390,'Données Projet 1'!B399-(AE390*_EchFIXE))))+U390</f>
        <v>726.15</v>
      </c>
      <c r="AG390" s="154">
        <f t="shared" si="67"/>
        <v>19.77</v>
      </c>
      <c r="AH390" s="157">
        <f t="shared" ref="AH390:AH439" si="73">SUM(AE390:AG390)</f>
        <v>788.75</v>
      </c>
      <c r="AI390"/>
      <c r="AJ390" s="3"/>
      <c r="AK390" s="164"/>
      <c r="AL390" s="22"/>
      <c r="AM390" s="21"/>
      <c r="AN390" s="23"/>
      <c r="AO390" s="10"/>
      <c r="AP390" s="5" t="str">
        <f t="shared" si="68"/>
        <v/>
      </c>
      <c r="AQ390" s="7" t="str">
        <f t="shared" si="69"/>
        <v/>
      </c>
      <c r="AR390" s="8" t="str">
        <f t="shared" ref="AR390:AR439" si="74">IF(ISNUMBER(AS390),YEAR(AS390),"")</f>
        <v/>
      </c>
      <c r="AS390" s="31" t="str">
        <f>IF(AT390=0,"",IF(_Ijour1=0,MIN(DATE(YEAR(_DebAmort1),MONTH(_DebAmort1)+_MoisD1+(AP390-1)*_Imois1,__Jou2),DATE(YEAR(_DebAmort1),MONTH(_DebAmort1)+_MoisD1+1+(AP390-1)*_Imois1,0)),DATE(YEAR(_DebAmort1),MONTH(_DebAmort1),__Jou1+(AP390-1)*_Ijour1)))</f>
        <v/>
      </c>
      <c r="AT390" s="156">
        <f t="shared" si="70"/>
        <v>0</v>
      </c>
      <c r="AU390" s="153">
        <f>IF(AP390&lt;=_NoEchMaxi1,ROUND(AT390*'Données Projet 1'!H399,_NbDeci1),0)</f>
        <v>0</v>
      </c>
      <c r="AV390" s="152">
        <f>IF(OR(AP390&lt;=_Différé1,AP390&gt;_NoEchMaxi1),IF(_DiffTotal1,-AU390,0),IF(AP390&gt;=_NoEchRemb1,AT390,IF('Données Projet 1'!I399-(AU390*_EchFIXE1)&gt;AT390-2,AT390,'Données Projet 1'!I399-(AU390*_EchFIXE1))))+AK390</f>
        <v>0</v>
      </c>
      <c r="AW390" s="154">
        <f t="shared" si="71"/>
        <v>0</v>
      </c>
      <c r="AX390" s="157">
        <f t="shared" ref="AX390:AX439" si="75">SUM(AU390:AW390)</f>
        <v>0</v>
      </c>
    </row>
    <row r="391" spans="20:50" ht="15.75" customHeight="1" x14ac:dyDescent="0.3">
      <c r="T391" s="3"/>
      <c r="U391" s="164"/>
      <c r="V391" s="22"/>
      <c r="W391" s="21"/>
      <c r="X391" s="23"/>
      <c r="Y391" s="10"/>
      <c r="Z391" s="5">
        <f t="shared" ref="Z391:Z439" si="76">IF(AD391=0,"",Z390+1)</f>
        <v>385</v>
      </c>
      <c r="AA391" s="7">
        <f t="shared" ref="AA391:AA439" si="77">IF(AD391&gt;0,_NbEch+_Différé+1-Z391,"")</f>
        <v>36</v>
      </c>
      <c r="AB391" s="8">
        <f t="shared" si="72"/>
        <v>2041</v>
      </c>
      <c r="AC391" s="31">
        <f>IF(AD391=0,"",IF(_Ijour=0,MIN(DATE(YEAR(_DebAmort),MONTH(_DebAmort)+(Z391-1)*_Imois,_Jour1),DATE(YEAR(_DebAmort),MONTH(_DebAmort)+1+(Z391-1)*_Imois,0)),DATE(YEAR(_DebAmort),MONTH(_DebAmort),_Jour1+(Z391-1)*_Ijour)))</f>
        <v>51502</v>
      </c>
      <c r="AD391" s="156">
        <f t="shared" ref="AD391:AD439" si="78">AD390-AF390</f>
        <v>26906.240000000107</v>
      </c>
      <c r="AE391" s="153">
        <f>IF(Z391&lt;=_NoEchMaxi,ROUND(AD391*'Données Projet 1'!A400,_NbDeci),0)</f>
        <v>41.7</v>
      </c>
      <c r="AF391" s="152">
        <f>IF(OR(Z391&lt;=_Différé,Z391&gt;_NoEchMaxi),IF(_DiffTotal,-AE391,0),IF(Z391&gt;=_NoEchRemb,AD391,IF('Données Projet 1'!B400-(AE391*_EchFIXE)&gt;AD391-2,AD391,'Données Projet 1'!B400-(AE391*_EchFIXE))))+U391</f>
        <v>727.28</v>
      </c>
      <c r="AG391" s="154">
        <f t="shared" ref="AG391:AG439" si="79">IF(OR(AD391=0,Z391&gt;_NoEchMaxi),0,ROUND(_FraisF+_FraisV*AD391,_NbDeci))+X391</f>
        <v>19.77</v>
      </c>
      <c r="AH391" s="157">
        <f t="shared" si="73"/>
        <v>788.75</v>
      </c>
      <c r="AI391"/>
      <c r="AJ391" s="3"/>
      <c r="AK391" s="164"/>
      <c r="AL391" s="22"/>
      <c r="AM391" s="21"/>
      <c r="AN391" s="23"/>
      <c r="AO391" s="10"/>
      <c r="AP391" s="5" t="str">
        <f t="shared" ref="AP391:AP439" si="80">IF(AT391=0,"",AP390+1)</f>
        <v/>
      </c>
      <c r="AQ391" s="7" t="str">
        <f t="shared" ref="AQ391:AQ439" si="81">IF(AT391&gt;0,_NbEch1+_Différé1+1-AP391,"")</f>
        <v/>
      </c>
      <c r="AR391" s="8" t="str">
        <f t="shared" si="74"/>
        <v/>
      </c>
      <c r="AS391" s="31" t="str">
        <f>IF(AT391=0,"",IF(_Ijour1=0,MIN(DATE(YEAR(_DebAmort1),MONTH(_DebAmort1)+(AP391-1)*_Imois1,__Jou1),DATE(YEAR(_DebAmort1),MONTH(_DebAmort1)+1+(AP391-1)*_Imois1,0)),DATE(YEAR(_DebAmort1),MONTH(_DebAmort1),__Jou1+(AP391-1)*_Ijour1)))</f>
        <v/>
      </c>
      <c r="AT391" s="156">
        <f t="shared" ref="AT391:AT439" si="82">AT390-AV390</f>
        <v>0</v>
      </c>
      <c r="AU391" s="153">
        <f>IF(AP391&lt;=_NoEchMaxi1,ROUND(AT391*'Données Projet 1'!H400,_NbDeci1),0)</f>
        <v>0</v>
      </c>
      <c r="AV391" s="152">
        <f>IF(OR(AP391&lt;=_Différé1,AP391&gt;_NoEchMaxi1),IF(_DiffTotal1,-AU391,0),IF(AP391&gt;=_NoEchRemb1,AT391,IF('Données Projet 1'!I400-(AU391*_EchFIXE1)&gt;AT391-2,AT391,'Données Projet 1'!I400-(AU391*_EchFIXE1))))+AK391</f>
        <v>0</v>
      </c>
      <c r="AW391" s="154">
        <f t="shared" ref="AW391:AW439" si="83">IF(OR(AT391=0,AP391&gt;_NoEchMaxi1),0,ROUND(_FraisF1+_FraisV1*AT391,_NbDeci1))+AN391</f>
        <v>0</v>
      </c>
      <c r="AX391" s="157">
        <f t="shared" si="75"/>
        <v>0</v>
      </c>
    </row>
    <row r="392" spans="20:50" ht="15.75" customHeight="1" x14ac:dyDescent="0.3">
      <c r="T392" s="3"/>
      <c r="U392" s="164"/>
      <c r="V392" s="22"/>
      <c r="W392" s="21"/>
      <c r="X392" s="23"/>
      <c r="Y392" s="10"/>
      <c r="Z392" s="5">
        <f t="shared" si="76"/>
        <v>386</v>
      </c>
      <c r="AA392" s="7">
        <f t="shared" si="77"/>
        <v>35</v>
      </c>
      <c r="AB392" s="8">
        <f t="shared" si="72"/>
        <v>2041</v>
      </c>
      <c r="AC392" s="31">
        <f>IF(AD392=0,"",IF(_Ijour=0,MIN(DATE(YEAR(_DebAmort),MONTH(_DebAmort)+_MoisD+(Z392-1)*_Imois,_Jour2),DATE(YEAR(_DebAmort),MONTH(_DebAmort)+_MoisD+1+(Z392-1)*_Imois,0)),DATE(YEAR(_DebAmort),MONTH(_DebAmort),_Jour1+(Z392-1)*_Ijour)))</f>
        <v>51533</v>
      </c>
      <c r="AD392" s="156">
        <f t="shared" si="78"/>
        <v>26178.960000000108</v>
      </c>
      <c r="AE392" s="153">
        <f>IF(Z392&lt;=_NoEchMaxi,ROUND(AD392*'Données Projet 1'!A401,_NbDeci),0)</f>
        <v>40.58</v>
      </c>
      <c r="AF392" s="152">
        <f>IF(OR(Z392&lt;=_Différé,Z392&gt;_NoEchMaxi),IF(_DiffTotal,-AE392,0),IF(Z392&gt;=_NoEchRemb,AD392,IF('Données Projet 1'!B401-(AE392*_EchFIXE)&gt;AD392-2,AD392,'Données Projet 1'!B401-(AE392*_EchFIXE))))+U392</f>
        <v>728.4</v>
      </c>
      <c r="AG392" s="154">
        <f t="shared" si="79"/>
        <v>19.77</v>
      </c>
      <c r="AH392" s="157">
        <f t="shared" si="73"/>
        <v>788.75</v>
      </c>
      <c r="AI392"/>
      <c r="AJ392" s="3"/>
      <c r="AK392" s="164"/>
      <c r="AL392" s="22"/>
      <c r="AM392" s="21"/>
      <c r="AN392" s="23"/>
      <c r="AO392" s="10"/>
      <c r="AP392" s="5" t="str">
        <f t="shared" si="80"/>
        <v/>
      </c>
      <c r="AQ392" s="7" t="str">
        <f t="shared" si="81"/>
        <v/>
      </c>
      <c r="AR392" s="8" t="str">
        <f t="shared" si="74"/>
        <v/>
      </c>
      <c r="AS392" s="31" t="str">
        <f>IF(AT392=0,"",IF(_Ijour1=0,MIN(DATE(YEAR(_DebAmort1),MONTH(_DebAmort1)+_MoisD1+(AP392-1)*_Imois1,__Jou2),DATE(YEAR(_DebAmort1),MONTH(_DebAmort1)+_MoisD1+1+(AP392-1)*_Imois1,0)),DATE(YEAR(_DebAmort1),MONTH(_DebAmort1),__Jou1+(AP392-1)*_Ijour1)))</f>
        <v/>
      </c>
      <c r="AT392" s="156">
        <f t="shared" si="82"/>
        <v>0</v>
      </c>
      <c r="AU392" s="153">
        <f>IF(AP392&lt;=_NoEchMaxi1,ROUND(AT392*'Données Projet 1'!H401,_NbDeci1),0)</f>
        <v>0</v>
      </c>
      <c r="AV392" s="152">
        <f>IF(OR(AP392&lt;=_Différé1,AP392&gt;_NoEchMaxi1),IF(_DiffTotal1,-AU392,0),IF(AP392&gt;=_NoEchRemb1,AT392,IF('Données Projet 1'!I401-(AU392*_EchFIXE1)&gt;AT392-2,AT392,'Données Projet 1'!I401-(AU392*_EchFIXE1))))+AK392</f>
        <v>0</v>
      </c>
      <c r="AW392" s="154">
        <f t="shared" si="83"/>
        <v>0</v>
      </c>
      <c r="AX392" s="157">
        <f t="shared" si="75"/>
        <v>0</v>
      </c>
    </row>
    <row r="393" spans="20:50" ht="15.75" customHeight="1" x14ac:dyDescent="0.3">
      <c r="T393" s="3"/>
      <c r="U393" s="164"/>
      <c r="V393" s="22"/>
      <c r="W393" s="21"/>
      <c r="X393" s="23"/>
      <c r="Y393" s="10"/>
      <c r="Z393" s="5">
        <f t="shared" si="76"/>
        <v>387</v>
      </c>
      <c r="AA393" s="7">
        <f t="shared" si="77"/>
        <v>34</v>
      </c>
      <c r="AB393" s="8">
        <f t="shared" si="72"/>
        <v>2041</v>
      </c>
      <c r="AC393" s="31">
        <f>IF(AD393=0,"",IF(_Ijour=0,MIN(DATE(YEAR(_DebAmort),MONTH(_DebAmort)+(Z393-1)*_Imois,_Jour1),DATE(YEAR(_DebAmort),MONTH(_DebAmort)+1+(Z393-1)*_Imois,0)),DATE(YEAR(_DebAmort),MONTH(_DebAmort),_Jour1+(Z393-1)*_Ijour)))</f>
        <v>51561</v>
      </c>
      <c r="AD393" s="156">
        <f t="shared" si="78"/>
        <v>25450.560000000107</v>
      </c>
      <c r="AE393" s="153">
        <f>IF(Z393&lt;=_NoEchMaxi,ROUND(AD393*'Données Projet 1'!A402,_NbDeci),0)</f>
        <v>39.450000000000003</v>
      </c>
      <c r="AF393" s="152">
        <f>IF(OR(Z393&lt;=_Différé,Z393&gt;_NoEchMaxi),IF(_DiffTotal,-AE393,0),IF(Z393&gt;=_NoEchRemb,AD393,IF('Données Projet 1'!B402-(AE393*_EchFIXE)&gt;AD393-2,AD393,'Données Projet 1'!B402-(AE393*_EchFIXE))))+U393</f>
        <v>729.53</v>
      </c>
      <c r="AG393" s="154">
        <f t="shared" si="79"/>
        <v>19.77</v>
      </c>
      <c r="AH393" s="157">
        <f t="shared" si="73"/>
        <v>788.75</v>
      </c>
      <c r="AI393"/>
      <c r="AJ393" s="3"/>
      <c r="AK393" s="164"/>
      <c r="AL393" s="22"/>
      <c r="AM393" s="21"/>
      <c r="AN393" s="23"/>
      <c r="AO393" s="10"/>
      <c r="AP393" s="5" t="str">
        <f t="shared" si="80"/>
        <v/>
      </c>
      <c r="AQ393" s="7" t="str">
        <f t="shared" si="81"/>
        <v/>
      </c>
      <c r="AR393" s="8" t="str">
        <f t="shared" si="74"/>
        <v/>
      </c>
      <c r="AS393" s="31" t="str">
        <f>IF(AT393=0,"",IF(_Ijour1=0,MIN(DATE(YEAR(_DebAmort1),MONTH(_DebAmort1)+(AP393-1)*_Imois1,__Jou1),DATE(YEAR(_DebAmort1),MONTH(_DebAmort1)+1+(AP393-1)*_Imois1,0)),DATE(YEAR(_DebAmort1),MONTH(_DebAmort1),__Jou1+(AP393-1)*_Ijour1)))</f>
        <v/>
      </c>
      <c r="AT393" s="156">
        <f t="shared" si="82"/>
        <v>0</v>
      </c>
      <c r="AU393" s="153">
        <f>IF(AP393&lt;=_NoEchMaxi1,ROUND(AT393*'Données Projet 1'!H402,_NbDeci1),0)</f>
        <v>0</v>
      </c>
      <c r="AV393" s="152">
        <f>IF(OR(AP393&lt;=_Différé1,AP393&gt;_NoEchMaxi1),IF(_DiffTotal1,-AU393,0),IF(AP393&gt;=_NoEchRemb1,AT393,IF('Données Projet 1'!I402-(AU393*_EchFIXE1)&gt;AT393-2,AT393,'Données Projet 1'!I402-(AU393*_EchFIXE1))))+AK393</f>
        <v>0</v>
      </c>
      <c r="AW393" s="154">
        <f t="shared" si="83"/>
        <v>0</v>
      </c>
      <c r="AX393" s="157">
        <f t="shared" si="75"/>
        <v>0</v>
      </c>
    </row>
    <row r="394" spans="20:50" ht="15.75" customHeight="1" x14ac:dyDescent="0.3">
      <c r="T394" s="3"/>
      <c r="U394" s="164"/>
      <c r="V394" s="22"/>
      <c r="W394" s="21"/>
      <c r="X394" s="23"/>
      <c r="Y394" s="10"/>
      <c r="Z394" s="5">
        <f t="shared" si="76"/>
        <v>388</v>
      </c>
      <c r="AA394" s="7">
        <f t="shared" si="77"/>
        <v>33</v>
      </c>
      <c r="AB394" s="8">
        <f t="shared" si="72"/>
        <v>2041</v>
      </c>
      <c r="AC394" s="31">
        <f>IF(AD394=0,"",IF(_Ijour=0,MIN(DATE(YEAR(_DebAmort),MONTH(_DebAmort)+_MoisD+(Z394-1)*_Imois,_Jour2),DATE(YEAR(_DebAmort),MONTH(_DebAmort)+_MoisD+1+(Z394-1)*_Imois,0)),DATE(YEAR(_DebAmort),MONTH(_DebAmort),_Jour1+(Z394-1)*_Ijour)))</f>
        <v>51592</v>
      </c>
      <c r="AD394" s="156">
        <f t="shared" si="78"/>
        <v>24721.030000000108</v>
      </c>
      <c r="AE394" s="153">
        <f>IF(Z394&lt;=_NoEchMaxi,ROUND(AD394*'Données Projet 1'!A403,_NbDeci),0)</f>
        <v>38.32</v>
      </c>
      <c r="AF394" s="152">
        <f>IF(OR(Z394&lt;=_Différé,Z394&gt;_NoEchMaxi),IF(_DiffTotal,-AE394,0),IF(Z394&gt;=_NoEchRemb,AD394,IF('Données Projet 1'!B403-(AE394*_EchFIXE)&gt;AD394-2,AD394,'Données Projet 1'!B403-(AE394*_EchFIXE))))+U394</f>
        <v>730.66</v>
      </c>
      <c r="AG394" s="154">
        <f t="shared" si="79"/>
        <v>19.77</v>
      </c>
      <c r="AH394" s="157">
        <f t="shared" si="73"/>
        <v>788.75</v>
      </c>
      <c r="AI394"/>
      <c r="AJ394" s="3"/>
      <c r="AK394" s="164"/>
      <c r="AL394" s="22"/>
      <c r="AM394" s="21"/>
      <c r="AN394" s="23"/>
      <c r="AO394" s="10"/>
      <c r="AP394" s="5" t="str">
        <f t="shared" si="80"/>
        <v/>
      </c>
      <c r="AQ394" s="7" t="str">
        <f t="shared" si="81"/>
        <v/>
      </c>
      <c r="AR394" s="8" t="str">
        <f t="shared" si="74"/>
        <v/>
      </c>
      <c r="AS394" s="31" t="str">
        <f>IF(AT394=0,"",IF(_Ijour1=0,MIN(DATE(YEAR(_DebAmort1),MONTH(_DebAmort1)+_MoisD1+(AP394-1)*_Imois1,__Jou2),DATE(YEAR(_DebAmort1),MONTH(_DebAmort1)+_MoisD1+1+(AP394-1)*_Imois1,0)),DATE(YEAR(_DebAmort1),MONTH(_DebAmort1),__Jou1+(AP394-1)*_Ijour1)))</f>
        <v/>
      </c>
      <c r="AT394" s="156">
        <f t="shared" si="82"/>
        <v>0</v>
      </c>
      <c r="AU394" s="153">
        <f>IF(AP394&lt;=_NoEchMaxi1,ROUND(AT394*'Données Projet 1'!H403,_NbDeci1),0)</f>
        <v>0</v>
      </c>
      <c r="AV394" s="152">
        <f>IF(OR(AP394&lt;=_Différé1,AP394&gt;_NoEchMaxi1),IF(_DiffTotal1,-AU394,0),IF(AP394&gt;=_NoEchRemb1,AT394,IF('Données Projet 1'!I403-(AU394*_EchFIXE1)&gt;AT394-2,AT394,'Données Projet 1'!I403-(AU394*_EchFIXE1))))+AK394</f>
        <v>0</v>
      </c>
      <c r="AW394" s="154">
        <f t="shared" si="83"/>
        <v>0</v>
      </c>
      <c r="AX394" s="157">
        <f t="shared" si="75"/>
        <v>0</v>
      </c>
    </row>
    <row r="395" spans="20:50" ht="15.75" customHeight="1" x14ac:dyDescent="0.3">
      <c r="T395" s="3"/>
      <c r="U395" s="164"/>
      <c r="V395" s="22"/>
      <c r="W395" s="21"/>
      <c r="X395" s="23"/>
      <c r="Y395" s="10"/>
      <c r="Z395" s="5">
        <f t="shared" si="76"/>
        <v>389</v>
      </c>
      <c r="AA395" s="7">
        <f t="shared" si="77"/>
        <v>32</v>
      </c>
      <c r="AB395" s="8">
        <f t="shared" si="72"/>
        <v>2041</v>
      </c>
      <c r="AC395" s="31">
        <f>IF(AD395=0,"",IF(_Ijour=0,MIN(DATE(YEAR(_DebAmort),MONTH(_DebAmort)+(Z395-1)*_Imois,_Jour1),DATE(YEAR(_DebAmort),MONTH(_DebAmort)+1+(Z395-1)*_Imois,0)),DATE(YEAR(_DebAmort),MONTH(_DebAmort),_Jour1+(Z395-1)*_Ijour)))</f>
        <v>51622</v>
      </c>
      <c r="AD395" s="156">
        <f t="shared" si="78"/>
        <v>23990.370000000108</v>
      </c>
      <c r="AE395" s="153">
        <f>IF(Z395&lt;=_NoEchMaxi,ROUND(AD395*'Données Projet 1'!A404,_NbDeci),0)</f>
        <v>37.19</v>
      </c>
      <c r="AF395" s="152">
        <f>IF(OR(Z395&lt;=_Différé,Z395&gt;_NoEchMaxi),IF(_DiffTotal,-AE395,0),IF(Z395&gt;=_NoEchRemb,AD395,IF('Données Projet 1'!B404-(AE395*_EchFIXE)&gt;AD395-2,AD395,'Données Projet 1'!B404-(AE395*_EchFIXE))))+U395</f>
        <v>731.79</v>
      </c>
      <c r="AG395" s="154">
        <f t="shared" si="79"/>
        <v>19.77</v>
      </c>
      <c r="AH395" s="157">
        <f t="shared" si="73"/>
        <v>788.75</v>
      </c>
      <c r="AI395"/>
      <c r="AJ395" s="3"/>
      <c r="AK395" s="164"/>
      <c r="AL395" s="22"/>
      <c r="AM395" s="21"/>
      <c r="AN395" s="23"/>
      <c r="AO395" s="10"/>
      <c r="AP395" s="5" t="str">
        <f t="shared" si="80"/>
        <v/>
      </c>
      <c r="AQ395" s="7" t="str">
        <f t="shared" si="81"/>
        <v/>
      </c>
      <c r="AR395" s="8" t="str">
        <f t="shared" si="74"/>
        <v/>
      </c>
      <c r="AS395" s="31" t="str">
        <f>IF(AT395=0,"",IF(_Ijour1=0,MIN(DATE(YEAR(_DebAmort1),MONTH(_DebAmort1)+(AP395-1)*_Imois1,__Jou1),DATE(YEAR(_DebAmort1),MONTH(_DebAmort1)+1+(AP395-1)*_Imois1,0)),DATE(YEAR(_DebAmort1),MONTH(_DebAmort1),__Jou1+(AP395-1)*_Ijour1)))</f>
        <v/>
      </c>
      <c r="AT395" s="156">
        <f t="shared" si="82"/>
        <v>0</v>
      </c>
      <c r="AU395" s="153">
        <f>IF(AP395&lt;=_NoEchMaxi1,ROUND(AT395*'Données Projet 1'!H404,_NbDeci1),0)</f>
        <v>0</v>
      </c>
      <c r="AV395" s="152">
        <f>IF(OR(AP395&lt;=_Différé1,AP395&gt;_NoEchMaxi1),IF(_DiffTotal1,-AU395,0),IF(AP395&gt;=_NoEchRemb1,AT395,IF('Données Projet 1'!I404-(AU395*_EchFIXE1)&gt;AT395-2,AT395,'Données Projet 1'!I404-(AU395*_EchFIXE1))))+AK395</f>
        <v>0</v>
      </c>
      <c r="AW395" s="154">
        <f t="shared" si="83"/>
        <v>0</v>
      </c>
      <c r="AX395" s="157">
        <f t="shared" si="75"/>
        <v>0</v>
      </c>
    </row>
    <row r="396" spans="20:50" ht="15.75" customHeight="1" x14ac:dyDescent="0.3">
      <c r="T396" s="3"/>
      <c r="U396" s="164"/>
      <c r="V396" s="22"/>
      <c r="W396" s="21"/>
      <c r="X396" s="23"/>
      <c r="Y396" s="10"/>
      <c r="Z396" s="5">
        <f t="shared" si="76"/>
        <v>390</v>
      </c>
      <c r="AA396" s="7">
        <f t="shared" si="77"/>
        <v>31</v>
      </c>
      <c r="AB396" s="8">
        <f t="shared" si="72"/>
        <v>2041</v>
      </c>
      <c r="AC396" s="31">
        <f>IF(AD396=0,"",IF(_Ijour=0,MIN(DATE(YEAR(_DebAmort),MONTH(_DebAmort)+_MoisD+(Z396-1)*_Imois,_Jour2),DATE(YEAR(_DebAmort),MONTH(_DebAmort)+_MoisD+1+(Z396-1)*_Imois,0)),DATE(YEAR(_DebAmort),MONTH(_DebAmort),_Jour1+(Z396-1)*_Ijour)))</f>
        <v>51653</v>
      </c>
      <c r="AD396" s="156">
        <f t="shared" si="78"/>
        <v>23258.580000000107</v>
      </c>
      <c r="AE396" s="153">
        <f>IF(Z396&lt;=_NoEchMaxi,ROUND(AD396*'Données Projet 1'!A405,_NbDeci),0)</f>
        <v>36.049999999999997</v>
      </c>
      <c r="AF396" s="152">
        <f>IF(OR(Z396&lt;=_Différé,Z396&gt;_NoEchMaxi),IF(_DiffTotal,-AE396,0),IF(Z396&gt;=_NoEchRemb,AD396,IF('Données Projet 1'!B405-(AE396*_EchFIXE)&gt;AD396-2,AD396,'Données Projet 1'!B405-(AE396*_EchFIXE))))+U396</f>
        <v>732.93000000000006</v>
      </c>
      <c r="AG396" s="154">
        <f t="shared" si="79"/>
        <v>19.77</v>
      </c>
      <c r="AH396" s="157">
        <f t="shared" si="73"/>
        <v>788.75</v>
      </c>
      <c r="AI396"/>
      <c r="AJ396" s="3"/>
      <c r="AK396" s="164"/>
      <c r="AL396" s="22"/>
      <c r="AM396" s="21"/>
      <c r="AN396" s="23"/>
      <c r="AO396" s="10"/>
      <c r="AP396" s="5" t="str">
        <f t="shared" si="80"/>
        <v/>
      </c>
      <c r="AQ396" s="7" t="str">
        <f t="shared" si="81"/>
        <v/>
      </c>
      <c r="AR396" s="8" t="str">
        <f t="shared" si="74"/>
        <v/>
      </c>
      <c r="AS396" s="31" t="str">
        <f>IF(AT396=0,"",IF(_Ijour1=0,MIN(DATE(YEAR(_DebAmort1),MONTH(_DebAmort1)+_MoisD1+(AP396-1)*_Imois1,__Jou2),DATE(YEAR(_DebAmort1),MONTH(_DebAmort1)+_MoisD1+1+(AP396-1)*_Imois1,0)),DATE(YEAR(_DebAmort1),MONTH(_DebAmort1),__Jou1+(AP396-1)*_Ijour1)))</f>
        <v/>
      </c>
      <c r="AT396" s="156">
        <f t="shared" si="82"/>
        <v>0</v>
      </c>
      <c r="AU396" s="153">
        <f>IF(AP396&lt;=_NoEchMaxi1,ROUND(AT396*'Données Projet 1'!H405,_NbDeci1),0)</f>
        <v>0</v>
      </c>
      <c r="AV396" s="152">
        <f>IF(OR(AP396&lt;=_Différé1,AP396&gt;_NoEchMaxi1),IF(_DiffTotal1,-AU396,0),IF(AP396&gt;=_NoEchRemb1,AT396,IF('Données Projet 1'!I405-(AU396*_EchFIXE1)&gt;AT396-2,AT396,'Données Projet 1'!I405-(AU396*_EchFIXE1))))+AK396</f>
        <v>0</v>
      </c>
      <c r="AW396" s="154">
        <f t="shared" si="83"/>
        <v>0</v>
      </c>
      <c r="AX396" s="157">
        <f t="shared" si="75"/>
        <v>0</v>
      </c>
    </row>
    <row r="397" spans="20:50" ht="15.75" customHeight="1" x14ac:dyDescent="0.3">
      <c r="T397" s="3"/>
      <c r="U397" s="164"/>
      <c r="V397" s="22"/>
      <c r="W397" s="21"/>
      <c r="X397" s="23"/>
      <c r="Y397" s="10"/>
      <c r="Z397" s="5">
        <f t="shared" si="76"/>
        <v>391</v>
      </c>
      <c r="AA397" s="7">
        <f t="shared" si="77"/>
        <v>30</v>
      </c>
      <c r="AB397" s="8">
        <f t="shared" si="72"/>
        <v>2041</v>
      </c>
      <c r="AC397" s="31">
        <f>IF(AD397=0,"",IF(_Ijour=0,MIN(DATE(YEAR(_DebAmort),MONTH(_DebAmort)+(Z397-1)*_Imois,_Jour1),DATE(YEAR(_DebAmort),MONTH(_DebAmort)+1+(Z397-1)*_Imois,0)),DATE(YEAR(_DebAmort),MONTH(_DebAmort),_Jour1+(Z397-1)*_Ijour)))</f>
        <v>51683</v>
      </c>
      <c r="AD397" s="156">
        <f t="shared" si="78"/>
        <v>22525.650000000107</v>
      </c>
      <c r="AE397" s="153">
        <f>IF(Z397&lt;=_NoEchMaxi,ROUND(AD397*'Données Projet 1'!A406,_NbDeci),0)</f>
        <v>34.909999999999997</v>
      </c>
      <c r="AF397" s="152">
        <f>IF(OR(Z397&lt;=_Différé,Z397&gt;_NoEchMaxi),IF(_DiffTotal,-AE397,0),IF(Z397&gt;=_NoEchRemb,AD397,IF('Données Projet 1'!B406-(AE397*_EchFIXE)&gt;AD397-2,AD397,'Données Projet 1'!B406-(AE397*_EchFIXE))))+U397</f>
        <v>734.07</v>
      </c>
      <c r="AG397" s="154">
        <f t="shared" si="79"/>
        <v>19.77</v>
      </c>
      <c r="AH397" s="157">
        <f t="shared" si="73"/>
        <v>788.75</v>
      </c>
      <c r="AI397"/>
      <c r="AJ397" s="3"/>
      <c r="AK397" s="164"/>
      <c r="AL397" s="22"/>
      <c r="AM397" s="21"/>
      <c r="AN397" s="23"/>
      <c r="AO397" s="10"/>
      <c r="AP397" s="5" t="str">
        <f t="shared" si="80"/>
        <v/>
      </c>
      <c r="AQ397" s="7" t="str">
        <f t="shared" si="81"/>
        <v/>
      </c>
      <c r="AR397" s="8" t="str">
        <f t="shared" si="74"/>
        <v/>
      </c>
      <c r="AS397" s="31" t="str">
        <f>IF(AT397=0,"",IF(_Ijour1=0,MIN(DATE(YEAR(_DebAmort1),MONTH(_DebAmort1)+(AP397-1)*_Imois1,__Jou1),DATE(YEAR(_DebAmort1),MONTH(_DebAmort1)+1+(AP397-1)*_Imois1,0)),DATE(YEAR(_DebAmort1),MONTH(_DebAmort1),__Jou1+(AP397-1)*_Ijour1)))</f>
        <v/>
      </c>
      <c r="AT397" s="156">
        <f t="shared" si="82"/>
        <v>0</v>
      </c>
      <c r="AU397" s="153">
        <f>IF(AP397&lt;=_NoEchMaxi1,ROUND(AT397*'Données Projet 1'!H406,_NbDeci1),0)</f>
        <v>0</v>
      </c>
      <c r="AV397" s="152">
        <f>IF(OR(AP397&lt;=_Différé1,AP397&gt;_NoEchMaxi1),IF(_DiffTotal1,-AU397,0),IF(AP397&gt;=_NoEchRemb1,AT397,IF('Données Projet 1'!I406-(AU397*_EchFIXE1)&gt;AT397-2,AT397,'Données Projet 1'!I406-(AU397*_EchFIXE1))))+AK397</f>
        <v>0</v>
      </c>
      <c r="AW397" s="154">
        <f t="shared" si="83"/>
        <v>0</v>
      </c>
      <c r="AX397" s="157">
        <f t="shared" si="75"/>
        <v>0</v>
      </c>
    </row>
    <row r="398" spans="20:50" ht="15.75" customHeight="1" x14ac:dyDescent="0.3">
      <c r="T398" s="3"/>
      <c r="U398" s="164"/>
      <c r="V398" s="22"/>
      <c r="W398" s="21"/>
      <c r="X398" s="23"/>
      <c r="Y398" s="10"/>
      <c r="Z398" s="5">
        <f t="shared" si="76"/>
        <v>392</v>
      </c>
      <c r="AA398" s="7">
        <f t="shared" si="77"/>
        <v>29</v>
      </c>
      <c r="AB398" s="8">
        <f t="shared" si="72"/>
        <v>2041</v>
      </c>
      <c r="AC398" s="31">
        <f>IF(AD398=0,"",IF(_Ijour=0,MIN(DATE(YEAR(_DebAmort),MONTH(_DebAmort)+_MoisD+(Z398-1)*_Imois,_Jour2),DATE(YEAR(_DebAmort),MONTH(_DebAmort)+_MoisD+1+(Z398-1)*_Imois,0)),DATE(YEAR(_DebAmort),MONTH(_DebAmort),_Jour1+(Z398-1)*_Ijour)))</f>
        <v>51714</v>
      </c>
      <c r="AD398" s="156">
        <f t="shared" si="78"/>
        <v>21791.580000000107</v>
      </c>
      <c r="AE398" s="153">
        <f>IF(Z398&lt;=_NoEchMaxi,ROUND(AD398*'Données Projet 1'!A407,_NbDeci),0)</f>
        <v>33.78</v>
      </c>
      <c r="AF398" s="152">
        <f>IF(OR(Z398&lt;=_Différé,Z398&gt;_NoEchMaxi),IF(_DiffTotal,-AE398,0),IF(Z398&gt;=_NoEchRemb,AD398,IF('Données Projet 1'!B407-(AE398*_EchFIXE)&gt;AD398-2,AD398,'Données Projet 1'!B407-(AE398*_EchFIXE))))+U398</f>
        <v>735.2</v>
      </c>
      <c r="AG398" s="154">
        <f t="shared" si="79"/>
        <v>19.77</v>
      </c>
      <c r="AH398" s="157">
        <f t="shared" si="73"/>
        <v>788.75</v>
      </c>
      <c r="AI398"/>
      <c r="AJ398" s="3"/>
      <c r="AK398" s="164"/>
      <c r="AL398" s="22"/>
      <c r="AM398" s="21"/>
      <c r="AN398" s="23"/>
      <c r="AO398" s="10"/>
      <c r="AP398" s="5" t="str">
        <f t="shared" si="80"/>
        <v/>
      </c>
      <c r="AQ398" s="7" t="str">
        <f t="shared" si="81"/>
        <v/>
      </c>
      <c r="AR398" s="8" t="str">
        <f t="shared" si="74"/>
        <v/>
      </c>
      <c r="AS398" s="31" t="str">
        <f>IF(AT398=0,"",IF(_Ijour1=0,MIN(DATE(YEAR(_DebAmort1),MONTH(_DebAmort1)+_MoisD1+(AP398-1)*_Imois1,__Jou2),DATE(YEAR(_DebAmort1),MONTH(_DebAmort1)+_MoisD1+1+(AP398-1)*_Imois1,0)),DATE(YEAR(_DebAmort1),MONTH(_DebAmort1),__Jou1+(AP398-1)*_Ijour1)))</f>
        <v/>
      </c>
      <c r="AT398" s="156">
        <f t="shared" si="82"/>
        <v>0</v>
      </c>
      <c r="AU398" s="153">
        <f>IF(AP398&lt;=_NoEchMaxi1,ROUND(AT398*'Données Projet 1'!H407,_NbDeci1),0)</f>
        <v>0</v>
      </c>
      <c r="AV398" s="152">
        <f>IF(OR(AP398&lt;=_Différé1,AP398&gt;_NoEchMaxi1),IF(_DiffTotal1,-AU398,0),IF(AP398&gt;=_NoEchRemb1,AT398,IF('Données Projet 1'!I407-(AU398*_EchFIXE1)&gt;AT398-2,AT398,'Données Projet 1'!I407-(AU398*_EchFIXE1))))+AK398</f>
        <v>0</v>
      </c>
      <c r="AW398" s="154">
        <f t="shared" si="83"/>
        <v>0</v>
      </c>
      <c r="AX398" s="157">
        <f t="shared" si="75"/>
        <v>0</v>
      </c>
    </row>
    <row r="399" spans="20:50" ht="15.75" customHeight="1" x14ac:dyDescent="0.3">
      <c r="T399" s="3"/>
      <c r="U399" s="164"/>
      <c r="V399" s="22"/>
      <c r="W399" s="21"/>
      <c r="X399" s="23"/>
      <c r="Y399" s="10"/>
      <c r="Z399" s="5">
        <f t="shared" si="76"/>
        <v>393</v>
      </c>
      <c r="AA399" s="7">
        <f t="shared" si="77"/>
        <v>28</v>
      </c>
      <c r="AB399" s="8">
        <f t="shared" si="72"/>
        <v>2041</v>
      </c>
      <c r="AC399" s="31">
        <f>IF(AD399=0,"",IF(_Ijour=0,MIN(DATE(YEAR(_DebAmort),MONTH(_DebAmort)+(Z399-1)*_Imois,_Jour1),DATE(YEAR(_DebAmort),MONTH(_DebAmort)+1+(Z399-1)*_Imois,0)),DATE(YEAR(_DebAmort),MONTH(_DebAmort),_Jour1+(Z399-1)*_Ijour)))</f>
        <v>51745</v>
      </c>
      <c r="AD399" s="156">
        <f t="shared" si="78"/>
        <v>21056.380000000107</v>
      </c>
      <c r="AE399" s="153">
        <f>IF(Z399&lt;=_NoEchMaxi,ROUND(AD399*'Données Projet 1'!A408,_NbDeci),0)</f>
        <v>32.64</v>
      </c>
      <c r="AF399" s="152">
        <f>IF(OR(Z399&lt;=_Différé,Z399&gt;_NoEchMaxi),IF(_DiffTotal,-AE399,0),IF(Z399&gt;=_NoEchRemb,AD399,IF('Données Projet 1'!B408-(AE399*_EchFIXE)&gt;AD399-2,AD399,'Données Projet 1'!B408-(AE399*_EchFIXE))))+U399</f>
        <v>736.34</v>
      </c>
      <c r="AG399" s="154">
        <f t="shared" si="79"/>
        <v>19.77</v>
      </c>
      <c r="AH399" s="157">
        <f t="shared" si="73"/>
        <v>788.75</v>
      </c>
      <c r="AI399"/>
      <c r="AJ399" s="3"/>
      <c r="AK399" s="164"/>
      <c r="AL399" s="22"/>
      <c r="AM399" s="21"/>
      <c r="AN399" s="23"/>
      <c r="AO399" s="10"/>
      <c r="AP399" s="5" t="str">
        <f t="shared" si="80"/>
        <v/>
      </c>
      <c r="AQ399" s="7" t="str">
        <f t="shared" si="81"/>
        <v/>
      </c>
      <c r="AR399" s="8" t="str">
        <f t="shared" si="74"/>
        <v/>
      </c>
      <c r="AS399" s="31" t="str">
        <f>IF(AT399=0,"",IF(_Ijour1=0,MIN(DATE(YEAR(_DebAmort1),MONTH(_DebAmort1)+(AP399-1)*_Imois1,__Jou1),DATE(YEAR(_DebAmort1),MONTH(_DebAmort1)+1+(AP399-1)*_Imois1,0)),DATE(YEAR(_DebAmort1),MONTH(_DebAmort1),__Jou1+(AP399-1)*_Ijour1)))</f>
        <v/>
      </c>
      <c r="AT399" s="156">
        <f t="shared" si="82"/>
        <v>0</v>
      </c>
      <c r="AU399" s="153">
        <f>IF(AP399&lt;=_NoEchMaxi1,ROUND(AT399*'Données Projet 1'!H408,_NbDeci1),0)</f>
        <v>0</v>
      </c>
      <c r="AV399" s="152">
        <f>IF(OR(AP399&lt;=_Différé1,AP399&gt;_NoEchMaxi1),IF(_DiffTotal1,-AU399,0),IF(AP399&gt;=_NoEchRemb1,AT399,IF('Données Projet 1'!I408-(AU399*_EchFIXE1)&gt;AT399-2,AT399,'Données Projet 1'!I408-(AU399*_EchFIXE1))))+AK399</f>
        <v>0</v>
      </c>
      <c r="AW399" s="154">
        <f t="shared" si="83"/>
        <v>0</v>
      </c>
      <c r="AX399" s="157">
        <f t="shared" si="75"/>
        <v>0</v>
      </c>
    </row>
    <row r="400" spans="20:50" ht="15.75" customHeight="1" x14ac:dyDescent="0.3">
      <c r="T400" s="3"/>
      <c r="U400" s="164"/>
      <c r="V400" s="22"/>
      <c r="W400" s="21"/>
      <c r="X400" s="23"/>
      <c r="Y400" s="10"/>
      <c r="Z400" s="5">
        <f t="shared" si="76"/>
        <v>394</v>
      </c>
      <c r="AA400" s="7">
        <f t="shared" si="77"/>
        <v>27</v>
      </c>
      <c r="AB400" s="8">
        <f t="shared" si="72"/>
        <v>2041</v>
      </c>
      <c r="AC400" s="31">
        <f>IF(AD400=0,"",IF(_Ijour=0,MIN(DATE(YEAR(_DebAmort),MONTH(_DebAmort)+_MoisD+(Z400-1)*_Imois,_Jour2),DATE(YEAR(_DebAmort),MONTH(_DebAmort)+_MoisD+1+(Z400-1)*_Imois,0)),DATE(YEAR(_DebAmort),MONTH(_DebAmort),_Jour1+(Z400-1)*_Ijour)))</f>
        <v>51775</v>
      </c>
      <c r="AD400" s="156">
        <f t="shared" si="78"/>
        <v>20320.040000000106</v>
      </c>
      <c r="AE400" s="153">
        <f>IF(Z400&lt;=_NoEchMaxi,ROUND(AD400*'Données Projet 1'!A409,_NbDeci),0)</f>
        <v>31.5</v>
      </c>
      <c r="AF400" s="152">
        <f>IF(OR(Z400&lt;=_Différé,Z400&gt;_NoEchMaxi),IF(_DiffTotal,-AE400,0),IF(Z400&gt;=_NoEchRemb,AD400,IF('Données Projet 1'!B409-(AE400*_EchFIXE)&gt;AD400-2,AD400,'Données Projet 1'!B409-(AE400*_EchFIXE))))+U400</f>
        <v>737.48</v>
      </c>
      <c r="AG400" s="154">
        <f t="shared" si="79"/>
        <v>19.77</v>
      </c>
      <c r="AH400" s="157">
        <f t="shared" si="73"/>
        <v>788.75</v>
      </c>
      <c r="AI400"/>
      <c r="AJ400" s="3"/>
      <c r="AK400" s="164"/>
      <c r="AL400" s="22"/>
      <c r="AM400" s="21"/>
      <c r="AN400" s="23"/>
      <c r="AO400" s="10"/>
      <c r="AP400" s="5" t="str">
        <f t="shared" si="80"/>
        <v/>
      </c>
      <c r="AQ400" s="7" t="str">
        <f t="shared" si="81"/>
        <v/>
      </c>
      <c r="AR400" s="8" t="str">
        <f t="shared" si="74"/>
        <v/>
      </c>
      <c r="AS400" s="31" t="str">
        <f>IF(AT400=0,"",IF(_Ijour1=0,MIN(DATE(YEAR(_DebAmort1),MONTH(_DebAmort1)+_MoisD1+(AP400-1)*_Imois1,__Jou2),DATE(YEAR(_DebAmort1),MONTH(_DebAmort1)+_MoisD1+1+(AP400-1)*_Imois1,0)),DATE(YEAR(_DebAmort1),MONTH(_DebAmort1),__Jou1+(AP400-1)*_Ijour1)))</f>
        <v/>
      </c>
      <c r="AT400" s="156">
        <f t="shared" si="82"/>
        <v>0</v>
      </c>
      <c r="AU400" s="153">
        <f>IF(AP400&lt;=_NoEchMaxi1,ROUND(AT400*'Données Projet 1'!H409,_NbDeci1),0)</f>
        <v>0</v>
      </c>
      <c r="AV400" s="152">
        <f>IF(OR(AP400&lt;=_Différé1,AP400&gt;_NoEchMaxi1),IF(_DiffTotal1,-AU400,0),IF(AP400&gt;=_NoEchRemb1,AT400,IF('Données Projet 1'!I409-(AU400*_EchFIXE1)&gt;AT400-2,AT400,'Données Projet 1'!I409-(AU400*_EchFIXE1))))+AK400</f>
        <v>0</v>
      </c>
      <c r="AW400" s="154">
        <f t="shared" si="83"/>
        <v>0</v>
      </c>
      <c r="AX400" s="157">
        <f t="shared" si="75"/>
        <v>0</v>
      </c>
    </row>
    <row r="401" spans="20:50" ht="15.75" customHeight="1" x14ac:dyDescent="0.3">
      <c r="T401" s="3"/>
      <c r="U401" s="164"/>
      <c r="V401" s="22"/>
      <c r="W401" s="21"/>
      <c r="X401" s="23"/>
      <c r="Y401" s="10"/>
      <c r="Z401" s="5">
        <f t="shared" si="76"/>
        <v>395</v>
      </c>
      <c r="AA401" s="7">
        <f t="shared" si="77"/>
        <v>26</v>
      </c>
      <c r="AB401" s="8">
        <f t="shared" si="72"/>
        <v>2041</v>
      </c>
      <c r="AC401" s="31">
        <f>IF(AD401=0,"",IF(_Ijour=0,MIN(DATE(YEAR(_DebAmort),MONTH(_DebAmort)+(Z401-1)*_Imois,_Jour1),DATE(YEAR(_DebAmort),MONTH(_DebAmort)+1+(Z401-1)*_Imois,0)),DATE(YEAR(_DebAmort),MONTH(_DebAmort),_Jour1+(Z401-1)*_Ijour)))</f>
        <v>51806</v>
      </c>
      <c r="AD401" s="156">
        <f t="shared" si="78"/>
        <v>19582.560000000107</v>
      </c>
      <c r="AE401" s="153">
        <f>IF(Z401&lt;=_NoEchMaxi,ROUND(AD401*'Données Projet 1'!A410,_NbDeci),0)</f>
        <v>30.35</v>
      </c>
      <c r="AF401" s="152">
        <f>IF(OR(Z401&lt;=_Différé,Z401&gt;_NoEchMaxi),IF(_DiffTotal,-AE401,0),IF(Z401&gt;=_NoEchRemb,AD401,IF('Données Projet 1'!B410-(AE401*_EchFIXE)&gt;AD401-2,AD401,'Données Projet 1'!B410-(AE401*_EchFIXE))))+U401</f>
        <v>738.63</v>
      </c>
      <c r="AG401" s="154">
        <f t="shared" si="79"/>
        <v>19.77</v>
      </c>
      <c r="AH401" s="157">
        <f t="shared" si="73"/>
        <v>788.75</v>
      </c>
      <c r="AI401"/>
      <c r="AJ401" s="3"/>
      <c r="AK401" s="164"/>
      <c r="AL401" s="22"/>
      <c r="AM401" s="21"/>
      <c r="AN401" s="23"/>
      <c r="AO401" s="10"/>
      <c r="AP401" s="5" t="str">
        <f t="shared" si="80"/>
        <v/>
      </c>
      <c r="AQ401" s="7" t="str">
        <f t="shared" si="81"/>
        <v/>
      </c>
      <c r="AR401" s="8" t="str">
        <f t="shared" si="74"/>
        <v/>
      </c>
      <c r="AS401" s="31" t="str">
        <f>IF(AT401=0,"",IF(_Ijour1=0,MIN(DATE(YEAR(_DebAmort1),MONTH(_DebAmort1)+(AP401-1)*_Imois1,__Jou1),DATE(YEAR(_DebAmort1),MONTH(_DebAmort1)+1+(AP401-1)*_Imois1,0)),DATE(YEAR(_DebAmort1),MONTH(_DebAmort1),__Jou1+(AP401-1)*_Ijour1)))</f>
        <v/>
      </c>
      <c r="AT401" s="156">
        <f t="shared" si="82"/>
        <v>0</v>
      </c>
      <c r="AU401" s="153">
        <f>IF(AP401&lt;=_NoEchMaxi1,ROUND(AT401*'Données Projet 1'!H410,_NbDeci1),0)</f>
        <v>0</v>
      </c>
      <c r="AV401" s="152">
        <f>IF(OR(AP401&lt;=_Différé1,AP401&gt;_NoEchMaxi1),IF(_DiffTotal1,-AU401,0),IF(AP401&gt;=_NoEchRemb1,AT401,IF('Données Projet 1'!I410-(AU401*_EchFIXE1)&gt;AT401-2,AT401,'Données Projet 1'!I410-(AU401*_EchFIXE1))))+AK401</f>
        <v>0</v>
      </c>
      <c r="AW401" s="154">
        <f t="shared" si="83"/>
        <v>0</v>
      </c>
      <c r="AX401" s="157">
        <f t="shared" si="75"/>
        <v>0</v>
      </c>
    </row>
    <row r="402" spans="20:50" ht="15.75" customHeight="1" x14ac:dyDescent="0.3">
      <c r="T402" s="3"/>
      <c r="U402" s="164"/>
      <c r="V402" s="22"/>
      <c r="W402" s="21"/>
      <c r="X402" s="23"/>
      <c r="Y402" s="10"/>
      <c r="Z402" s="5">
        <f t="shared" si="76"/>
        <v>396</v>
      </c>
      <c r="AA402" s="7">
        <f t="shared" si="77"/>
        <v>25</v>
      </c>
      <c r="AB402" s="8">
        <f t="shared" si="72"/>
        <v>2041</v>
      </c>
      <c r="AC402" s="31">
        <f>IF(AD402=0,"",IF(_Ijour=0,MIN(DATE(YEAR(_DebAmort),MONTH(_DebAmort)+_MoisD+(Z402-1)*_Imois,_Jour2),DATE(YEAR(_DebAmort),MONTH(_DebAmort)+_MoisD+1+(Z402-1)*_Imois,0)),DATE(YEAR(_DebAmort),MONTH(_DebAmort),_Jour1+(Z402-1)*_Ijour)))</f>
        <v>51836</v>
      </c>
      <c r="AD402" s="156">
        <f t="shared" si="78"/>
        <v>18843.930000000106</v>
      </c>
      <c r="AE402" s="153">
        <f>IF(Z402&lt;=_NoEchMaxi,ROUND(AD402*'Données Projet 1'!A411,_NbDeci),0)</f>
        <v>29.21</v>
      </c>
      <c r="AF402" s="152">
        <f>IF(OR(Z402&lt;=_Différé,Z402&gt;_NoEchMaxi),IF(_DiffTotal,-AE402,0),IF(Z402&gt;=_NoEchRemb,AD402,IF('Données Projet 1'!B411-(AE402*_EchFIXE)&gt;AD402-2,AD402,'Données Projet 1'!B411-(AE402*_EchFIXE))))+U402</f>
        <v>739.77</v>
      </c>
      <c r="AG402" s="154">
        <f t="shared" si="79"/>
        <v>19.77</v>
      </c>
      <c r="AH402" s="157">
        <f t="shared" si="73"/>
        <v>788.75</v>
      </c>
      <c r="AI402"/>
      <c r="AJ402" s="3"/>
      <c r="AK402" s="164"/>
      <c r="AL402" s="22"/>
      <c r="AM402" s="21"/>
      <c r="AN402" s="23"/>
      <c r="AO402" s="10"/>
      <c r="AP402" s="5" t="str">
        <f t="shared" si="80"/>
        <v/>
      </c>
      <c r="AQ402" s="7" t="str">
        <f t="shared" si="81"/>
        <v/>
      </c>
      <c r="AR402" s="8" t="str">
        <f t="shared" si="74"/>
        <v/>
      </c>
      <c r="AS402" s="31" t="str">
        <f>IF(AT402=0,"",IF(_Ijour1=0,MIN(DATE(YEAR(_DebAmort1),MONTH(_DebAmort1)+_MoisD1+(AP402-1)*_Imois1,__Jou2),DATE(YEAR(_DebAmort1),MONTH(_DebAmort1)+_MoisD1+1+(AP402-1)*_Imois1,0)),DATE(YEAR(_DebAmort1),MONTH(_DebAmort1),__Jou1+(AP402-1)*_Ijour1)))</f>
        <v/>
      </c>
      <c r="AT402" s="156">
        <f t="shared" si="82"/>
        <v>0</v>
      </c>
      <c r="AU402" s="153">
        <f>IF(AP402&lt;=_NoEchMaxi1,ROUND(AT402*'Données Projet 1'!H411,_NbDeci1),0)</f>
        <v>0</v>
      </c>
      <c r="AV402" s="152">
        <f>IF(OR(AP402&lt;=_Différé1,AP402&gt;_NoEchMaxi1),IF(_DiffTotal1,-AU402,0),IF(AP402&gt;=_NoEchRemb1,AT402,IF('Données Projet 1'!I411-(AU402*_EchFIXE1)&gt;AT402-2,AT402,'Données Projet 1'!I411-(AU402*_EchFIXE1))))+AK402</f>
        <v>0</v>
      </c>
      <c r="AW402" s="154">
        <f t="shared" si="83"/>
        <v>0</v>
      </c>
      <c r="AX402" s="157">
        <f t="shared" si="75"/>
        <v>0</v>
      </c>
    </row>
    <row r="403" spans="20:50" ht="15.75" customHeight="1" x14ac:dyDescent="0.3">
      <c r="T403" s="3"/>
      <c r="U403" s="164"/>
      <c r="V403" s="22"/>
      <c r="W403" s="21"/>
      <c r="X403" s="23"/>
      <c r="Y403" s="10"/>
      <c r="Z403" s="5">
        <f t="shared" si="76"/>
        <v>397</v>
      </c>
      <c r="AA403" s="7">
        <f t="shared" si="77"/>
        <v>24</v>
      </c>
      <c r="AB403" s="8">
        <f t="shared" si="72"/>
        <v>2042</v>
      </c>
      <c r="AC403" s="31">
        <f>IF(AD403=0,"",IF(_Ijour=0,MIN(DATE(YEAR(_DebAmort),MONTH(_DebAmort)+(Z403-1)*_Imois,_Jour1),DATE(YEAR(_DebAmort),MONTH(_DebAmort)+1+(Z403-1)*_Imois,0)),DATE(YEAR(_DebAmort),MONTH(_DebAmort),_Jour1+(Z403-1)*_Ijour)))</f>
        <v>51867</v>
      </c>
      <c r="AD403" s="156">
        <f t="shared" si="78"/>
        <v>18104.160000000105</v>
      </c>
      <c r="AE403" s="153">
        <f>IF(Z403&lt;=_NoEchMaxi,ROUND(AD403*'Données Projet 1'!A412,_NbDeci),0)</f>
        <v>28.06</v>
      </c>
      <c r="AF403" s="152">
        <f>IF(OR(Z403&lt;=_Différé,Z403&gt;_NoEchMaxi),IF(_DiffTotal,-AE403,0),IF(Z403&gt;=_NoEchRemb,AD403,IF('Données Projet 1'!B412-(AE403*_EchFIXE)&gt;AD403-2,AD403,'Données Projet 1'!B412-(AE403*_EchFIXE))))+U403</f>
        <v>740.92000000000007</v>
      </c>
      <c r="AG403" s="154">
        <f t="shared" si="79"/>
        <v>19.77</v>
      </c>
      <c r="AH403" s="157">
        <f t="shared" si="73"/>
        <v>788.75</v>
      </c>
      <c r="AI403"/>
      <c r="AJ403" s="3"/>
      <c r="AK403" s="164"/>
      <c r="AL403" s="22"/>
      <c r="AM403" s="21"/>
      <c r="AN403" s="23"/>
      <c r="AO403" s="10"/>
      <c r="AP403" s="5" t="str">
        <f t="shared" si="80"/>
        <v/>
      </c>
      <c r="AQ403" s="7" t="str">
        <f t="shared" si="81"/>
        <v/>
      </c>
      <c r="AR403" s="8" t="str">
        <f t="shared" si="74"/>
        <v/>
      </c>
      <c r="AS403" s="31" t="str">
        <f>IF(AT403=0,"",IF(_Ijour1=0,MIN(DATE(YEAR(_DebAmort1),MONTH(_DebAmort1)+(AP403-1)*_Imois1,__Jou1),DATE(YEAR(_DebAmort1),MONTH(_DebAmort1)+1+(AP403-1)*_Imois1,0)),DATE(YEAR(_DebAmort1),MONTH(_DebAmort1),__Jou1+(AP403-1)*_Ijour1)))</f>
        <v/>
      </c>
      <c r="AT403" s="156">
        <f t="shared" si="82"/>
        <v>0</v>
      </c>
      <c r="AU403" s="153">
        <f>IF(AP403&lt;=_NoEchMaxi1,ROUND(AT403*'Données Projet 1'!H412,_NbDeci1),0)</f>
        <v>0</v>
      </c>
      <c r="AV403" s="152">
        <f>IF(OR(AP403&lt;=_Différé1,AP403&gt;_NoEchMaxi1),IF(_DiffTotal1,-AU403,0),IF(AP403&gt;=_NoEchRemb1,AT403,IF('Données Projet 1'!I412-(AU403*_EchFIXE1)&gt;AT403-2,AT403,'Données Projet 1'!I412-(AU403*_EchFIXE1))))+AK403</f>
        <v>0</v>
      </c>
      <c r="AW403" s="154">
        <f t="shared" si="83"/>
        <v>0</v>
      </c>
      <c r="AX403" s="157">
        <f t="shared" si="75"/>
        <v>0</v>
      </c>
    </row>
    <row r="404" spans="20:50" ht="15.75" customHeight="1" x14ac:dyDescent="0.3">
      <c r="T404" s="3"/>
      <c r="U404" s="164"/>
      <c r="V404" s="22"/>
      <c r="W404" s="21"/>
      <c r="X404" s="23"/>
      <c r="Y404" s="10"/>
      <c r="Z404" s="5">
        <f t="shared" si="76"/>
        <v>398</v>
      </c>
      <c r="AA404" s="7">
        <f t="shared" si="77"/>
        <v>23</v>
      </c>
      <c r="AB404" s="8">
        <f t="shared" si="72"/>
        <v>2042</v>
      </c>
      <c r="AC404" s="31">
        <f>IF(AD404=0,"",IF(_Ijour=0,MIN(DATE(YEAR(_DebAmort),MONTH(_DebAmort)+_MoisD+(Z404-1)*_Imois,_Jour2),DATE(YEAR(_DebAmort),MONTH(_DebAmort)+_MoisD+1+(Z404-1)*_Imois,0)),DATE(YEAR(_DebAmort),MONTH(_DebAmort),_Jour1+(Z404-1)*_Ijour)))</f>
        <v>51898</v>
      </c>
      <c r="AD404" s="156">
        <f t="shared" si="78"/>
        <v>17363.240000000107</v>
      </c>
      <c r="AE404" s="153">
        <f>IF(Z404&lt;=_NoEchMaxi,ROUND(AD404*'Données Projet 1'!A413,_NbDeci),0)</f>
        <v>26.91</v>
      </c>
      <c r="AF404" s="152">
        <f>IF(OR(Z404&lt;=_Différé,Z404&gt;_NoEchMaxi),IF(_DiffTotal,-AE404,0),IF(Z404&gt;=_NoEchRemb,AD404,IF('Données Projet 1'!B413-(AE404*_EchFIXE)&gt;AD404-2,AD404,'Données Projet 1'!B413-(AE404*_EchFIXE))))+U404</f>
        <v>742.07</v>
      </c>
      <c r="AG404" s="154">
        <f t="shared" si="79"/>
        <v>19.77</v>
      </c>
      <c r="AH404" s="157">
        <f t="shared" si="73"/>
        <v>788.75</v>
      </c>
      <c r="AI404"/>
      <c r="AJ404" s="3"/>
      <c r="AK404" s="164"/>
      <c r="AL404" s="22"/>
      <c r="AM404" s="21"/>
      <c r="AN404" s="23"/>
      <c r="AO404" s="10"/>
      <c r="AP404" s="5" t="str">
        <f t="shared" si="80"/>
        <v/>
      </c>
      <c r="AQ404" s="7" t="str">
        <f t="shared" si="81"/>
        <v/>
      </c>
      <c r="AR404" s="8" t="str">
        <f t="shared" si="74"/>
        <v/>
      </c>
      <c r="AS404" s="31" t="str">
        <f>IF(AT404=0,"",IF(_Ijour1=0,MIN(DATE(YEAR(_DebAmort1),MONTH(_DebAmort1)+_MoisD1+(AP404-1)*_Imois1,__Jou2),DATE(YEAR(_DebAmort1),MONTH(_DebAmort1)+_MoisD1+1+(AP404-1)*_Imois1,0)),DATE(YEAR(_DebAmort1),MONTH(_DebAmort1),__Jou1+(AP404-1)*_Ijour1)))</f>
        <v/>
      </c>
      <c r="AT404" s="156">
        <f t="shared" si="82"/>
        <v>0</v>
      </c>
      <c r="AU404" s="153">
        <f>IF(AP404&lt;=_NoEchMaxi1,ROUND(AT404*'Données Projet 1'!H413,_NbDeci1),0)</f>
        <v>0</v>
      </c>
      <c r="AV404" s="152">
        <f>IF(OR(AP404&lt;=_Différé1,AP404&gt;_NoEchMaxi1),IF(_DiffTotal1,-AU404,0),IF(AP404&gt;=_NoEchRemb1,AT404,IF('Données Projet 1'!I413-(AU404*_EchFIXE1)&gt;AT404-2,AT404,'Données Projet 1'!I413-(AU404*_EchFIXE1))))+AK404</f>
        <v>0</v>
      </c>
      <c r="AW404" s="154">
        <f t="shared" si="83"/>
        <v>0</v>
      </c>
      <c r="AX404" s="157">
        <f t="shared" si="75"/>
        <v>0</v>
      </c>
    </row>
    <row r="405" spans="20:50" ht="15.75" customHeight="1" x14ac:dyDescent="0.3">
      <c r="T405" s="3"/>
      <c r="U405" s="164"/>
      <c r="V405" s="22"/>
      <c r="W405" s="21"/>
      <c r="X405" s="23"/>
      <c r="Y405" s="10"/>
      <c r="Z405" s="5">
        <f t="shared" si="76"/>
        <v>399</v>
      </c>
      <c r="AA405" s="7">
        <f t="shared" si="77"/>
        <v>22</v>
      </c>
      <c r="AB405" s="8">
        <f t="shared" si="72"/>
        <v>2042</v>
      </c>
      <c r="AC405" s="31">
        <f>IF(AD405=0,"",IF(_Ijour=0,MIN(DATE(YEAR(_DebAmort),MONTH(_DebAmort)+(Z405-1)*_Imois,_Jour1),DATE(YEAR(_DebAmort),MONTH(_DebAmort)+1+(Z405-1)*_Imois,0)),DATE(YEAR(_DebAmort),MONTH(_DebAmort),_Jour1+(Z405-1)*_Ijour)))</f>
        <v>51926</v>
      </c>
      <c r="AD405" s="156">
        <f t="shared" si="78"/>
        <v>16621.170000000107</v>
      </c>
      <c r="AE405" s="153">
        <f>IF(Z405&lt;=_NoEchMaxi,ROUND(AD405*'Données Projet 1'!A414,_NbDeci),0)</f>
        <v>25.76</v>
      </c>
      <c r="AF405" s="152">
        <f>IF(OR(Z405&lt;=_Différé,Z405&gt;_NoEchMaxi),IF(_DiffTotal,-AE405,0),IF(Z405&gt;=_NoEchRemb,AD405,IF('Données Projet 1'!B414-(AE405*_EchFIXE)&gt;AD405-2,AD405,'Données Projet 1'!B414-(AE405*_EchFIXE))))+U405</f>
        <v>743.22</v>
      </c>
      <c r="AG405" s="154">
        <f t="shared" si="79"/>
        <v>19.77</v>
      </c>
      <c r="AH405" s="157">
        <f t="shared" si="73"/>
        <v>788.75</v>
      </c>
      <c r="AI405"/>
      <c r="AJ405" s="3"/>
      <c r="AK405" s="164"/>
      <c r="AL405" s="22"/>
      <c r="AM405" s="21"/>
      <c r="AN405" s="23"/>
      <c r="AO405" s="10"/>
      <c r="AP405" s="5" t="str">
        <f t="shared" si="80"/>
        <v/>
      </c>
      <c r="AQ405" s="7" t="str">
        <f t="shared" si="81"/>
        <v/>
      </c>
      <c r="AR405" s="8" t="str">
        <f t="shared" si="74"/>
        <v/>
      </c>
      <c r="AS405" s="31" t="str">
        <f>IF(AT405=0,"",IF(_Ijour1=0,MIN(DATE(YEAR(_DebAmort1),MONTH(_DebAmort1)+(AP405-1)*_Imois1,__Jou1),DATE(YEAR(_DebAmort1),MONTH(_DebAmort1)+1+(AP405-1)*_Imois1,0)),DATE(YEAR(_DebAmort1),MONTH(_DebAmort1),__Jou1+(AP405-1)*_Ijour1)))</f>
        <v/>
      </c>
      <c r="AT405" s="156">
        <f t="shared" si="82"/>
        <v>0</v>
      </c>
      <c r="AU405" s="153">
        <f>IF(AP405&lt;=_NoEchMaxi1,ROUND(AT405*'Données Projet 1'!H414,_NbDeci1),0)</f>
        <v>0</v>
      </c>
      <c r="AV405" s="152">
        <f>IF(OR(AP405&lt;=_Différé1,AP405&gt;_NoEchMaxi1),IF(_DiffTotal1,-AU405,0),IF(AP405&gt;=_NoEchRemb1,AT405,IF('Données Projet 1'!I414-(AU405*_EchFIXE1)&gt;AT405-2,AT405,'Données Projet 1'!I414-(AU405*_EchFIXE1))))+AK405</f>
        <v>0</v>
      </c>
      <c r="AW405" s="154">
        <f t="shared" si="83"/>
        <v>0</v>
      </c>
      <c r="AX405" s="157">
        <f t="shared" si="75"/>
        <v>0</v>
      </c>
    </row>
    <row r="406" spans="20:50" ht="15.75" customHeight="1" x14ac:dyDescent="0.3">
      <c r="T406" s="3"/>
      <c r="U406" s="164"/>
      <c r="V406" s="22"/>
      <c r="W406" s="21"/>
      <c r="X406" s="23"/>
      <c r="Y406" s="10"/>
      <c r="Z406" s="5">
        <f t="shared" si="76"/>
        <v>400</v>
      </c>
      <c r="AA406" s="7">
        <f t="shared" si="77"/>
        <v>21</v>
      </c>
      <c r="AB406" s="8">
        <f t="shared" si="72"/>
        <v>2042</v>
      </c>
      <c r="AC406" s="31">
        <f>IF(AD406=0,"",IF(_Ijour=0,MIN(DATE(YEAR(_DebAmort),MONTH(_DebAmort)+_MoisD+(Z406-1)*_Imois,_Jour2),DATE(YEAR(_DebAmort),MONTH(_DebAmort)+_MoisD+1+(Z406-1)*_Imois,0)),DATE(YEAR(_DebAmort),MONTH(_DebAmort),_Jour1+(Z406-1)*_Ijour)))</f>
        <v>51957</v>
      </c>
      <c r="AD406" s="156">
        <f t="shared" si="78"/>
        <v>15877.950000000108</v>
      </c>
      <c r="AE406" s="153">
        <f>IF(Z406&lt;=_NoEchMaxi,ROUND(AD406*'Données Projet 1'!A415,_NbDeci),0)</f>
        <v>24.61</v>
      </c>
      <c r="AF406" s="152">
        <f>IF(OR(Z406&lt;=_Différé,Z406&gt;_NoEchMaxi),IF(_DiffTotal,-AE406,0),IF(Z406&gt;=_NoEchRemb,AD406,IF('Données Projet 1'!B415-(AE406*_EchFIXE)&gt;AD406-2,AD406,'Données Projet 1'!B415-(AE406*_EchFIXE))))+U406</f>
        <v>744.37</v>
      </c>
      <c r="AG406" s="154">
        <f t="shared" si="79"/>
        <v>19.77</v>
      </c>
      <c r="AH406" s="157">
        <f t="shared" si="73"/>
        <v>788.75</v>
      </c>
      <c r="AI406"/>
      <c r="AJ406" s="3"/>
      <c r="AK406" s="164"/>
      <c r="AL406" s="22"/>
      <c r="AM406" s="21"/>
      <c r="AN406" s="23"/>
      <c r="AO406" s="10"/>
      <c r="AP406" s="5" t="str">
        <f t="shared" si="80"/>
        <v/>
      </c>
      <c r="AQ406" s="7" t="str">
        <f t="shared" si="81"/>
        <v/>
      </c>
      <c r="AR406" s="8" t="str">
        <f t="shared" si="74"/>
        <v/>
      </c>
      <c r="AS406" s="31" t="str">
        <f>IF(AT406=0,"",IF(_Ijour1=0,MIN(DATE(YEAR(_DebAmort1),MONTH(_DebAmort1)+_MoisD1+(AP406-1)*_Imois1,__Jou2),DATE(YEAR(_DebAmort1),MONTH(_DebAmort1)+_MoisD1+1+(AP406-1)*_Imois1,0)),DATE(YEAR(_DebAmort1),MONTH(_DebAmort1),__Jou1+(AP406-1)*_Ijour1)))</f>
        <v/>
      </c>
      <c r="AT406" s="156">
        <f t="shared" si="82"/>
        <v>0</v>
      </c>
      <c r="AU406" s="153">
        <f>IF(AP406&lt;=_NoEchMaxi1,ROUND(AT406*'Données Projet 1'!H415,_NbDeci1),0)</f>
        <v>0</v>
      </c>
      <c r="AV406" s="152">
        <f>IF(OR(AP406&lt;=_Différé1,AP406&gt;_NoEchMaxi1),IF(_DiffTotal1,-AU406,0),IF(AP406&gt;=_NoEchRemb1,AT406,IF('Données Projet 1'!I415-(AU406*_EchFIXE1)&gt;AT406-2,AT406,'Données Projet 1'!I415-(AU406*_EchFIXE1))))+AK406</f>
        <v>0</v>
      </c>
      <c r="AW406" s="154">
        <f t="shared" si="83"/>
        <v>0</v>
      </c>
      <c r="AX406" s="157">
        <f t="shared" si="75"/>
        <v>0</v>
      </c>
    </row>
    <row r="407" spans="20:50" ht="15.75" customHeight="1" x14ac:dyDescent="0.3">
      <c r="T407" s="3"/>
      <c r="U407" s="164"/>
      <c r="V407" s="22"/>
      <c r="W407" s="21"/>
      <c r="X407" s="23"/>
      <c r="Y407" s="10"/>
      <c r="Z407" s="5">
        <f t="shared" si="76"/>
        <v>401</v>
      </c>
      <c r="AA407" s="7">
        <f t="shared" si="77"/>
        <v>20</v>
      </c>
      <c r="AB407" s="8">
        <f t="shared" si="72"/>
        <v>2042</v>
      </c>
      <c r="AC407" s="31">
        <f>IF(AD407=0,"",IF(_Ijour=0,MIN(DATE(YEAR(_DebAmort),MONTH(_DebAmort)+(Z407-1)*_Imois,_Jour1),DATE(YEAR(_DebAmort),MONTH(_DebAmort)+1+(Z407-1)*_Imois,0)),DATE(YEAR(_DebAmort),MONTH(_DebAmort),_Jour1+(Z407-1)*_Ijour)))</f>
        <v>51987</v>
      </c>
      <c r="AD407" s="156">
        <f t="shared" si="78"/>
        <v>15133.580000000107</v>
      </c>
      <c r="AE407" s="153">
        <f>IF(Z407&lt;=_NoEchMaxi,ROUND(AD407*'Données Projet 1'!A416,_NbDeci),0)</f>
        <v>23.46</v>
      </c>
      <c r="AF407" s="152">
        <f>IF(OR(Z407&lt;=_Différé,Z407&gt;_NoEchMaxi),IF(_DiffTotal,-AE407,0),IF(Z407&gt;=_NoEchRemb,AD407,IF('Données Projet 1'!B416-(AE407*_EchFIXE)&gt;AD407-2,AD407,'Données Projet 1'!B416-(AE407*_EchFIXE))))+U407</f>
        <v>745.52</v>
      </c>
      <c r="AG407" s="154">
        <f t="shared" si="79"/>
        <v>19.77</v>
      </c>
      <c r="AH407" s="157">
        <f t="shared" si="73"/>
        <v>788.75</v>
      </c>
      <c r="AI407"/>
      <c r="AJ407" s="3"/>
      <c r="AK407" s="164"/>
      <c r="AL407" s="22"/>
      <c r="AM407" s="21"/>
      <c r="AN407" s="23"/>
      <c r="AO407" s="10"/>
      <c r="AP407" s="5" t="str">
        <f t="shared" si="80"/>
        <v/>
      </c>
      <c r="AQ407" s="7" t="str">
        <f t="shared" si="81"/>
        <v/>
      </c>
      <c r="AR407" s="8" t="str">
        <f t="shared" si="74"/>
        <v/>
      </c>
      <c r="AS407" s="31" t="str">
        <f>IF(AT407=0,"",IF(_Ijour1=0,MIN(DATE(YEAR(_DebAmort1),MONTH(_DebAmort1)+(AP407-1)*_Imois1,__Jou1),DATE(YEAR(_DebAmort1),MONTH(_DebAmort1)+1+(AP407-1)*_Imois1,0)),DATE(YEAR(_DebAmort1),MONTH(_DebAmort1),__Jou1+(AP407-1)*_Ijour1)))</f>
        <v/>
      </c>
      <c r="AT407" s="156">
        <f t="shared" si="82"/>
        <v>0</v>
      </c>
      <c r="AU407" s="153">
        <f>IF(AP407&lt;=_NoEchMaxi1,ROUND(AT407*'Données Projet 1'!H416,_NbDeci1),0)</f>
        <v>0</v>
      </c>
      <c r="AV407" s="152">
        <f>IF(OR(AP407&lt;=_Différé1,AP407&gt;_NoEchMaxi1),IF(_DiffTotal1,-AU407,0),IF(AP407&gt;=_NoEchRemb1,AT407,IF('Données Projet 1'!I416-(AU407*_EchFIXE1)&gt;AT407-2,AT407,'Données Projet 1'!I416-(AU407*_EchFIXE1))))+AK407</f>
        <v>0</v>
      </c>
      <c r="AW407" s="154">
        <f t="shared" si="83"/>
        <v>0</v>
      </c>
      <c r="AX407" s="157">
        <f t="shared" si="75"/>
        <v>0</v>
      </c>
    </row>
    <row r="408" spans="20:50" ht="15.75" customHeight="1" x14ac:dyDescent="0.3">
      <c r="T408" s="3"/>
      <c r="U408" s="164"/>
      <c r="V408" s="22"/>
      <c r="W408" s="21"/>
      <c r="X408" s="23"/>
      <c r="Y408" s="10"/>
      <c r="Z408" s="5">
        <f t="shared" si="76"/>
        <v>402</v>
      </c>
      <c r="AA408" s="7">
        <f t="shared" si="77"/>
        <v>19</v>
      </c>
      <c r="AB408" s="8">
        <f t="shared" si="72"/>
        <v>2042</v>
      </c>
      <c r="AC408" s="31">
        <f>IF(AD408=0,"",IF(_Ijour=0,MIN(DATE(YEAR(_DebAmort),MONTH(_DebAmort)+_MoisD+(Z408-1)*_Imois,_Jour2),DATE(YEAR(_DebAmort),MONTH(_DebAmort)+_MoisD+1+(Z408-1)*_Imois,0)),DATE(YEAR(_DebAmort),MONTH(_DebAmort),_Jour1+(Z408-1)*_Ijour)))</f>
        <v>52018</v>
      </c>
      <c r="AD408" s="156">
        <f t="shared" si="78"/>
        <v>14388.060000000107</v>
      </c>
      <c r="AE408" s="153">
        <f>IF(Z408&lt;=_NoEchMaxi,ROUND(AD408*'Données Projet 1'!A417,_NbDeci),0)</f>
        <v>22.3</v>
      </c>
      <c r="AF408" s="152">
        <f>IF(OR(Z408&lt;=_Différé,Z408&gt;_NoEchMaxi),IF(_DiffTotal,-AE408,0),IF(Z408&gt;=_NoEchRemb,AD408,IF('Données Projet 1'!B417-(AE408*_EchFIXE)&gt;AD408-2,AD408,'Données Projet 1'!B417-(AE408*_EchFIXE))))+U408</f>
        <v>746.68000000000006</v>
      </c>
      <c r="AG408" s="154">
        <f t="shared" si="79"/>
        <v>19.77</v>
      </c>
      <c r="AH408" s="157">
        <f t="shared" si="73"/>
        <v>788.75</v>
      </c>
      <c r="AI408"/>
      <c r="AJ408" s="3"/>
      <c r="AK408" s="164"/>
      <c r="AL408" s="22"/>
      <c r="AM408" s="21"/>
      <c r="AN408" s="23"/>
      <c r="AO408" s="10"/>
      <c r="AP408" s="5" t="str">
        <f t="shared" si="80"/>
        <v/>
      </c>
      <c r="AQ408" s="7" t="str">
        <f t="shared" si="81"/>
        <v/>
      </c>
      <c r="AR408" s="8" t="str">
        <f t="shared" si="74"/>
        <v/>
      </c>
      <c r="AS408" s="31" t="str">
        <f>IF(AT408=0,"",IF(_Ijour1=0,MIN(DATE(YEAR(_DebAmort1),MONTH(_DebAmort1)+_MoisD1+(AP408-1)*_Imois1,__Jou2),DATE(YEAR(_DebAmort1),MONTH(_DebAmort1)+_MoisD1+1+(AP408-1)*_Imois1,0)),DATE(YEAR(_DebAmort1),MONTH(_DebAmort1),__Jou1+(AP408-1)*_Ijour1)))</f>
        <v/>
      </c>
      <c r="AT408" s="156">
        <f t="shared" si="82"/>
        <v>0</v>
      </c>
      <c r="AU408" s="153">
        <f>IF(AP408&lt;=_NoEchMaxi1,ROUND(AT408*'Données Projet 1'!H417,_NbDeci1),0)</f>
        <v>0</v>
      </c>
      <c r="AV408" s="152">
        <f>IF(OR(AP408&lt;=_Différé1,AP408&gt;_NoEchMaxi1),IF(_DiffTotal1,-AU408,0),IF(AP408&gt;=_NoEchRemb1,AT408,IF('Données Projet 1'!I417-(AU408*_EchFIXE1)&gt;AT408-2,AT408,'Données Projet 1'!I417-(AU408*_EchFIXE1))))+AK408</f>
        <v>0</v>
      </c>
      <c r="AW408" s="154">
        <f t="shared" si="83"/>
        <v>0</v>
      </c>
      <c r="AX408" s="157">
        <f t="shared" si="75"/>
        <v>0</v>
      </c>
    </row>
    <row r="409" spans="20:50" ht="15.75" customHeight="1" x14ac:dyDescent="0.3">
      <c r="T409" s="3"/>
      <c r="U409" s="164"/>
      <c r="V409" s="22"/>
      <c r="W409" s="21"/>
      <c r="X409" s="23"/>
      <c r="Y409" s="10"/>
      <c r="Z409" s="5">
        <f t="shared" si="76"/>
        <v>403</v>
      </c>
      <c r="AA409" s="7">
        <f t="shared" si="77"/>
        <v>18</v>
      </c>
      <c r="AB409" s="8">
        <f t="shared" si="72"/>
        <v>2042</v>
      </c>
      <c r="AC409" s="31">
        <f>IF(AD409=0,"",IF(_Ijour=0,MIN(DATE(YEAR(_DebAmort),MONTH(_DebAmort)+(Z409-1)*_Imois,_Jour1),DATE(YEAR(_DebAmort),MONTH(_DebAmort)+1+(Z409-1)*_Imois,0)),DATE(YEAR(_DebAmort),MONTH(_DebAmort),_Jour1+(Z409-1)*_Ijour)))</f>
        <v>52048</v>
      </c>
      <c r="AD409" s="156">
        <f t="shared" si="78"/>
        <v>13641.380000000107</v>
      </c>
      <c r="AE409" s="153">
        <f>IF(Z409&lt;=_NoEchMaxi,ROUND(AD409*'Données Projet 1'!A418,_NbDeci),0)</f>
        <v>21.14</v>
      </c>
      <c r="AF409" s="152">
        <f>IF(OR(Z409&lt;=_Différé,Z409&gt;_NoEchMaxi),IF(_DiffTotal,-AE409,0),IF(Z409&gt;=_NoEchRemb,AD409,IF('Données Projet 1'!B418-(AE409*_EchFIXE)&gt;AD409-2,AD409,'Données Projet 1'!B418-(AE409*_EchFIXE))))+U409</f>
        <v>747.84</v>
      </c>
      <c r="AG409" s="154">
        <f t="shared" si="79"/>
        <v>19.77</v>
      </c>
      <c r="AH409" s="157">
        <f t="shared" si="73"/>
        <v>788.75</v>
      </c>
      <c r="AI409"/>
      <c r="AJ409" s="3"/>
      <c r="AK409" s="164"/>
      <c r="AL409" s="22"/>
      <c r="AM409" s="21"/>
      <c r="AN409" s="23"/>
      <c r="AO409" s="10"/>
      <c r="AP409" s="5" t="str">
        <f t="shared" si="80"/>
        <v/>
      </c>
      <c r="AQ409" s="7" t="str">
        <f t="shared" si="81"/>
        <v/>
      </c>
      <c r="AR409" s="8" t="str">
        <f t="shared" si="74"/>
        <v/>
      </c>
      <c r="AS409" s="31" t="str">
        <f>IF(AT409=0,"",IF(_Ijour1=0,MIN(DATE(YEAR(_DebAmort1),MONTH(_DebAmort1)+(AP409-1)*_Imois1,__Jou1),DATE(YEAR(_DebAmort1),MONTH(_DebAmort1)+1+(AP409-1)*_Imois1,0)),DATE(YEAR(_DebAmort1),MONTH(_DebAmort1),__Jou1+(AP409-1)*_Ijour1)))</f>
        <v/>
      </c>
      <c r="AT409" s="156">
        <f t="shared" si="82"/>
        <v>0</v>
      </c>
      <c r="AU409" s="153">
        <f>IF(AP409&lt;=_NoEchMaxi1,ROUND(AT409*'Données Projet 1'!H418,_NbDeci1),0)</f>
        <v>0</v>
      </c>
      <c r="AV409" s="152">
        <f>IF(OR(AP409&lt;=_Différé1,AP409&gt;_NoEchMaxi1),IF(_DiffTotal1,-AU409,0),IF(AP409&gt;=_NoEchRemb1,AT409,IF('Données Projet 1'!I418-(AU409*_EchFIXE1)&gt;AT409-2,AT409,'Données Projet 1'!I418-(AU409*_EchFIXE1))))+AK409</f>
        <v>0</v>
      </c>
      <c r="AW409" s="154">
        <f t="shared" si="83"/>
        <v>0</v>
      </c>
      <c r="AX409" s="157">
        <f t="shared" si="75"/>
        <v>0</v>
      </c>
    </row>
    <row r="410" spans="20:50" ht="15.75" customHeight="1" x14ac:dyDescent="0.3">
      <c r="T410" s="3"/>
      <c r="U410" s="164"/>
      <c r="V410" s="22"/>
      <c r="W410" s="21"/>
      <c r="X410" s="23"/>
      <c r="Y410" s="10"/>
      <c r="Z410" s="5">
        <f t="shared" si="76"/>
        <v>404</v>
      </c>
      <c r="AA410" s="7">
        <f t="shared" si="77"/>
        <v>17</v>
      </c>
      <c r="AB410" s="8">
        <f t="shared" si="72"/>
        <v>2042</v>
      </c>
      <c r="AC410" s="31">
        <f>IF(AD410=0,"",IF(_Ijour=0,MIN(DATE(YEAR(_DebAmort),MONTH(_DebAmort)+_MoisD+(Z410-1)*_Imois,_Jour2),DATE(YEAR(_DebAmort),MONTH(_DebAmort)+_MoisD+1+(Z410-1)*_Imois,0)),DATE(YEAR(_DebAmort),MONTH(_DebAmort),_Jour1+(Z410-1)*_Ijour)))</f>
        <v>52079</v>
      </c>
      <c r="AD410" s="156">
        <f t="shared" si="78"/>
        <v>12893.540000000106</v>
      </c>
      <c r="AE410" s="153">
        <f>IF(Z410&lt;=_NoEchMaxi,ROUND(AD410*'Données Projet 1'!A419,_NbDeci),0)</f>
        <v>19.98</v>
      </c>
      <c r="AF410" s="152">
        <f>IF(OR(Z410&lt;=_Différé,Z410&gt;_NoEchMaxi),IF(_DiffTotal,-AE410,0),IF(Z410&gt;=_NoEchRemb,AD410,IF('Données Projet 1'!B419-(AE410*_EchFIXE)&gt;AD410-2,AD410,'Données Projet 1'!B419-(AE410*_EchFIXE))))+U410</f>
        <v>749</v>
      </c>
      <c r="AG410" s="154">
        <f t="shared" si="79"/>
        <v>19.77</v>
      </c>
      <c r="AH410" s="157">
        <f t="shared" si="73"/>
        <v>788.75</v>
      </c>
      <c r="AI410"/>
      <c r="AJ410" s="3"/>
      <c r="AK410" s="164"/>
      <c r="AL410" s="22"/>
      <c r="AM410" s="21"/>
      <c r="AN410" s="23"/>
      <c r="AO410" s="10"/>
      <c r="AP410" s="5" t="str">
        <f t="shared" si="80"/>
        <v/>
      </c>
      <c r="AQ410" s="7" t="str">
        <f t="shared" si="81"/>
        <v/>
      </c>
      <c r="AR410" s="8" t="str">
        <f t="shared" si="74"/>
        <v/>
      </c>
      <c r="AS410" s="31" t="str">
        <f>IF(AT410=0,"",IF(_Ijour1=0,MIN(DATE(YEAR(_DebAmort1),MONTH(_DebAmort1)+_MoisD1+(AP410-1)*_Imois1,__Jou2),DATE(YEAR(_DebAmort1),MONTH(_DebAmort1)+_MoisD1+1+(AP410-1)*_Imois1,0)),DATE(YEAR(_DebAmort1),MONTH(_DebAmort1),__Jou1+(AP410-1)*_Ijour1)))</f>
        <v/>
      </c>
      <c r="AT410" s="156">
        <f t="shared" si="82"/>
        <v>0</v>
      </c>
      <c r="AU410" s="153">
        <f>IF(AP410&lt;=_NoEchMaxi1,ROUND(AT410*'Données Projet 1'!H419,_NbDeci1),0)</f>
        <v>0</v>
      </c>
      <c r="AV410" s="152">
        <f>IF(OR(AP410&lt;=_Différé1,AP410&gt;_NoEchMaxi1),IF(_DiffTotal1,-AU410,0),IF(AP410&gt;=_NoEchRemb1,AT410,IF('Données Projet 1'!I419-(AU410*_EchFIXE1)&gt;AT410-2,AT410,'Données Projet 1'!I419-(AU410*_EchFIXE1))))+AK410</f>
        <v>0</v>
      </c>
      <c r="AW410" s="154">
        <f t="shared" si="83"/>
        <v>0</v>
      </c>
      <c r="AX410" s="157">
        <f t="shared" si="75"/>
        <v>0</v>
      </c>
    </row>
    <row r="411" spans="20:50" ht="15.75" customHeight="1" x14ac:dyDescent="0.3">
      <c r="T411" s="3"/>
      <c r="U411" s="164"/>
      <c r="V411" s="22"/>
      <c r="W411" s="21"/>
      <c r="X411" s="23"/>
      <c r="Y411" s="10"/>
      <c r="Z411" s="5">
        <f t="shared" si="76"/>
        <v>405</v>
      </c>
      <c r="AA411" s="7">
        <f t="shared" si="77"/>
        <v>16</v>
      </c>
      <c r="AB411" s="8">
        <f t="shared" si="72"/>
        <v>2042</v>
      </c>
      <c r="AC411" s="31">
        <f>IF(AD411=0,"",IF(_Ijour=0,MIN(DATE(YEAR(_DebAmort),MONTH(_DebAmort)+(Z411-1)*_Imois,_Jour1),DATE(YEAR(_DebAmort),MONTH(_DebAmort)+1+(Z411-1)*_Imois,0)),DATE(YEAR(_DebAmort),MONTH(_DebAmort),_Jour1+(Z411-1)*_Ijour)))</f>
        <v>52110</v>
      </c>
      <c r="AD411" s="156">
        <f t="shared" si="78"/>
        <v>12144.540000000106</v>
      </c>
      <c r="AE411" s="153">
        <f>IF(Z411&lt;=_NoEchMaxi,ROUND(AD411*'Données Projet 1'!A420,_NbDeci),0)</f>
        <v>18.82</v>
      </c>
      <c r="AF411" s="152">
        <f>IF(OR(Z411&lt;=_Différé,Z411&gt;_NoEchMaxi),IF(_DiffTotal,-AE411,0),IF(Z411&gt;=_NoEchRemb,AD411,IF('Données Projet 1'!B420-(AE411*_EchFIXE)&gt;AD411-2,AD411,'Données Projet 1'!B420-(AE411*_EchFIXE))))+U411</f>
        <v>750.16</v>
      </c>
      <c r="AG411" s="154">
        <f t="shared" si="79"/>
        <v>19.77</v>
      </c>
      <c r="AH411" s="157">
        <f t="shared" si="73"/>
        <v>788.75</v>
      </c>
      <c r="AI411"/>
      <c r="AJ411" s="3"/>
      <c r="AK411" s="164"/>
      <c r="AL411" s="22"/>
      <c r="AM411" s="21"/>
      <c r="AN411" s="23"/>
      <c r="AO411" s="10"/>
      <c r="AP411" s="5" t="str">
        <f t="shared" si="80"/>
        <v/>
      </c>
      <c r="AQ411" s="7" t="str">
        <f t="shared" si="81"/>
        <v/>
      </c>
      <c r="AR411" s="8" t="str">
        <f t="shared" si="74"/>
        <v/>
      </c>
      <c r="AS411" s="31" t="str">
        <f>IF(AT411=0,"",IF(_Ijour1=0,MIN(DATE(YEAR(_DebAmort1),MONTH(_DebAmort1)+(AP411-1)*_Imois1,__Jou1),DATE(YEAR(_DebAmort1),MONTH(_DebAmort1)+1+(AP411-1)*_Imois1,0)),DATE(YEAR(_DebAmort1),MONTH(_DebAmort1),__Jou1+(AP411-1)*_Ijour1)))</f>
        <v/>
      </c>
      <c r="AT411" s="156">
        <f t="shared" si="82"/>
        <v>0</v>
      </c>
      <c r="AU411" s="153">
        <f>IF(AP411&lt;=_NoEchMaxi1,ROUND(AT411*'Données Projet 1'!H420,_NbDeci1),0)</f>
        <v>0</v>
      </c>
      <c r="AV411" s="152">
        <f>IF(OR(AP411&lt;=_Différé1,AP411&gt;_NoEchMaxi1),IF(_DiffTotal1,-AU411,0),IF(AP411&gt;=_NoEchRemb1,AT411,IF('Données Projet 1'!I420-(AU411*_EchFIXE1)&gt;AT411-2,AT411,'Données Projet 1'!I420-(AU411*_EchFIXE1))))+AK411</f>
        <v>0</v>
      </c>
      <c r="AW411" s="154">
        <f t="shared" si="83"/>
        <v>0</v>
      </c>
      <c r="AX411" s="157">
        <f t="shared" si="75"/>
        <v>0</v>
      </c>
    </row>
    <row r="412" spans="20:50" ht="15.75" customHeight="1" x14ac:dyDescent="0.3">
      <c r="T412" s="3"/>
      <c r="U412" s="164"/>
      <c r="V412" s="22"/>
      <c r="W412" s="21"/>
      <c r="X412" s="23"/>
      <c r="Y412" s="10"/>
      <c r="Z412" s="5">
        <f t="shared" si="76"/>
        <v>406</v>
      </c>
      <c r="AA412" s="7">
        <f t="shared" si="77"/>
        <v>15</v>
      </c>
      <c r="AB412" s="8">
        <f t="shared" si="72"/>
        <v>2042</v>
      </c>
      <c r="AC412" s="31">
        <f>IF(AD412=0,"",IF(_Ijour=0,MIN(DATE(YEAR(_DebAmort),MONTH(_DebAmort)+_MoisD+(Z412-1)*_Imois,_Jour2),DATE(YEAR(_DebAmort),MONTH(_DebAmort)+_MoisD+1+(Z412-1)*_Imois,0)),DATE(YEAR(_DebAmort),MONTH(_DebAmort),_Jour1+(Z412-1)*_Ijour)))</f>
        <v>52140</v>
      </c>
      <c r="AD412" s="156">
        <f t="shared" si="78"/>
        <v>11394.380000000107</v>
      </c>
      <c r="AE412" s="153">
        <f>IF(Z412&lt;=_NoEchMaxi,ROUND(AD412*'Données Projet 1'!A421,_NbDeci),0)</f>
        <v>17.66</v>
      </c>
      <c r="AF412" s="152">
        <f>IF(OR(Z412&lt;=_Différé,Z412&gt;_NoEchMaxi),IF(_DiffTotal,-AE412,0),IF(Z412&gt;=_NoEchRemb,AD412,IF('Données Projet 1'!B421-(AE412*_EchFIXE)&gt;AD412-2,AD412,'Données Projet 1'!B421-(AE412*_EchFIXE))))+U412</f>
        <v>751.32</v>
      </c>
      <c r="AG412" s="154">
        <f t="shared" si="79"/>
        <v>19.77</v>
      </c>
      <c r="AH412" s="157">
        <f t="shared" si="73"/>
        <v>788.75</v>
      </c>
      <c r="AI412"/>
      <c r="AJ412" s="3"/>
      <c r="AK412" s="164"/>
      <c r="AL412" s="22"/>
      <c r="AM412" s="21"/>
      <c r="AN412" s="23"/>
      <c r="AO412" s="10"/>
      <c r="AP412" s="5" t="str">
        <f t="shared" si="80"/>
        <v/>
      </c>
      <c r="AQ412" s="7" t="str">
        <f t="shared" si="81"/>
        <v/>
      </c>
      <c r="AR412" s="8" t="str">
        <f t="shared" si="74"/>
        <v/>
      </c>
      <c r="AS412" s="31" t="str">
        <f>IF(AT412=0,"",IF(_Ijour1=0,MIN(DATE(YEAR(_DebAmort1),MONTH(_DebAmort1)+_MoisD1+(AP412-1)*_Imois1,__Jou2),DATE(YEAR(_DebAmort1),MONTH(_DebAmort1)+_MoisD1+1+(AP412-1)*_Imois1,0)),DATE(YEAR(_DebAmort1),MONTH(_DebAmort1),__Jou1+(AP412-1)*_Ijour1)))</f>
        <v/>
      </c>
      <c r="AT412" s="156">
        <f t="shared" si="82"/>
        <v>0</v>
      </c>
      <c r="AU412" s="153">
        <f>IF(AP412&lt;=_NoEchMaxi1,ROUND(AT412*'Données Projet 1'!H421,_NbDeci1),0)</f>
        <v>0</v>
      </c>
      <c r="AV412" s="152">
        <f>IF(OR(AP412&lt;=_Différé1,AP412&gt;_NoEchMaxi1),IF(_DiffTotal1,-AU412,0),IF(AP412&gt;=_NoEchRemb1,AT412,IF('Données Projet 1'!I421-(AU412*_EchFIXE1)&gt;AT412-2,AT412,'Données Projet 1'!I421-(AU412*_EchFIXE1))))+AK412</f>
        <v>0</v>
      </c>
      <c r="AW412" s="154">
        <f t="shared" si="83"/>
        <v>0</v>
      </c>
      <c r="AX412" s="157">
        <f t="shared" si="75"/>
        <v>0</v>
      </c>
    </row>
    <row r="413" spans="20:50" ht="15.75" customHeight="1" x14ac:dyDescent="0.3">
      <c r="T413" s="3"/>
      <c r="U413" s="164"/>
      <c r="V413" s="22"/>
      <c r="W413" s="21"/>
      <c r="X413" s="23"/>
      <c r="Y413" s="10"/>
      <c r="Z413" s="5">
        <f t="shared" si="76"/>
        <v>407</v>
      </c>
      <c r="AA413" s="7">
        <f t="shared" si="77"/>
        <v>14</v>
      </c>
      <c r="AB413" s="8">
        <f t="shared" si="72"/>
        <v>2042</v>
      </c>
      <c r="AC413" s="31">
        <f>IF(AD413=0,"",IF(_Ijour=0,MIN(DATE(YEAR(_DebAmort),MONTH(_DebAmort)+(Z413-1)*_Imois,_Jour1),DATE(YEAR(_DebAmort),MONTH(_DebAmort)+1+(Z413-1)*_Imois,0)),DATE(YEAR(_DebAmort),MONTH(_DebAmort),_Jour1+(Z413-1)*_Ijour)))</f>
        <v>52171</v>
      </c>
      <c r="AD413" s="156">
        <f t="shared" si="78"/>
        <v>10643.060000000107</v>
      </c>
      <c r="AE413" s="153">
        <f>IF(Z413&lt;=_NoEchMaxi,ROUND(AD413*'Données Projet 1'!A422,_NbDeci),0)</f>
        <v>16.5</v>
      </c>
      <c r="AF413" s="152">
        <f>IF(OR(Z413&lt;=_Différé,Z413&gt;_NoEchMaxi),IF(_DiffTotal,-AE413,0),IF(Z413&gt;=_NoEchRemb,AD413,IF('Données Projet 1'!B422-(AE413*_EchFIXE)&gt;AD413-2,AD413,'Données Projet 1'!B422-(AE413*_EchFIXE))))+U413</f>
        <v>752.48</v>
      </c>
      <c r="AG413" s="154">
        <f t="shared" si="79"/>
        <v>19.77</v>
      </c>
      <c r="AH413" s="157">
        <f t="shared" si="73"/>
        <v>788.75</v>
      </c>
      <c r="AI413"/>
      <c r="AJ413" s="3"/>
      <c r="AK413" s="164"/>
      <c r="AL413" s="22"/>
      <c r="AM413" s="21"/>
      <c r="AN413" s="23"/>
      <c r="AO413" s="10"/>
      <c r="AP413" s="5" t="str">
        <f t="shared" si="80"/>
        <v/>
      </c>
      <c r="AQ413" s="7" t="str">
        <f t="shared" si="81"/>
        <v/>
      </c>
      <c r="AR413" s="8" t="str">
        <f t="shared" si="74"/>
        <v/>
      </c>
      <c r="AS413" s="31" t="str">
        <f>IF(AT413=0,"",IF(_Ijour1=0,MIN(DATE(YEAR(_DebAmort1),MONTH(_DebAmort1)+(AP413-1)*_Imois1,__Jou1),DATE(YEAR(_DebAmort1),MONTH(_DebAmort1)+1+(AP413-1)*_Imois1,0)),DATE(YEAR(_DebAmort1),MONTH(_DebAmort1),__Jou1+(AP413-1)*_Ijour1)))</f>
        <v/>
      </c>
      <c r="AT413" s="156">
        <f t="shared" si="82"/>
        <v>0</v>
      </c>
      <c r="AU413" s="153">
        <f>IF(AP413&lt;=_NoEchMaxi1,ROUND(AT413*'Données Projet 1'!H422,_NbDeci1),0)</f>
        <v>0</v>
      </c>
      <c r="AV413" s="152">
        <f>IF(OR(AP413&lt;=_Différé1,AP413&gt;_NoEchMaxi1),IF(_DiffTotal1,-AU413,0),IF(AP413&gt;=_NoEchRemb1,AT413,IF('Données Projet 1'!I422-(AU413*_EchFIXE1)&gt;AT413-2,AT413,'Données Projet 1'!I422-(AU413*_EchFIXE1))))+AK413</f>
        <v>0</v>
      </c>
      <c r="AW413" s="154">
        <f t="shared" si="83"/>
        <v>0</v>
      </c>
      <c r="AX413" s="157">
        <f t="shared" si="75"/>
        <v>0</v>
      </c>
    </row>
    <row r="414" spans="20:50" ht="15.75" customHeight="1" x14ac:dyDescent="0.3">
      <c r="T414" s="3"/>
      <c r="U414" s="164"/>
      <c r="V414" s="22"/>
      <c r="W414" s="21"/>
      <c r="X414" s="23"/>
      <c r="Y414" s="10"/>
      <c r="Z414" s="5">
        <f t="shared" si="76"/>
        <v>408</v>
      </c>
      <c r="AA414" s="7">
        <f t="shared" si="77"/>
        <v>13</v>
      </c>
      <c r="AB414" s="8">
        <f t="shared" si="72"/>
        <v>2042</v>
      </c>
      <c r="AC414" s="31">
        <f>IF(AD414=0,"",IF(_Ijour=0,MIN(DATE(YEAR(_DebAmort),MONTH(_DebAmort)+_MoisD+(Z414-1)*_Imois,_Jour2),DATE(YEAR(_DebAmort),MONTH(_DebAmort)+_MoisD+1+(Z414-1)*_Imois,0)),DATE(YEAR(_DebAmort),MONTH(_DebAmort),_Jour1+(Z414-1)*_Ijour)))</f>
        <v>52201</v>
      </c>
      <c r="AD414" s="156">
        <f t="shared" si="78"/>
        <v>9890.5800000001072</v>
      </c>
      <c r="AE414" s="153">
        <f>IF(Z414&lt;=_NoEchMaxi,ROUND(AD414*'Données Projet 1'!A423,_NbDeci),0)</f>
        <v>15.33</v>
      </c>
      <c r="AF414" s="152">
        <f>IF(OR(Z414&lt;=_Différé,Z414&gt;_NoEchMaxi),IF(_DiffTotal,-AE414,0),IF(Z414&gt;=_NoEchRemb,AD414,IF('Données Projet 1'!B423-(AE414*_EchFIXE)&gt;AD414-2,AD414,'Données Projet 1'!B423-(AE414*_EchFIXE))))+U414</f>
        <v>753.65</v>
      </c>
      <c r="AG414" s="154">
        <f t="shared" si="79"/>
        <v>19.77</v>
      </c>
      <c r="AH414" s="157">
        <f t="shared" si="73"/>
        <v>788.75</v>
      </c>
      <c r="AI414"/>
      <c r="AJ414" s="3"/>
      <c r="AK414" s="164"/>
      <c r="AL414" s="22"/>
      <c r="AM414" s="21"/>
      <c r="AN414" s="23"/>
      <c r="AO414" s="10"/>
      <c r="AP414" s="5" t="str">
        <f t="shared" si="80"/>
        <v/>
      </c>
      <c r="AQ414" s="7" t="str">
        <f t="shared" si="81"/>
        <v/>
      </c>
      <c r="AR414" s="8" t="str">
        <f t="shared" si="74"/>
        <v/>
      </c>
      <c r="AS414" s="31" t="str">
        <f>IF(AT414=0,"",IF(_Ijour1=0,MIN(DATE(YEAR(_DebAmort1),MONTH(_DebAmort1)+_MoisD1+(AP414-1)*_Imois1,__Jou2),DATE(YEAR(_DebAmort1),MONTH(_DebAmort1)+_MoisD1+1+(AP414-1)*_Imois1,0)),DATE(YEAR(_DebAmort1),MONTH(_DebAmort1),__Jou1+(AP414-1)*_Ijour1)))</f>
        <v/>
      </c>
      <c r="AT414" s="156">
        <f t="shared" si="82"/>
        <v>0</v>
      </c>
      <c r="AU414" s="153">
        <f>IF(AP414&lt;=_NoEchMaxi1,ROUND(AT414*'Données Projet 1'!H423,_NbDeci1),0)</f>
        <v>0</v>
      </c>
      <c r="AV414" s="152">
        <f>IF(OR(AP414&lt;=_Différé1,AP414&gt;_NoEchMaxi1),IF(_DiffTotal1,-AU414,0),IF(AP414&gt;=_NoEchRemb1,AT414,IF('Données Projet 1'!I423-(AU414*_EchFIXE1)&gt;AT414-2,AT414,'Données Projet 1'!I423-(AU414*_EchFIXE1))))+AK414</f>
        <v>0</v>
      </c>
      <c r="AW414" s="154">
        <f t="shared" si="83"/>
        <v>0</v>
      </c>
      <c r="AX414" s="157">
        <f t="shared" si="75"/>
        <v>0</v>
      </c>
    </row>
    <row r="415" spans="20:50" ht="15.75" customHeight="1" x14ac:dyDescent="0.3">
      <c r="T415" s="3"/>
      <c r="U415" s="164"/>
      <c r="V415" s="22"/>
      <c r="W415" s="21"/>
      <c r="X415" s="23"/>
      <c r="Y415" s="10"/>
      <c r="Z415" s="5">
        <f t="shared" si="76"/>
        <v>409</v>
      </c>
      <c r="AA415" s="7">
        <f t="shared" si="77"/>
        <v>12</v>
      </c>
      <c r="AB415" s="8">
        <f t="shared" si="72"/>
        <v>2043</v>
      </c>
      <c r="AC415" s="31">
        <f>IF(AD415=0,"",IF(_Ijour=0,MIN(DATE(YEAR(_DebAmort),MONTH(_DebAmort)+(Z415-1)*_Imois,_Jour1),DATE(YEAR(_DebAmort),MONTH(_DebAmort)+1+(Z415-1)*_Imois,0)),DATE(YEAR(_DebAmort),MONTH(_DebAmort),_Jour1+(Z415-1)*_Ijour)))</f>
        <v>52232</v>
      </c>
      <c r="AD415" s="156">
        <f t="shared" si="78"/>
        <v>9136.9300000001076</v>
      </c>
      <c r="AE415" s="153">
        <f>IF(Z415&lt;=_NoEchMaxi,ROUND(AD415*'Données Projet 1'!A424,_NbDeci),0)</f>
        <v>14.16</v>
      </c>
      <c r="AF415" s="152">
        <f>IF(OR(Z415&lt;=_Différé,Z415&gt;_NoEchMaxi),IF(_DiffTotal,-AE415,0),IF(Z415&gt;=_NoEchRemb,AD415,IF('Données Projet 1'!B424-(AE415*_EchFIXE)&gt;AD415-2,AD415,'Données Projet 1'!B424-(AE415*_EchFIXE))))+U415</f>
        <v>754.82</v>
      </c>
      <c r="AG415" s="154">
        <f t="shared" si="79"/>
        <v>19.77</v>
      </c>
      <c r="AH415" s="157">
        <f t="shared" si="73"/>
        <v>788.75</v>
      </c>
      <c r="AI415"/>
      <c r="AJ415" s="3"/>
      <c r="AK415" s="164"/>
      <c r="AL415" s="22"/>
      <c r="AM415" s="21"/>
      <c r="AN415" s="23"/>
      <c r="AO415" s="10"/>
      <c r="AP415" s="5" t="str">
        <f t="shared" si="80"/>
        <v/>
      </c>
      <c r="AQ415" s="7" t="str">
        <f t="shared" si="81"/>
        <v/>
      </c>
      <c r="AR415" s="8" t="str">
        <f t="shared" si="74"/>
        <v/>
      </c>
      <c r="AS415" s="31" t="str">
        <f>IF(AT415=0,"",IF(_Ijour1=0,MIN(DATE(YEAR(_DebAmort1),MONTH(_DebAmort1)+(AP415-1)*_Imois1,__Jou1),DATE(YEAR(_DebAmort1),MONTH(_DebAmort1)+1+(AP415-1)*_Imois1,0)),DATE(YEAR(_DebAmort1),MONTH(_DebAmort1),__Jou1+(AP415-1)*_Ijour1)))</f>
        <v/>
      </c>
      <c r="AT415" s="156">
        <f t="shared" si="82"/>
        <v>0</v>
      </c>
      <c r="AU415" s="153">
        <f>IF(AP415&lt;=_NoEchMaxi1,ROUND(AT415*'Données Projet 1'!H424,_NbDeci1),0)</f>
        <v>0</v>
      </c>
      <c r="AV415" s="152">
        <f>IF(OR(AP415&lt;=_Différé1,AP415&gt;_NoEchMaxi1),IF(_DiffTotal1,-AU415,0),IF(AP415&gt;=_NoEchRemb1,AT415,IF('Données Projet 1'!I424-(AU415*_EchFIXE1)&gt;AT415-2,AT415,'Données Projet 1'!I424-(AU415*_EchFIXE1))))+AK415</f>
        <v>0</v>
      </c>
      <c r="AW415" s="154">
        <f t="shared" si="83"/>
        <v>0</v>
      </c>
      <c r="AX415" s="157">
        <f t="shared" si="75"/>
        <v>0</v>
      </c>
    </row>
    <row r="416" spans="20:50" ht="15.75" customHeight="1" x14ac:dyDescent="0.3">
      <c r="T416" s="3"/>
      <c r="U416" s="164"/>
      <c r="V416" s="22"/>
      <c r="W416" s="21"/>
      <c r="X416" s="23"/>
      <c r="Y416" s="10"/>
      <c r="Z416" s="5">
        <f t="shared" si="76"/>
        <v>410</v>
      </c>
      <c r="AA416" s="7">
        <f t="shared" si="77"/>
        <v>11</v>
      </c>
      <c r="AB416" s="8">
        <f t="shared" si="72"/>
        <v>2043</v>
      </c>
      <c r="AC416" s="31">
        <f>IF(AD416=0,"",IF(_Ijour=0,MIN(DATE(YEAR(_DebAmort),MONTH(_DebAmort)+_MoisD+(Z416-1)*_Imois,_Jour2),DATE(YEAR(_DebAmort),MONTH(_DebAmort)+_MoisD+1+(Z416-1)*_Imois,0)),DATE(YEAR(_DebAmort),MONTH(_DebAmort),_Jour1+(Z416-1)*_Ijour)))</f>
        <v>52263</v>
      </c>
      <c r="AD416" s="156">
        <f t="shared" si="78"/>
        <v>8382.1100000001079</v>
      </c>
      <c r="AE416" s="153">
        <f>IF(Z416&lt;=_NoEchMaxi,ROUND(AD416*'Données Projet 1'!A425,_NbDeci),0)</f>
        <v>12.99</v>
      </c>
      <c r="AF416" s="152">
        <f>IF(OR(Z416&lt;=_Différé,Z416&gt;_NoEchMaxi),IF(_DiffTotal,-AE416,0),IF(Z416&gt;=_NoEchRemb,AD416,IF('Données Projet 1'!B425-(AE416*_EchFIXE)&gt;AD416-2,AD416,'Données Projet 1'!B425-(AE416*_EchFIXE))))+U416</f>
        <v>755.99</v>
      </c>
      <c r="AG416" s="154">
        <f t="shared" si="79"/>
        <v>19.77</v>
      </c>
      <c r="AH416" s="157">
        <f t="shared" si="73"/>
        <v>788.75</v>
      </c>
      <c r="AI416"/>
      <c r="AJ416" s="3"/>
      <c r="AK416" s="164"/>
      <c r="AL416" s="22"/>
      <c r="AM416" s="21"/>
      <c r="AN416" s="23"/>
      <c r="AO416" s="10"/>
      <c r="AP416" s="5" t="str">
        <f t="shared" si="80"/>
        <v/>
      </c>
      <c r="AQ416" s="7" t="str">
        <f t="shared" si="81"/>
        <v/>
      </c>
      <c r="AR416" s="8" t="str">
        <f t="shared" si="74"/>
        <v/>
      </c>
      <c r="AS416" s="31" t="str">
        <f>IF(AT416=0,"",IF(_Ijour1=0,MIN(DATE(YEAR(_DebAmort1),MONTH(_DebAmort1)+_MoisD1+(AP416-1)*_Imois1,__Jou2),DATE(YEAR(_DebAmort1),MONTH(_DebAmort1)+_MoisD1+1+(AP416-1)*_Imois1,0)),DATE(YEAR(_DebAmort1),MONTH(_DebAmort1),__Jou1+(AP416-1)*_Ijour1)))</f>
        <v/>
      </c>
      <c r="AT416" s="156">
        <f t="shared" si="82"/>
        <v>0</v>
      </c>
      <c r="AU416" s="153">
        <f>IF(AP416&lt;=_NoEchMaxi1,ROUND(AT416*'Données Projet 1'!H425,_NbDeci1),0)</f>
        <v>0</v>
      </c>
      <c r="AV416" s="152">
        <f>IF(OR(AP416&lt;=_Différé1,AP416&gt;_NoEchMaxi1),IF(_DiffTotal1,-AU416,0),IF(AP416&gt;=_NoEchRemb1,AT416,IF('Données Projet 1'!I425-(AU416*_EchFIXE1)&gt;AT416-2,AT416,'Données Projet 1'!I425-(AU416*_EchFIXE1))))+AK416</f>
        <v>0</v>
      </c>
      <c r="AW416" s="154">
        <f t="shared" si="83"/>
        <v>0</v>
      </c>
      <c r="AX416" s="157">
        <f t="shared" si="75"/>
        <v>0</v>
      </c>
    </row>
    <row r="417" spans="20:50" ht="15.75" customHeight="1" x14ac:dyDescent="0.3">
      <c r="T417" s="3"/>
      <c r="U417" s="164"/>
      <c r="V417" s="22"/>
      <c r="W417" s="21"/>
      <c r="X417" s="23"/>
      <c r="Y417" s="10"/>
      <c r="Z417" s="5">
        <f t="shared" si="76"/>
        <v>411</v>
      </c>
      <c r="AA417" s="7">
        <f t="shared" si="77"/>
        <v>10</v>
      </c>
      <c r="AB417" s="8">
        <f t="shared" si="72"/>
        <v>2043</v>
      </c>
      <c r="AC417" s="31">
        <f>IF(AD417=0,"",IF(_Ijour=0,MIN(DATE(YEAR(_DebAmort),MONTH(_DebAmort)+(Z417-1)*_Imois,_Jour1),DATE(YEAR(_DebAmort),MONTH(_DebAmort)+1+(Z417-1)*_Imois,0)),DATE(YEAR(_DebAmort),MONTH(_DebAmort),_Jour1+(Z417-1)*_Ijour)))</f>
        <v>52291</v>
      </c>
      <c r="AD417" s="156">
        <f t="shared" si="78"/>
        <v>7626.1200000001081</v>
      </c>
      <c r="AE417" s="153">
        <f>IF(Z417&lt;=_NoEchMaxi,ROUND(AD417*'Données Projet 1'!A426,_NbDeci),0)</f>
        <v>11.82</v>
      </c>
      <c r="AF417" s="152">
        <f>IF(OR(Z417&lt;=_Différé,Z417&gt;_NoEchMaxi),IF(_DiffTotal,-AE417,0),IF(Z417&gt;=_NoEchRemb,AD417,IF('Données Projet 1'!B426-(AE417*_EchFIXE)&gt;AD417-2,AD417,'Données Projet 1'!B426-(AE417*_EchFIXE))))+U417</f>
        <v>757.16</v>
      </c>
      <c r="AG417" s="154">
        <f t="shared" si="79"/>
        <v>19.77</v>
      </c>
      <c r="AH417" s="157">
        <f t="shared" si="73"/>
        <v>788.75</v>
      </c>
      <c r="AI417"/>
      <c r="AJ417" s="3"/>
      <c r="AK417" s="164"/>
      <c r="AL417" s="22"/>
      <c r="AM417" s="21"/>
      <c r="AN417" s="23"/>
      <c r="AO417" s="10"/>
      <c r="AP417" s="5" t="str">
        <f t="shared" si="80"/>
        <v/>
      </c>
      <c r="AQ417" s="7" t="str">
        <f t="shared" si="81"/>
        <v/>
      </c>
      <c r="AR417" s="8" t="str">
        <f t="shared" si="74"/>
        <v/>
      </c>
      <c r="AS417" s="31" t="str">
        <f>IF(AT417=0,"",IF(_Ijour1=0,MIN(DATE(YEAR(_DebAmort1),MONTH(_DebAmort1)+(AP417-1)*_Imois1,__Jou1),DATE(YEAR(_DebAmort1),MONTH(_DebAmort1)+1+(AP417-1)*_Imois1,0)),DATE(YEAR(_DebAmort1),MONTH(_DebAmort1),__Jou1+(AP417-1)*_Ijour1)))</f>
        <v/>
      </c>
      <c r="AT417" s="156">
        <f t="shared" si="82"/>
        <v>0</v>
      </c>
      <c r="AU417" s="153">
        <f>IF(AP417&lt;=_NoEchMaxi1,ROUND(AT417*'Données Projet 1'!H426,_NbDeci1),0)</f>
        <v>0</v>
      </c>
      <c r="AV417" s="152">
        <f>IF(OR(AP417&lt;=_Différé1,AP417&gt;_NoEchMaxi1),IF(_DiffTotal1,-AU417,0),IF(AP417&gt;=_NoEchRemb1,AT417,IF('Données Projet 1'!I426-(AU417*_EchFIXE1)&gt;AT417-2,AT417,'Données Projet 1'!I426-(AU417*_EchFIXE1))))+AK417</f>
        <v>0</v>
      </c>
      <c r="AW417" s="154">
        <f t="shared" si="83"/>
        <v>0</v>
      </c>
      <c r="AX417" s="157">
        <f t="shared" si="75"/>
        <v>0</v>
      </c>
    </row>
    <row r="418" spans="20:50" ht="15.75" customHeight="1" x14ac:dyDescent="0.3">
      <c r="T418" s="3"/>
      <c r="U418" s="164"/>
      <c r="V418" s="22"/>
      <c r="W418" s="21"/>
      <c r="X418" s="23"/>
      <c r="Y418" s="10"/>
      <c r="Z418" s="5">
        <f t="shared" si="76"/>
        <v>412</v>
      </c>
      <c r="AA418" s="7">
        <f t="shared" si="77"/>
        <v>9</v>
      </c>
      <c r="AB418" s="8">
        <f t="shared" si="72"/>
        <v>2043</v>
      </c>
      <c r="AC418" s="31">
        <f>IF(AD418=0,"",IF(_Ijour=0,MIN(DATE(YEAR(_DebAmort),MONTH(_DebAmort)+_MoisD+(Z418-1)*_Imois,_Jour2),DATE(YEAR(_DebAmort),MONTH(_DebAmort)+_MoisD+1+(Z418-1)*_Imois,0)),DATE(YEAR(_DebAmort),MONTH(_DebAmort),_Jour1+(Z418-1)*_Ijour)))</f>
        <v>52322</v>
      </c>
      <c r="AD418" s="156">
        <f t="shared" si="78"/>
        <v>6868.9600000001083</v>
      </c>
      <c r="AE418" s="153">
        <f>IF(Z418&lt;=_NoEchMaxi,ROUND(AD418*'Données Projet 1'!A427,_NbDeci),0)</f>
        <v>10.65</v>
      </c>
      <c r="AF418" s="152">
        <f>IF(OR(Z418&lt;=_Différé,Z418&gt;_NoEchMaxi),IF(_DiffTotal,-AE418,0),IF(Z418&gt;=_NoEchRemb,AD418,IF('Données Projet 1'!B427-(AE418*_EchFIXE)&gt;AD418-2,AD418,'Données Projet 1'!B427-(AE418*_EchFIXE))))+U418</f>
        <v>758.33</v>
      </c>
      <c r="AG418" s="154">
        <f t="shared" si="79"/>
        <v>19.77</v>
      </c>
      <c r="AH418" s="157">
        <f t="shared" si="73"/>
        <v>788.75</v>
      </c>
      <c r="AI418"/>
      <c r="AJ418" s="3"/>
      <c r="AK418" s="164"/>
      <c r="AL418" s="22"/>
      <c r="AM418" s="21"/>
      <c r="AN418" s="23"/>
      <c r="AO418" s="10"/>
      <c r="AP418" s="5" t="str">
        <f t="shared" si="80"/>
        <v/>
      </c>
      <c r="AQ418" s="7" t="str">
        <f t="shared" si="81"/>
        <v/>
      </c>
      <c r="AR418" s="8" t="str">
        <f t="shared" si="74"/>
        <v/>
      </c>
      <c r="AS418" s="31" t="str">
        <f>IF(AT418=0,"",IF(_Ijour1=0,MIN(DATE(YEAR(_DebAmort1),MONTH(_DebAmort1)+_MoisD1+(AP418-1)*_Imois1,__Jou2),DATE(YEAR(_DebAmort1),MONTH(_DebAmort1)+_MoisD1+1+(AP418-1)*_Imois1,0)),DATE(YEAR(_DebAmort1),MONTH(_DebAmort1),__Jou1+(AP418-1)*_Ijour1)))</f>
        <v/>
      </c>
      <c r="AT418" s="156">
        <f t="shared" si="82"/>
        <v>0</v>
      </c>
      <c r="AU418" s="153">
        <f>IF(AP418&lt;=_NoEchMaxi1,ROUND(AT418*'Données Projet 1'!H427,_NbDeci1),0)</f>
        <v>0</v>
      </c>
      <c r="AV418" s="152">
        <f>IF(OR(AP418&lt;=_Différé1,AP418&gt;_NoEchMaxi1),IF(_DiffTotal1,-AU418,0),IF(AP418&gt;=_NoEchRemb1,AT418,IF('Données Projet 1'!I427-(AU418*_EchFIXE1)&gt;AT418-2,AT418,'Données Projet 1'!I427-(AU418*_EchFIXE1))))+AK418</f>
        <v>0</v>
      </c>
      <c r="AW418" s="154">
        <f t="shared" si="83"/>
        <v>0</v>
      </c>
      <c r="AX418" s="157">
        <f t="shared" si="75"/>
        <v>0</v>
      </c>
    </row>
    <row r="419" spans="20:50" ht="15.75" customHeight="1" x14ac:dyDescent="0.3">
      <c r="T419" s="3"/>
      <c r="U419" s="164"/>
      <c r="V419" s="22"/>
      <c r="W419" s="21"/>
      <c r="X419" s="23"/>
      <c r="Y419" s="10"/>
      <c r="Z419" s="5">
        <f t="shared" si="76"/>
        <v>413</v>
      </c>
      <c r="AA419" s="7">
        <f t="shared" si="77"/>
        <v>8</v>
      </c>
      <c r="AB419" s="8">
        <f t="shared" si="72"/>
        <v>2043</v>
      </c>
      <c r="AC419" s="31">
        <f>IF(AD419=0,"",IF(_Ijour=0,MIN(DATE(YEAR(_DebAmort),MONTH(_DebAmort)+(Z419-1)*_Imois,_Jour1),DATE(YEAR(_DebAmort),MONTH(_DebAmort)+1+(Z419-1)*_Imois,0)),DATE(YEAR(_DebAmort),MONTH(_DebAmort),_Jour1+(Z419-1)*_Ijour)))</f>
        <v>52352</v>
      </c>
      <c r="AD419" s="156">
        <f t="shared" si="78"/>
        <v>6110.6300000001083</v>
      </c>
      <c r="AE419" s="153">
        <f>IF(Z419&lt;=_NoEchMaxi,ROUND(AD419*'Données Projet 1'!A428,_NbDeci),0)</f>
        <v>9.4700000000000006</v>
      </c>
      <c r="AF419" s="152">
        <f>IF(OR(Z419&lt;=_Différé,Z419&gt;_NoEchMaxi),IF(_DiffTotal,-AE419,0),IF(Z419&gt;=_NoEchRemb,AD419,IF('Données Projet 1'!B428-(AE419*_EchFIXE)&gt;AD419-2,AD419,'Données Projet 1'!B428-(AE419*_EchFIXE))))+U419</f>
        <v>759.51</v>
      </c>
      <c r="AG419" s="154">
        <f t="shared" si="79"/>
        <v>19.77</v>
      </c>
      <c r="AH419" s="157">
        <f t="shared" si="73"/>
        <v>788.75</v>
      </c>
      <c r="AI419"/>
      <c r="AJ419" s="3"/>
      <c r="AK419" s="164"/>
      <c r="AL419" s="22"/>
      <c r="AM419" s="21"/>
      <c r="AN419" s="23"/>
      <c r="AO419" s="10"/>
      <c r="AP419" s="5" t="str">
        <f t="shared" si="80"/>
        <v/>
      </c>
      <c r="AQ419" s="7" t="str">
        <f t="shared" si="81"/>
        <v/>
      </c>
      <c r="AR419" s="8" t="str">
        <f t="shared" si="74"/>
        <v/>
      </c>
      <c r="AS419" s="31" t="str">
        <f>IF(AT419=0,"",IF(_Ijour1=0,MIN(DATE(YEAR(_DebAmort1),MONTH(_DebAmort1)+(AP419-1)*_Imois1,__Jou1),DATE(YEAR(_DebAmort1),MONTH(_DebAmort1)+1+(AP419-1)*_Imois1,0)),DATE(YEAR(_DebAmort1),MONTH(_DebAmort1),__Jou1+(AP419-1)*_Ijour1)))</f>
        <v/>
      </c>
      <c r="AT419" s="156">
        <f t="shared" si="82"/>
        <v>0</v>
      </c>
      <c r="AU419" s="153">
        <f>IF(AP419&lt;=_NoEchMaxi1,ROUND(AT419*'Données Projet 1'!H428,_NbDeci1),0)</f>
        <v>0</v>
      </c>
      <c r="AV419" s="152">
        <f>IF(OR(AP419&lt;=_Différé1,AP419&gt;_NoEchMaxi1),IF(_DiffTotal1,-AU419,0),IF(AP419&gt;=_NoEchRemb1,AT419,IF('Données Projet 1'!I428-(AU419*_EchFIXE1)&gt;AT419-2,AT419,'Données Projet 1'!I428-(AU419*_EchFIXE1))))+AK419</f>
        <v>0</v>
      </c>
      <c r="AW419" s="154">
        <f t="shared" si="83"/>
        <v>0</v>
      </c>
      <c r="AX419" s="157">
        <f t="shared" si="75"/>
        <v>0</v>
      </c>
    </row>
    <row r="420" spans="20:50" ht="15.75" customHeight="1" x14ac:dyDescent="0.3">
      <c r="T420" s="3"/>
      <c r="U420" s="164"/>
      <c r="V420" s="22"/>
      <c r="W420" s="21"/>
      <c r="X420" s="23"/>
      <c r="Y420" s="10"/>
      <c r="Z420" s="5">
        <f t="shared" si="76"/>
        <v>414</v>
      </c>
      <c r="AA420" s="7">
        <f t="shared" si="77"/>
        <v>7</v>
      </c>
      <c r="AB420" s="8">
        <f t="shared" si="72"/>
        <v>2043</v>
      </c>
      <c r="AC420" s="31">
        <f>IF(AD420=0,"",IF(_Ijour=0,MIN(DATE(YEAR(_DebAmort),MONTH(_DebAmort)+_MoisD+(Z420-1)*_Imois,_Jour2),DATE(YEAR(_DebAmort),MONTH(_DebAmort)+_MoisD+1+(Z420-1)*_Imois,0)),DATE(YEAR(_DebAmort),MONTH(_DebAmort),_Jour1+(Z420-1)*_Ijour)))</f>
        <v>52383</v>
      </c>
      <c r="AD420" s="156">
        <f t="shared" si="78"/>
        <v>5351.1200000001081</v>
      </c>
      <c r="AE420" s="153">
        <f>IF(Z420&lt;=_NoEchMaxi,ROUND(AD420*'Données Projet 1'!A429,_NbDeci),0)</f>
        <v>8.2899999999999991</v>
      </c>
      <c r="AF420" s="152">
        <f>IF(OR(Z420&lt;=_Différé,Z420&gt;_NoEchMaxi),IF(_DiffTotal,-AE420,0),IF(Z420&gt;=_NoEchRemb,AD420,IF('Données Projet 1'!B429-(AE420*_EchFIXE)&gt;AD420-2,AD420,'Données Projet 1'!B429-(AE420*_EchFIXE))))+U420</f>
        <v>760.69</v>
      </c>
      <c r="AG420" s="154">
        <f t="shared" si="79"/>
        <v>19.77</v>
      </c>
      <c r="AH420" s="157">
        <f t="shared" si="73"/>
        <v>788.75</v>
      </c>
      <c r="AI420"/>
      <c r="AJ420" s="3"/>
      <c r="AK420" s="164"/>
      <c r="AL420" s="22"/>
      <c r="AM420" s="21"/>
      <c r="AN420" s="23"/>
      <c r="AO420" s="10"/>
      <c r="AP420" s="5" t="str">
        <f t="shared" si="80"/>
        <v/>
      </c>
      <c r="AQ420" s="7" t="str">
        <f t="shared" si="81"/>
        <v/>
      </c>
      <c r="AR420" s="8" t="str">
        <f t="shared" si="74"/>
        <v/>
      </c>
      <c r="AS420" s="31" t="str">
        <f>IF(AT420=0,"",IF(_Ijour1=0,MIN(DATE(YEAR(_DebAmort1),MONTH(_DebAmort1)+_MoisD1+(AP420-1)*_Imois1,__Jou2),DATE(YEAR(_DebAmort1),MONTH(_DebAmort1)+_MoisD1+1+(AP420-1)*_Imois1,0)),DATE(YEAR(_DebAmort1),MONTH(_DebAmort1),__Jou1+(AP420-1)*_Ijour1)))</f>
        <v/>
      </c>
      <c r="AT420" s="156">
        <f t="shared" si="82"/>
        <v>0</v>
      </c>
      <c r="AU420" s="153">
        <f>IF(AP420&lt;=_NoEchMaxi1,ROUND(AT420*'Données Projet 1'!H429,_NbDeci1),0)</f>
        <v>0</v>
      </c>
      <c r="AV420" s="152">
        <f>IF(OR(AP420&lt;=_Différé1,AP420&gt;_NoEchMaxi1),IF(_DiffTotal1,-AU420,0),IF(AP420&gt;=_NoEchRemb1,AT420,IF('Données Projet 1'!I429-(AU420*_EchFIXE1)&gt;AT420-2,AT420,'Données Projet 1'!I429-(AU420*_EchFIXE1))))+AK420</f>
        <v>0</v>
      </c>
      <c r="AW420" s="154">
        <f t="shared" si="83"/>
        <v>0</v>
      </c>
      <c r="AX420" s="157">
        <f t="shared" si="75"/>
        <v>0</v>
      </c>
    </row>
    <row r="421" spans="20:50" ht="15.75" customHeight="1" x14ac:dyDescent="0.3">
      <c r="T421" s="3"/>
      <c r="U421" s="164"/>
      <c r="V421" s="22"/>
      <c r="W421" s="21"/>
      <c r="X421" s="23"/>
      <c r="Y421" s="10"/>
      <c r="Z421" s="5">
        <f t="shared" si="76"/>
        <v>415</v>
      </c>
      <c r="AA421" s="7">
        <f t="shared" si="77"/>
        <v>6</v>
      </c>
      <c r="AB421" s="8">
        <f t="shared" si="72"/>
        <v>2043</v>
      </c>
      <c r="AC421" s="31">
        <f>IF(AD421=0,"",IF(_Ijour=0,MIN(DATE(YEAR(_DebAmort),MONTH(_DebAmort)+(Z421-1)*_Imois,_Jour1),DATE(YEAR(_DebAmort),MONTH(_DebAmort)+1+(Z421-1)*_Imois,0)),DATE(YEAR(_DebAmort),MONTH(_DebAmort),_Jour1+(Z421-1)*_Ijour)))</f>
        <v>52413</v>
      </c>
      <c r="AD421" s="156">
        <f t="shared" si="78"/>
        <v>4590.4300000001076</v>
      </c>
      <c r="AE421" s="153">
        <f>IF(Z421&lt;=_NoEchMaxi,ROUND(AD421*'Données Projet 1'!A430,_NbDeci),0)</f>
        <v>7.12</v>
      </c>
      <c r="AF421" s="152">
        <f>IF(OR(Z421&lt;=_Différé,Z421&gt;_NoEchMaxi),IF(_DiffTotal,-AE421,0),IF(Z421&gt;=_NoEchRemb,AD421,IF('Données Projet 1'!B430-(AE421*_EchFIXE)&gt;AD421-2,AD421,'Données Projet 1'!B430-(AE421*_EchFIXE))))+U421</f>
        <v>761.86</v>
      </c>
      <c r="AG421" s="154">
        <f t="shared" si="79"/>
        <v>19.77</v>
      </c>
      <c r="AH421" s="157">
        <f t="shared" si="73"/>
        <v>788.75</v>
      </c>
      <c r="AI421"/>
      <c r="AJ421" s="3"/>
      <c r="AK421" s="164"/>
      <c r="AL421" s="22"/>
      <c r="AM421" s="21"/>
      <c r="AN421" s="23"/>
      <c r="AO421" s="10"/>
      <c r="AP421" s="5" t="str">
        <f t="shared" si="80"/>
        <v/>
      </c>
      <c r="AQ421" s="7" t="str">
        <f t="shared" si="81"/>
        <v/>
      </c>
      <c r="AR421" s="8" t="str">
        <f t="shared" si="74"/>
        <v/>
      </c>
      <c r="AS421" s="31" t="str">
        <f>IF(AT421=0,"",IF(_Ijour1=0,MIN(DATE(YEAR(_DebAmort1),MONTH(_DebAmort1)+(AP421-1)*_Imois1,__Jou1),DATE(YEAR(_DebAmort1),MONTH(_DebAmort1)+1+(AP421-1)*_Imois1,0)),DATE(YEAR(_DebAmort1),MONTH(_DebAmort1),__Jou1+(AP421-1)*_Ijour1)))</f>
        <v/>
      </c>
      <c r="AT421" s="156">
        <f t="shared" si="82"/>
        <v>0</v>
      </c>
      <c r="AU421" s="153">
        <f>IF(AP421&lt;=_NoEchMaxi1,ROUND(AT421*'Données Projet 1'!H430,_NbDeci1),0)</f>
        <v>0</v>
      </c>
      <c r="AV421" s="152">
        <f>IF(OR(AP421&lt;=_Différé1,AP421&gt;_NoEchMaxi1),IF(_DiffTotal1,-AU421,0),IF(AP421&gt;=_NoEchRemb1,AT421,IF('Données Projet 1'!I430-(AU421*_EchFIXE1)&gt;AT421-2,AT421,'Données Projet 1'!I430-(AU421*_EchFIXE1))))+AK421</f>
        <v>0</v>
      </c>
      <c r="AW421" s="154">
        <f t="shared" si="83"/>
        <v>0</v>
      </c>
      <c r="AX421" s="157">
        <f t="shared" si="75"/>
        <v>0</v>
      </c>
    </row>
    <row r="422" spans="20:50" ht="15.75" customHeight="1" x14ac:dyDescent="0.3">
      <c r="T422" s="3"/>
      <c r="U422" s="164"/>
      <c r="V422" s="22"/>
      <c r="W422" s="21"/>
      <c r="X422" s="23"/>
      <c r="Y422" s="10"/>
      <c r="Z422" s="5">
        <f t="shared" si="76"/>
        <v>416</v>
      </c>
      <c r="AA422" s="7">
        <f t="shared" si="77"/>
        <v>5</v>
      </c>
      <c r="AB422" s="8">
        <f t="shared" si="72"/>
        <v>2043</v>
      </c>
      <c r="AC422" s="31">
        <f>IF(AD422=0,"",IF(_Ijour=0,MIN(DATE(YEAR(_DebAmort),MONTH(_DebAmort)+_MoisD+(Z422-1)*_Imois,_Jour2),DATE(YEAR(_DebAmort),MONTH(_DebAmort)+_MoisD+1+(Z422-1)*_Imois,0)),DATE(YEAR(_DebAmort),MONTH(_DebAmort),_Jour1+(Z422-1)*_Ijour)))</f>
        <v>52444</v>
      </c>
      <c r="AD422" s="156">
        <f t="shared" si="78"/>
        <v>3828.5700000001075</v>
      </c>
      <c r="AE422" s="153">
        <f>IF(Z422&lt;=_NoEchMaxi,ROUND(AD422*'Données Projet 1'!A431,_NbDeci),0)</f>
        <v>5.93</v>
      </c>
      <c r="AF422" s="152">
        <f>IF(OR(Z422&lt;=_Différé,Z422&gt;_NoEchMaxi),IF(_DiffTotal,-AE422,0),IF(Z422&gt;=_NoEchRemb,AD422,IF('Données Projet 1'!B431-(AE422*_EchFIXE)&gt;AD422-2,AD422,'Données Projet 1'!B431-(AE422*_EchFIXE))))+U422</f>
        <v>763.05000000000007</v>
      </c>
      <c r="AG422" s="154">
        <f t="shared" si="79"/>
        <v>19.77</v>
      </c>
      <c r="AH422" s="157">
        <f t="shared" si="73"/>
        <v>788.75</v>
      </c>
      <c r="AI422"/>
      <c r="AJ422" s="3"/>
      <c r="AK422" s="164"/>
      <c r="AL422" s="22"/>
      <c r="AM422" s="21"/>
      <c r="AN422" s="23"/>
      <c r="AO422" s="10"/>
      <c r="AP422" s="5" t="str">
        <f t="shared" si="80"/>
        <v/>
      </c>
      <c r="AQ422" s="7" t="str">
        <f t="shared" si="81"/>
        <v/>
      </c>
      <c r="AR422" s="8" t="str">
        <f t="shared" si="74"/>
        <v/>
      </c>
      <c r="AS422" s="31" t="str">
        <f>IF(AT422=0,"",IF(_Ijour1=0,MIN(DATE(YEAR(_DebAmort1),MONTH(_DebAmort1)+_MoisD1+(AP422-1)*_Imois1,__Jou2),DATE(YEAR(_DebAmort1),MONTH(_DebAmort1)+_MoisD1+1+(AP422-1)*_Imois1,0)),DATE(YEAR(_DebAmort1),MONTH(_DebAmort1),__Jou1+(AP422-1)*_Ijour1)))</f>
        <v/>
      </c>
      <c r="AT422" s="156">
        <f t="shared" si="82"/>
        <v>0</v>
      </c>
      <c r="AU422" s="153">
        <f>IF(AP422&lt;=_NoEchMaxi1,ROUND(AT422*'Données Projet 1'!H431,_NbDeci1),0)</f>
        <v>0</v>
      </c>
      <c r="AV422" s="152">
        <f>IF(OR(AP422&lt;=_Différé1,AP422&gt;_NoEchMaxi1),IF(_DiffTotal1,-AU422,0),IF(AP422&gt;=_NoEchRemb1,AT422,IF('Données Projet 1'!I431-(AU422*_EchFIXE1)&gt;AT422-2,AT422,'Données Projet 1'!I431-(AU422*_EchFIXE1))))+AK422</f>
        <v>0</v>
      </c>
      <c r="AW422" s="154">
        <f t="shared" si="83"/>
        <v>0</v>
      </c>
      <c r="AX422" s="157">
        <f t="shared" si="75"/>
        <v>0</v>
      </c>
    </row>
    <row r="423" spans="20:50" ht="15.75" customHeight="1" x14ac:dyDescent="0.3">
      <c r="T423" s="3"/>
      <c r="U423" s="164"/>
      <c r="V423" s="22"/>
      <c r="W423" s="21"/>
      <c r="X423" s="23"/>
      <c r="Y423" s="10"/>
      <c r="Z423" s="5">
        <f t="shared" si="76"/>
        <v>417</v>
      </c>
      <c r="AA423" s="7">
        <f t="shared" si="77"/>
        <v>4</v>
      </c>
      <c r="AB423" s="8">
        <f t="shared" si="72"/>
        <v>2043</v>
      </c>
      <c r="AC423" s="31">
        <f>IF(AD423=0,"",IF(_Ijour=0,MIN(DATE(YEAR(_DebAmort),MONTH(_DebAmort)+(Z423-1)*_Imois,_Jour1),DATE(YEAR(_DebAmort),MONTH(_DebAmort)+1+(Z423-1)*_Imois,0)),DATE(YEAR(_DebAmort),MONTH(_DebAmort),_Jour1+(Z423-1)*_Ijour)))</f>
        <v>52475</v>
      </c>
      <c r="AD423" s="156">
        <f t="shared" si="78"/>
        <v>3065.5200000001073</v>
      </c>
      <c r="AE423" s="153">
        <f>IF(Z423&lt;=_NoEchMaxi,ROUND(AD423*'Données Projet 1'!A432,_NbDeci),0)</f>
        <v>4.75</v>
      </c>
      <c r="AF423" s="152">
        <f>IF(OR(Z423&lt;=_Différé,Z423&gt;_NoEchMaxi),IF(_DiffTotal,-AE423,0),IF(Z423&gt;=_NoEchRemb,AD423,IF('Données Projet 1'!B432-(AE423*_EchFIXE)&gt;AD423-2,AD423,'Données Projet 1'!B432-(AE423*_EchFIXE))))+U423</f>
        <v>764.23</v>
      </c>
      <c r="AG423" s="154">
        <f t="shared" si="79"/>
        <v>19.77</v>
      </c>
      <c r="AH423" s="157">
        <f t="shared" si="73"/>
        <v>788.75</v>
      </c>
      <c r="AI423"/>
      <c r="AJ423" s="3"/>
      <c r="AK423" s="164"/>
      <c r="AL423" s="22"/>
      <c r="AM423" s="21"/>
      <c r="AN423" s="23"/>
      <c r="AO423" s="10"/>
      <c r="AP423" s="5" t="str">
        <f t="shared" si="80"/>
        <v/>
      </c>
      <c r="AQ423" s="7" t="str">
        <f t="shared" si="81"/>
        <v/>
      </c>
      <c r="AR423" s="8" t="str">
        <f t="shared" si="74"/>
        <v/>
      </c>
      <c r="AS423" s="31" t="str">
        <f>IF(AT423=0,"",IF(_Ijour1=0,MIN(DATE(YEAR(_DebAmort1),MONTH(_DebAmort1)+(AP423-1)*_Imois1,__Jou1),DATE(YEAR(_DebAmort1),MONTH(_DebAmort1)+1+(AP423-1)*_Imois1,0)),DATE(YEAR(_DebAmort1),MONTH(_DebAmort1),__Jou1+(AP423-1)*_Ijour1)))</f>
        <v/>
      </c>
      <c r="AT423" s="156">
        <f t="shared" si="82"/>
        <v>0</v>
      </c>
      <c r="AU423" s="153">
        <f>IF(AP423&lt;=_NoEchMaxi1,ROUND(AT423*'Données Projet 1'!H432,_NbDeci1),0)</f>
        <v>0</v>
      </c>
      <c r="AV423" s="152">
        <f>IF(OR(AP423&lt;=_Différé1,AP423&gt;_NoEchMaxi1),IF(_DiffTotal1,-AU423,0),IF(AP423&gt;=_NoEchRemb1,AT423,IF('Données Projet 1'!I432-(AU423*_EchFIXE1)&gt;AT423-2,AT423,'Données Projet 1'!I432-(AU423*_EchFIXE1))))+AK423</f>
        <v>0</v>
      </c>
      <c r="AW423" s="154">
        <f t="shared" si="83"/>
        <v>0</v>
      </c>
      <c r="AX423" s="157">
        <f t="shared" si="75"/>
        <v>0</v>
      </c>
    </row>
    <row r="424" spans="20:50" ht="15.75" customHeight="1" x14ac:dyDescent="0.3">
      <c r="T424" s="3"/>
      <c r="U424" s="164"/>
      <c r="V424" s="22"/>
      <c r="W424" s="21"/>
      <c r="X424" s="23"/>
      <c r="Y424" s="10"/>
      <c r="Z424" s="5">
        <f t="shared" si="76"/>
        <v>418</v>
      </c>
      <c r="AA424" s="7">
        <f t="shared" si="77"/>
        <v>3</v>
      </c>
      <c r="AB424" s="8">
        <f t="shared" si="72"/>
        <v>2043</v>
      </c>
      <c r="AC424" s="31">
        <f>IF(AD424=0,"",IF(_Ijour=0,MIN(DATE(YEAR(_DebAmort),MONTH(_DebAmort)+_MoisD+(Z424-1)*_Imois,_Jour2),DATE(YEAR(_DebAmort),MONTH(_DebAmort)+_MoisD+1+(Z424-1)*_Imois,0)),DATE(YEAR(_DebAmort),MONTH(_DebAmort),_Jour1+(Z424-1)*_Ijour)))</f>
        <v>52505</v>
      </c>
      <c r="AD424" s="156">
        <f t="shared" si="78"/>
        <v>2301.2900000001073</v>
      </c>
      <c r="AE424" s="153">
        <f>IF(Z424&lt;=_NoEchMaxi,ROUND(AD424*'Données Projet 1'!A433,_NbDeci),0)</f>
        <v>3.57</v>
      </c>
      <c r="AF424" s="152">
        <f>IF(OR(Z424&lt;=_Différé,Z424&gt;_NoEchMaxi),IF(_DiffTotal,-AE424,0),IF(Z424&gt;=_NoEchRemb,AD424,IF('Données Projet 1'!B433-(AE424*_EchFIXE)&gt;AD424-2,AD424,'Données Projet 1'!B433-(AE424*_EchFIXE))))+U424</f>
        <v>765.41</v>
      </c>
      <c r="AG424" s="154">
        <f t="shared" si="79"/>
        <v>19.77</v>
      </c>
      <c r="AH424" s="157">
        <f t="shared" si="73"/>
        <v>788.75</v>
      </c>
      <c r="AI424"/>
      <c r="AJ424" s="3"/>
      <c r="AK424" s="164"/>
      <c r="AL424" s="22"/>
      <c r="AM424" s="21"/>
      <c r="AN424" s="23"/>
      <c r="AO424" s="10"/>
      <c r="AP424" s="5" t="str">
        <f t="shared" si="80"/>
        <v/>
      </c>
      <c r="AQ424" s="7" t="str">
        <f t="shared" si="81"/>
        <v/>
      </c>
      <c r="AR424" s="8" t="str">
        <f t="shared" si="74"/>
        <v/>
      </c>
      <c r="AS424" s="31" t="str">
        <f>IF(AT424=0,"",IF(_Ijour1=0,MIN(DATE(YEAR(_DebAmort1),MONTH(_DebAmort1)+_MoisD1+(AP424-1)*_Imois1,__Jou2),DATE(YEAR(_DebAmort1),MONTH(_DebAmort1)+_MoisD1+1+(AP424-1)*_Imois1,0)),DATE(YEAR(_DebAmort1),MONTH(_DebAmort1),__Jou1+(AP424-1)*_Ijour1)))</f>
        <v/>
      </c>
      <c r="AT424" s="156">
        <f t="shared" si="82"/>
        <v>0</v>
      </c>
      <c r="AU424" s="153">
        <f>IF(AP424&lt;=_NoEchMaxi1,ROUND(AT424*'Données Projet 1'!H433,_NbDeci1),0)</f>
        <v>0</v>
      </c>
      <c r="AV424" s="152">
        <f>IF(OR(AP424&lt;=_Différé1,AP424&gt;_NoEchMaxi1),IF(_DiffTotal1,-AU424,0),IF(AP424&gt;=_NoEchRemb1,AT424,IF('Données Projet 1'!I433-(AU424*_EchFIXE1)&gt;AT424-2,AT424,'Données Projet 1'!I433-(AU424*_EchFIXE1))))+AK424</f>
        <v>0</v>
      </c>
      <c r="AW424" s="154">
        <f t="shared" si="83"/>
        <v>0</v>
      </c>
      <c r="AX424" s="157">
        <f t="shared" si="75"/>
        <v>0</v>
      </c>
    </row>
    <row r="425" spans="20:50" ht="15.75" customHeight="1" x14ac:dyDescent="0.3">
      <c r="T425" s="3"/>
      <c r="U425" s="164"/>
      <c r="V425" s="22"/>
      <c r="W425" s="21"/>
      <c r="X425" s="23"/>
      <c r="Y425" s="10"/>
      <c r="Z425" s="5">
        <f t="shared" si="76"/>
        <v>419</v>
      </c>
      <c r="AA425" s="7">
        <f t="shared" si="77"/>
        <v>2</v>
      </c>
      <c r="AB425" s="8">
        <f t="shared" si="72"/>
        <v>2043</v>
      </c>
      <c r="AC425" s="31">
        <f>IF(AD425=0,"",IF(_Ijour=0,MIN(DATE(YEAR(_DebAmort),MONTH(_DebAmort)+(Z425-1)*_Imois,_Jour1),DATE(YEAR(_DebAmort),MONTH(_DebAmort)+1+(Z425-1)*_Imois,0)),DATE(YEAR(_DebAmort),MONTH(_DebAmort),_Jour1+(Z425-1)*_Ijour)))</f>
        <v>52536</v>
      </c>
      <c r="AD425" s="156">
        <f t="shared" si="78"/>
        <v>1535.8800000001074</v>
      </c>
      <c r="AE425" s="153">
        <f>IF(Z425&lt;=_NoEchMaxi,ROUND(AD425*'Données Projet 1'!A434,_NbDeci),0)</f>
        <v>2.38</v>
      </c>
      <c r="AF425" s="152">
        <f>IF(OR(Z425&lt;=_Différé,Z425&gt;_NoEchMaxi),IF(_DiffTotal,-AE425,0),IF(Z425&gt;=_NoEchRemb,AD425,IF('Données Projet 1'!B434-(AE425*_EchFIXE)&gt;AD425-2,AD425,'Données Projet 1'!B434-(AE425*_EchFIXE))))+U425</f>
        <v>766.6</v>
      </c>
      <c r="AG425" s="154">
        <f t="shared" si="79"/>
        <v>19.77</v>
      </c>
      <c r="AH425" s="157">
        <f t="shared" si="73"/>
        <v>788.75</v>
      </c>
      <c r="AI425"/>
      <c r="AJ425" s="3"/>
      <c r="AK425" s="164"/>
      <c r="AL425" s="22"/>
      <c r="AM425" s="21"/>
      <c r="AN425" s="23"/>
      <c r="AO425" s="10"/>
      <c r="AP425" s="5" t="str">
        <f t="shared" si="80"/>
        <v/>
      </c>
      <c r="AQ425" s="7" t="str">
        <f t="shared" si="81"/>
        <v/>
      </c>
      <c r="AR425" s="8" t="str">
        <f t="shared" si="74"/>
        <v/>
      </c>
      <c r="AS425" s="31" t="str">
        <f>IF(AT425=0,"",IF(_Ijour1=0,MIN(DATE(YEAR(_DebAmort1),MONTH(_DebAmort1)+(AP425-1)*_Imois1,__Jou1),DATE(YEAR(_DebAmort1),MONTH(_DebAmort1)+1+(AP425-1)*_Imois1,0)),DATE(YEAR(_DebAmort1),MONTH(_DebAmort1),__Jou1+(AP425-1)*_Ijour1)))</f>
        <v/>
      </c>
      <c r="AT425" s="156">
        <f t="shared" si="82"/>
        <v>0</v>
      </c>
      <c r="AU425" s="153">
        <f>IF(AP425&lt;=_NoEchMaxi1,ROUND(AT425*'Données Projet 1'!H434,_NbDeci1),0)</f>
        <v>0</v>
      </c>
      <c r="AV425" s="152">
        <f>IF(OR(AP425&lt;=_Différé1,AP425&gt;_NoEchMaxi1),IF(_DiffTotal1,-AU425,0),IF(AP425&gt;=_NoEchRemb1,AT425,IF('Données Projet 1'!I434-(AU425*_EchFIXE1)&gt;AT425-2,AT425,'Données Projet 1'!I434-(AU425*_EchFIXE1))))+AK425</f>
        <v>0</v>
      </c>
      <c r="AW425" s="154">
        <f t="shared" si="83"/>
        <v>0</v>
      </c>
      <c r="AX425" s="157">
        <f t="shared" si="75"/>
        <v>0</v>
      </c>
    </row>
    <row r="426" spans="20:50" ht="15.75" customHeight="1" x14ac:dyDescent="0.3">
      <c r="T426" s="3"/>
      <c r="U426" s="164"/>
      <c r="V426" s="22"/>
      <c r="W426" s="21"/>
      <c r="X426" s="23"/>
      <c r="Y426" s="10"/>
      <c r="Z426" s="5">
        <f t="shared" si="76"/>
        <v>420</v>
      </c>
      <c r="AA426" s="7">
        <f t="shared" si="77"/>
        <v>1</v>
      </c>
      <c r="AB426" s="8">
        <f t="shared" si="72"/>
        <v>2043</v>
      </c>
      <c r="AC426" s="31">
        <f>IF(AD426=0,"",IF(_Ijour=0,MIN(DATE(YEAR(_DebAmort),MONTH(_DebAmort)+_MoisD+(Z426-1)*_Imois,_Jour2),DATE(YEAR(_DebAmort),MONTH(_DebAmort)+_MoisD+1+(Z426-1)*_Imois,0)),DATE(YEAR(_DebAmort),MONTH(_DebAmort),_Jour1+(Z426-1)*_Ijour)))</f>
        <v>52566</v>
      </c>
      <c r="AD426" s="156">
        <f t="shared" si="78"/>
        <v>769.28000000010741</v>
      </c>
      <c r="AE426" s="153">
        <f>IF(Z426&lt;=_NoEchMaxi,ROUND(AD426*'Données Projet 1'!A435,_NbDeci),0)</f>
        <v>1.19</v>
      </c>
      <c r="AF426" s="152">
        <f>IF(OR(Z426&lt;=_Différé,Z426&gt;_NoEchMaxi),IF(_DiffTotal,-AE426,0),IF(Z426&gt;=_NoEchRemb,AD426,IF('Données Projet 1'!B435-(AE426*_EchFIXE)&gt;AD426-2,AD426,'Données Projet 1'!B435-(AE426*_EchFIXE))))+U426</f>
        <v>769.28000000010741</v>
      </c>
      <c r="AG426" s="154">
        <f t="shared" si="79"/>
        <v>19.77</v>
      </c>
      <c r="AH426" s="157">
        <f t="shared" si="73"/>
        <v>790.24000000010744</v>
      </c>
      <c r="AI426"/>
      <c r="AJ426" s="3"/>
      <c r="AK426" s="164"/>
      <c r="AL426" s="22"/>
      <c r="AM426" s="21"/>
      <c r="AN426" s="23"/>
      <c r="AO426" s="10"/>
      <c r="AP426" s="5" t="str">
        <f t="shared" si="80"/>
        <v/>
      </c>
      <c r="AQ426" s="7" t="str">
        <f t="shared" si="81"/>
        <v/>
      </c>
      <c r="AR426" s="8" t="str">
        <f t="shared" si="74"/>
        <v/>
      </c>
      <c r="AS426" s="31" t="str">
        <f>IF(AT426=0,"",IF(_Ijour1=0,MIN(DATE(YEAR(_DebAmort1),MONTH(_DebAmort1)+_MoisD1+(AP426-1)*_Imois1,__Jou2),DATE(YEAR(_DebAmort1),MONTH(_DebAmort1)+_MoisD1+1+(AP426-1)*_Imois1,0)),DATE(YEAR(_DebAmort1),MONTH(_DebAmort1),__Jou1+(AP426-1)*_Ijour1)))</f>
        <v/>
      </c>
      <c r="AT426" s="156">
        <f t="shared" si="82"/>
        <v>0</v>
      </c>
      <c r="AU426" s="153">
        <f>IF(AP426&lt;=_NoEchMaxi1,ROUND(AT426*'Données Projet 1'!H435,_NbDeci1),0)</f>
        <v>0</v>
      </c>
      <c r="AV426" s="152">
        <f>IF(OR(AP426&lt;=_Différé1,AP426&gt;_NoEchMaxi1),IF(_DiffTotal1,-AU426,0),IF(AP426&gt;=_NoEchRemb1,AT426,IF('Données Projet 1'!I435-(AU426*_EchFIXE1)&gt;AT426-2,AT426,'Données Projet 1'!I435-(AU426*_EchFIXE1))))+AK426</f>
        <v>0</v>
      </c>
      <c r="AW426" s="154">
        <f t="shared" si="83"/>
        <v>0</v>
      </c>
      <c r="AX426" s="157">
        <f t="shared" si="75"/>
        <v>0</v>
      </c>
    </row>
    <row r="427" spans="20:50" ht="15.75" customHeight="1" x14ac:dyDescent="0.3">
      <c r="T427" s="3"/>
      <c r="U427" s="164"/>
      <c r="V427" s="22"/>
      <c r="W427" s="21"/>
      <c r="X427" s="23"/>
      <c r="Y427" s="10"/>
      <c r="Z427" s="5" t="str">
        <f t="shared" si="76"/>
        <v/>
      </c>
      <c r="AA427" s="7" t="str">
        <f t="shared" si="77"/>
        <v/>
      </c>
      <c r="AB427" s="8" t="str">
        <f t="shared" si="72"/>
        <v/>
      </c>
      <c r="AC427" s="31" t="str">
        <f>IF(AD427=0,"",IF(_Ijour=0,MIN(DATE(YEAR(_DebAmort),MONTH(_DebAmort)+(Z427-1)*_Imois,_Jour1),DATE(YEAR(_DebAmort),MONTH(_DebAmort)+1+(Z427-1)*_Imois,0)),DATE(YEAR(_DebAmort),MONTH(_DebAmort),_Jour1+(Z427-1)*_Ijour)))</f>
        <v/>
      </c>
      <c r="AD427" s="156">
        <f t="shared" si="78"/>
        <v>0</v>
      </c>
      <c r="AE427" s="153">
        <f>IF(Z427&lt;=_NoEchMaxi,ROUND(AD427*'Données Projet 1'!A436,_NbDeci),0)</f>
        <v>0</v>
      </c>
      <c r="AF427" s="152">
        <f>IF(OR(Z427&lt;=_Différé,Z427&gt;_NoEchMaxi),IF(_DiffTotal,-AE427,0),IF(Z427&gt;=_NoEchRemb,AD427,IF('Données Projet 1'!B436-(AE427*_EchFIXE)&gt;AD427-2,AD427,'Données Projet 1'!B436-(AE427*_EchFIXE))))+U427</f>
        <v>0</v>
      </c>
      <c r="AG427" s="154">
        <f t="shared" si="79"/>
        <v>0</v>
      </c>
      <c r="AH427" s="157">
        <f t="shared" si="73"/>
        <v>0</v>
      </c>
      <c r="AI427"/>
      <c r="AJ427" s="3"/>
      <c r="AK427" s="164"/>
      <c r="AL427" s="22"/>
      <c r="AM427" s="21"/>
      <c r="AN427" s="23"/>
      <c r="AO427" s="10"/>
      <c r="AP427" s="5" t="str">
        <f t="shared" si="80"/>
        <v/>
      </c>
      <c r="AQ427" s="7" t="str">
        <f t="shared" si="81"/>
        <v/>
      </c>
      <c r="AR427" s="8" t="str">
        <f t="shared" si="74"/>
        <v/>
      </c>
      <c r="AS427" s="31" t="str">
        <f>IF(AT427=0,"",IF(_Ijour1=0,MIN(DATE(YEAR(_DebAmort1),MONTH(_DebAmort1)+(AP427-1)*_Imois1,__Jou1),DATE(YEAR(_DebAmort1),MONTH(_DebAmort1)+1+(AP427-1)*_Imois1,0)),DATE(YEAR(_DebAmort1),MONTH(_DebAmort1),__Jou1+(AP427-1)*_Ijour1)))</f>
        <v/>
      </c>
      <c r="AT427" s="156">
        <f t="shared" si="82"/>
        <v>0</v>
      </c>
      <c r="AU427" s="153">
        <f>IF(AP427&lt;=_NoEchMaxi1,ROUND(AT427*'Données Projet 1'!H436,_NbDeci1),0)</f>
        <v>0</v>
      </c>
      <c r="AV427" s="152">
        <f>IF(OR(AP427&lt;=_Différé1,AP427&gt;_NoEchMaxi1),IF(_DiffTotal1,-AU427,0),IF(AP427&gt;=_NoEchRemb1,AT427,IF('Données Projet 1'!I436-(AU427*_EchFIXE1)&gt;AT427-2,AT427,'Données Projet 1'!I436-(AU427*_EchFIXE1))))+AK427</f>
        <v>0</v>
      </c>
      <c r="AW427" s="154">
        <f t="shared" si="83"/>
        <v>0</v>
      </c>
      <c r="AX427" s="157">
        <f t="shared" si="75"/>
        <v>0</v>
      </c>
    </row>
    <row r="428" spans="20:50" ht="15.75" customHeight="1" x14ac:dyDescent="0.3">
      <c r="T428" s="3"/>
      <c r="U428" s="164"/>
      <c r="V428" s="22"/>
      <c r="W428" s="21"/>
      <c r="X428" s="23"/>
      <c r="Y428" s="10"/>
      <c r="Z428" s="5" t="str">
        <f t="shared" si="76"/>
        <v/>
      </c>
      <c r="AA428" s="7" t="str">
        <f t="shared" si="77"/>
        <v/>
      </c>
      <c r="AB428" s="8" t="str">
        <f t="shared" si="72"/>
        <v/>
      </c>
      <c r="AC428" s="31" t="str">
        <f>IF(AD428=0,"",IF(_Ijour=0,MIN(DATE(YEAR(_DebAmort),MONTH(_DebAmort)+_MoisD+(Z428-1)*_Imois,_Jour2),DATE(YEAR(_DebAmort),MONTH(_DebAmort)+_MoisD+1+(Z428-1)*_Imois,0)),DATE(YEAR(_DebAmort),MONTH(_DebAmort),_Jour1+(Z428-1)*_Ijour)))</f>
        <v/>
      </c>
      <c r="AD428" s="156">
        <f t="shared" si="78"/>
        <v>0</v>
      </c>
      <c r="AE428" s="153">
        <f>IF(Z428&lt;=_NoEchMaxi,ROUND(AD428*'Données Projet 1'!A437,_NbDeci),0)</f>
        <v>0</v>
      </c>
      <c r="AF428" s="152">
        <f>IF(OR(Z428&lt;=_Différé,Z428&gt;_NoEchMaxi),IF(_DiffTotal,-AE428,0),IF(Z428&gt;=_NoEchRemb,AD428,IF('Données Projet 1'!B437-(AE428*_EchFIXE)&gt;AD428-2,AD428,'Données Projet 1'!B437-(AE428*_EchFIXE))))+U428</f>
        <v>0</v>
      </c>
      <c r="AG428" s="154">
        <f t="shared" si="79"/>
        <v>0</v>
      </c>
      <c r="AH428" s="157">
        <f t="shared" si="73"/>
        <v>0</v>
      </c>
      <c r="AI428"/>
      <c r="AJ428" s="3"/>
      <c r="AK428" s="164"/>
      <c r="AL428" s="22"/>
      <c r="AM428" s="21"/>
      <c r="AN428" s="23"/>
      <c r="AO428" s="10"/>
      <c r="AP428" s="5" t="str">
        <f t="shared" si="80"/>
        <v/>
      </c>
      <c r="AQ428" s="7" t="str">
        <f t="shared" si="81"/>
        <v/>
      </c>
      <c r="AR428" s="8" t="str">
        <f t="shared" si="74"/>
        <v/>
      </c>
      <c r="AS428" s="31" t="str">
        <f>IF(AT428=0,"",IF(_Ijour1=0,MIN(DATE(YEAR(_DebAmort1),MONTH(_DebAmort1)+_MoisD1+(AP428-1)*_Imois1,__Jou2),DATE(YEAR(_DebAmort1),MONTH(_DebAmort1)+_MoisD1+1+(AP428-1)*_Imois1,0)),DATE(YEAR(_DebAmort1),MONTH(_DebAmort1),__Jou1+(AP428-1)*_Ijour1)))</f>
        <v/>
      </c>
      <c r="AT428" s="156">
        <f t="shared" si="82"/>
        <v>0</v>
      </c>
      <c r="AU428" s="153">
        <f>IF(AP428&lt;=_NoEchMaxi1,ROUND(AT428*'Données Projet 1'!H437,_NbDeci1),0)</f>
        <v>0</v>
      </c>
      <c r="AV428" s="152">
        <f>IF(OR(AP428&lt;=_Différé1,AP428&gt;_NoEchMaxi1),IF(_DiffTotal1,-AU428,0),IF(AP428&gt;=_NoEchRemb1,AT428,IF('Données Projet 1'!I437-(AU428*_EchFIXE1)&gt;AT428-2,AT428,'Données Projet 1'!I437-(AU428*_EchFIXE1))))+AK428</f>
        <v>0</v>
      </c>
      <c r="AW428" s="154">
        <f t="shared" si="83"/>
        <v>0</v>
      </c>
      <c r="AX428" s="157">
        <f t="shared" si="75"/>
        <v>0</v>
      </c>
    </row>
    <row r="429" spans="20:50" ht="15.75" customHeight="1" x14ac:dyDescent="0.3">
      <c r="T429" s="3"/>
      <c r="U429" s="164"/>
      <c r="V429" s="22"/>
      <c r="W429" s="21"/>
      <c r="X429" s="23"/>
      <c r="Y429" s="10"/>
      <c r="Z429" s="5" t="str">
        <f t="shared" si="76"/>
        <v/>
      </c>
      <c r="AA429" s="7" t="str">
        <f t="shared" si="77"/>
        <v/>
      </c>
      <c r="AB429" s="8" t="str">
        <f t="shared" si="72"/>
        <v/>
      </c>
      <c r="AC429" s="31" t="str">
        <f>IF(AD429=0,"",IF(_Ijour=0,MIN(DATE(YEAR(_DebAmort),MONTH(_DebAmort)+(Z429-1)*_Imois,_Jour1),DATE(YEAR(_DebAmort),MONTH(_DebAmort)+1+(Z429-1)*_Imois,0)),DATE(YEAR(_DebAmort),MONTH(_DebAmort),_Jour1+(Z429-1)*_Ijour)))</f>
        <v/>
      </c>
      <c r="AD429" s="156">
        <f t="shared" si="78"/>
        <v>0</v>
      </c>
      <c r="AE429" s="153">
        <f>IF(Z429&lt;=_NoEchMaxi,ROUND(AD429*'Données Projet 1'!A438,_NbDeci),0)</f>
        <v>0</v>
      </c>
      <c r="AF429" s="152">
        <f>IF(OR(Z429&lt;=_Différé,Z429&gt;_NoEchMaxi),IF(_DiffTotal,-AE429,0),IF(Z429&gt;=_NoEchRemb,AD429,IF('Données Projet 1'!B438-(AE429*_EchFIXE)&gt;AD429-2,AD429,'Données Projet 1'!B438-(AE429*_EchFIXE))))+U429</f>
        <v>0</v>
      </c>
      <c r="AG429" s="154">
        <f t="shared" si="79"/>
        <v>0</v>
      </c>
      <c r="AH429" s="157">
        <f t="shared" si="73"/>
        <v>0</v>
      </c>
      <c r="AI429"/>
      <c r="AJ429" s="3"/>
      <c r="AK429" s="164"/>
      <c r="AL429" s="22"/>
      <c r="AM429" s="21"/>
      <c r="AN429" s="23"/>
      <c r="AO429" s="10"/>
      <c r="AP429" s="5" t="str">
        <f t="shared" si="80"/>
        <v/>
      </c>
      <c r="AQ429" s="7" t="str">
        <f t="shared" si="81"/>
        <v/>
      </c>
      <c r="AR429" s="8" t="str">
        <f t="shared" si="74"/>
        <v/>
      </c>
      <c r="AS429" s="31" t="str">
        <f>IF(AT429=0,"",IF(_Ijour1=0,MIN(DATE(YEAR(_DebAmort1),MONTH(_DebAmort1)+(AP429-1)*_Imois1,__Jou1),DATE(YEAR(_DebAmort1),MONTH(_DebAmort1)+1+(AP429-1)*_Imois1,0)),DATE(YEAR(_DebAmort1),MONTH(_DebAmort1),__Jou1+(AP429-1)*_Ijour1)))</f>
        <v/>
      </c>
      <c r="AT429" s="156">
        <f t="shared" si="82"/>
        <v>0</v>
      </c>
      <c r="AU429" s="153">
        <f>IF(AP429&lt;=_NoEchMaxi1,ROUND(AT429*'Données Projet 1'!H438,_NbDeci1),0)</f>
        <v>0</v>
      </c>
      <c r="AV429" s="152">
        <f>IF(OR(AP429&lt;=_Différé1,AP429&gt;_NoEchMaxi1),IF(_DiffTotal1,-AU429,0),IF(AP429&gt;=_NoEchRemb1,AT429,IF('Données Projet 1'!I438-(AU429*_EchFIXE1)&gt;AT429-2,AT429,'Données Projet 1'!I438-(AU429*_EchFIXE1))))+AK429</f>
        <v>0</v>
      </c>
      <c r="AW429" s="154">
        <f t="shared" si="83"/>
        <v>0</v>
      </c>
      <c r="AX429" s="157">
        <f t="shared" si="75"/>
        <v>0</v>
      </c>
    </row>
    <row r="430" spans="20:50" ht="15.75" customHeight="1" x14ac:dyDescent="0.3">
      <c r="T430" s="3"/>
      <c r="U430" s="164"/>
      <c r="V430" s="22"/>
      <c r="W430" s="21"/>
      <c r="X430" s="23"/>
      <c r="Y430" s="10"/>
      <c r="Z430" s="5" t="str">
        <f t="shared" si="76"/>
        <v/>
      </c>
      <c r="AA430" s="7" t="str">
        <f t="shared" si="77"/>
        <v/>
      </c>
      <c r="AB430" s="8" t="str">
        <f t="shared" si="72"/>
        <v/>
      </c>
      <c r="AC430" s="31" t="str">
        <f>IF(AD430=0,"",IF(_Ijour=0,MIN(DATE(YEAR(_DebAmort),MONTH(_DebAmort)+_MoisD+(Z430-1)*_Imois,_Jour2),DATE(YEAR(_DebAmort),MONTH(_DebAmort)+_MoisD+1+(Z430-1)*_Imois,0)),DATE(YEAR(_DebAmort),MONTH(_DebAmort),_Jour1+(Z430-1)*_Ijour)))</f>
        <v/>
      </c>
      <c r="AD430" s="156">
        <f t="shared" si="78"/>
        <v>0</v>
      </c>
      <c r="AE430" s="153">
        <f>IF(Z430&lt;=_NoEchMaxi,ROUND(AD430*'Données Projet 1'!A439,_NbDeci),0)</f>
        <v>0</v>
      </c>
      <c r="AF430" s="152">
        <f>IF(OR(Z430&lt;=_Différé,Z430&gt;_NoEchMaxi),IF(_DiffTotal,-AE430,0),IF(Z430&gt;=_NoEchRemb,AD430,IF('Données Projet 1'!B439-(AE430*_EchFIXE)&gt;AD430-2,AD430,'Données Projet 1'!B439-(AE430*_EchFIXE))))+U430</f>
        <v>0</v>
      </c>
      <c r="AG430" s="154">
        <f t="shared" si="79"/>
        <v>0</v>
      </c>
      <c r="AH430" s="157">
        <f t="shared" si="73"/>
        <v>0</v>
      </c>
      <c r="AI430"/>
      <c r="AJ430" s="3"/>
      <c r="AK430" s="164"/>
      <c r="AL430" s="22"/>
      <c r="AM430" s="21"/>
      <c r="AN430" s="23"/>
      <c r="AO430" s="10"/>
      <c r="AP430" s="5" t="str">
        <f t="shared" si="80"/>
        <v/>
      </c>
      <c r="AQ430" s="7" t="str">
        <f t="shared" si="81"/>
        <v/>
      </c>
      <c r="AR430" s="8" t="str">
        <f t="shared" si="74"/>
        <v/>
      </c>
      <c r="AS430" s="31" t="str">
        <f>IF(AT430=0,"",IF(_Ijour1=0,MIN(DATE(YEAR(_DebAmort1),MONTH(_DebAmort1)+_MoisD1+(AP430-1)*_Imois1,__Jou2),DATE(YEAR(_DebAmort1),MONTH(_DebAmort1)+_MoisD1+1+(AP430-1)*_Imois1,0)),DATE(YEAR(_DebAmort1),MONTH(_DebAmort1),__Jou1+(AP430-1)*_Ijour1)))</f>
        <v/>
      </c>
      <c r="AT430" s="156">
        <f t="shared" si="82"/>
        <v>0</v>
      </c>
      <c r="AU430" s="153">
        <f>IF(AP430&lt;=_NoEchMaxi1,ROUND(AT430*'Données Projet 1'!H439,_NbDeci1),0)</f>
        <v>0</v>
      </c>
      <c r="AV430" s="152">
        <f>IF(OR(AP430&lt;=_Différé1,AP430&gt;_NoEchMaxi1),IF(_DiffTotal1,-AU430,0),IF(AP430&gt;=_NoEchRemb1,AT430,IF('Données Projet 1'!I439-(AU430*_EchFIXE1)&gt;AT430-2,AT430,'Données Projet 1'!I439-(AU430*_EchFIXE1))))+AK430</f>
        <v>0</v>
      </c>
      <c r="AW430" s="154">
        <f t="shared" si="83"/>
        <v>0</v>
      </c>
      <c r="AX430" s="157">
        <f t="shared" si="75"/>
        <v>0</v>
      </c>
    </row>
    <row r="431" spans="20:50" ht="15.75" customHeight="1" x14ac:dyDescent="0.3">
      <c r="T431" s="3"/>
      <c r="U431" s="164"/>
      <c r="V431" s="22"/>
      <c r="W431" s="21"/>
      <c r="X431" s="23"/>
      <c r="Y431" s="10"/>
      <c r="Z431" s="5" t="str">
        <f t="shared" si="76"/>
        <v/>
      </c>
      <c r="AA431" s="7" t="str">
        <f t="shared" si="77"/>
        <v/>
      </c>
      <c r="AB431" s="8" t="str">
        <f t="shared" si="72"/>
        <v/>
      </c>
      <c r="AC431" s="31" t="str">
        <f>IF(AD431=0,"",IF(_Ijour=0,MIN(DATE(YEAR(_DebAmort),MONTH(_DebAmort)+(Z431-1)*_Imois,_Jour1),DATE(YEAR(_DebAmort),MONTH(_DebAmort)+1+(Z431-1)*_Imois,0)),DATE(YEAR(_DebAmort),MONTH(_DebAmort),_Jour1+(Z431-1)*_Ijour)))</f>
        <v/>
      </c>
      <c r="AD431" s="156">
        <f t="shared" si="78"/>
        <v>0</v>
      </c>
      <c r="AE431" s="153">
        <f>IF(Z431&lt;=_NoEchMaxi,ROUND(AD431*'Données Projet 1'!A440,_NbDeci),0)</f>
        <v>0</v>
      </c>
      <c r="AF431" s="152">
        <f>IF(OR(Z431&lt;=_Différé,Z431&gt;_NoEchMaxi),IF(_DiffTotal,-AE431,0),IF(Z431&gt;=_NoEchRemb,AD431,IF('Données Projet 1'!B440-(AE431*_EchFIXE)&gt;AD431-2,AD431,'Données Projet 1'!B440-(AE431*_EchFIXE))))+U431</f>
        <v>0</v>
      </c>
      <c r="AG431" s="154">
        <f t="shared" si="79"/>
        <v>0</v>
      </c>
      <c r="AH431" s="157">
        <f t="shared" si="73"/>
        <v>0</v>
      </c>
      <c r="AI431"/>
      <c r="AJ431" s="3"/>
      <c r="AK431" s="164"/>
      <c r="AL431" s="22"/>
      <c r="AM431" s="21"/>
      <c r="AN431" s="23"/>
      <c r="AO431" s="10"/>
      <c r="AP431" s="5" t="str">
        <f t="shared" si="80"/>
        <v/>
      </c>
      <c r="AQ431" s="7" t="str">
        <f t="shared" si="81"/>
        <v/>
      </c>
      <c r="AR431" s="8" t="str">
        <f t="shared" si="74"/>
        <v/>
      </c>
      <c r="AS431" s="31" t="str">
        <f>IF(AT431=0,"",IF(_Ijour1=0,MIN(DATE(YEAR(_DebAmort1),MONTH(_DebAmort1)+(AP431-1)*_Imois1,__Jou1),DATE(YEAR(_DebAmort1),MONTH(_DebAmort1)+1+(AP431-1)*_Imois1,0)),DATE(YEAR(_DebAmort1),MONTH(_DebAmort1),__Jou1+(AP431-1)*_Ijour1)))</f>
        <v/>
      </c>
      <c r="AT431" s="156">
        <f t="shared" si="82"/>
        <v>0</v>
      </c>
      <c r="AU431" s="153">
        <f>IF(AP431&lt;=_NoEchMaxi1,ROUND(AT431*'Données Projet 1'!H440,_NbDeci1),0)</f>
        <v>0</v>
      </c>
      <c r="AV431" s="152">
        <f>IF(OR(AP431&lt;=_Différé1,AP431&gt;_NoEchMaxi1),IF(_DiffTotal1,-AU431,0),IF(AP431&gt;=_NoEchRemb1,AT431,IF('Données Projet 1'!I440-(AU431*_EchFIXE1)&gt;AT431-2,AT431,'Données Projet 1'!I440-(AU431*_EchFIXE1))))+AK431</f>
        <v>0</v>
      </c>
      <c r="AW431" s="154">
        <f t="shared" si="83"/>
        <v>0</v>
      </c>
      <c r="AX431" s="157">
        <f t="shared" si="75"/>
        <v>0</v>
      </c>
    </row>
    <row r="432" spans="20:50" ht="15.75" customHeight="1" x14ac:dyDescent="0.3">
      <c r="T432" s="3"/>
      <c r="U432" s="164"/>
      <c r="V432" s="22"/>
      <c r="W432" s="21"/>
      <c r="X432" s="23"/>
      <c r="Y432" s="10"/>
      <c r="Z432" s="5" t="str">
        <f t="shared" si="76"/>
        <v/>
      </c>
      <c r="AA432" s="7" t="str">
        <f t="shared" si="77"/>
        <v/>
      </c>
      <c r="AB432" s="8" t="str">
        <f t="shared" si="72"/>
        <v/>
      </c>
      <c r="AC432" s="31" t="str">
        <f>IF(AD432=0,"",IF(_Ijour=0,MIN(DATE(YEAR(_DebAmort),MONTH(_DebAmort)+_MoisD+(Z432-1)*_Imois,_Jour2),DATE(YEAR(_DebAmort),MONTH(_DebAmort)+_MoisD+1+(Z432-1)*_Imois,0)),DATE(YEAR(_DebAmort),MONTH(_DebAmort),_Jour1+(Z432-1)*_Ijour)))</f>
        <v/>
      </c>
      <c r="AD432" s="156">
        <f t="shared" si="78"/>
        <v>0</v>
      </c>
      <c r="AE432" s="153">
        <f>IF(Z432&lt;=_NoEchMaxi,ROUND(AD432*'Données Projet 1'!A441,_NbDeci),0)</f>
        <v>0</v>
      </c>
      <c r="AF432" s="152">
        <f>IF(OR(Z432&lt;=_Différé,Z432&gt;_NoEchMaxi),IF(_DiffTotal,-AE432,0),IF(Z432&gt;=_NoEchRemb,AD432,IF('Données Projet 1'!B441-(AE432*_EchFIXE)&gt;AD432-2,AD432,'Données Projet 1'!B441-(AE432*_EchFIXE))))+U432</f>
        <v>0</v>
      </c>
      <c r="AG432" s="154">
        <f t="shared" si="79"/>
        <v>0</v>
      </c>
      <c r="AH432" s="157">
        <f t="shared" si="73"/>
        <v>0</v>
      </c>
      <c r="AI432"/>
      <c r="AJ432" s="3"/>
      <c r="AK432" s="164"/>
      <c r="AL432" s="22"/>
      <c r="AM432" s="21"/>
      <c r="AN432" s="23"/>
      <c r="AO432" s="10"/>
      <c r="AP432" s="5" t="str">
        <f t="shared" si="80"/>
        <v/>
      </c>
      <c r="AQ432" s="7" t="str">
        <f t="shared" si="81"/>
        <v/>
      </c>
      <c r="AR432" s="8" t="str">
        <f t="shared" si="74"/>
        <v/>
      </c>
      <c r="AS432" s="31" t="str">
        <f>IF(AT432=0,"",IF(_Ijour1=0,MIN(DATE(YEAR(_DebAmort1),MONTH(_DebAmort1)+_MoisD1+(AP432-1)*_Imois1,__Jou2),DATE(YEAR(_DebAmort1),MONTH(_DebAmort1)+_MoisD1+1+(AP432-1)*_Imois1,0)),DATE(YEAR(_DebAmort1),MONTH(_DebAmort1),__Jou1+(AP432-1)*_Ijour1)))</f>
        <v/>
      </c>
      <c r="AT432" s="156">
        <f t="shared" si="82"/>
        <v>0</v>
      </c>
      <c r="AU432" s="153">
        <f>IF(AP432&lt;=_NoEchMaxi1,ROUND(AT432*'Données Projet 1'!H441,_NbDeci1),0)</f>
        <v>0</v>
      </c>
      <c r="AV432" s="152">
        <f>IF(OR(AP432&lt;=_Différé1,AP432&gt;_NoEchMaxi1),IF(_DiffTotal1,-AU432,0),IF(AP432&gt;=_NoEchRemb1,AT432,IF('Données Projet 1'!I441-(AU432*_EchFIXE1)&gt;AT432-2,AT432,'Données Projet 1'!I441-(AU432*_EchFIXE1))))+AK432</f>
        <v>0</v>
      </c>
      <c r="AW432" s="154">
        <f t="shared" si="83"/>
        <v>0</v>
      </c>
      <c r="AX432" s="157">
        <f t="shared" si="75"/>
        <v>0</v>
      </c>
    </row>
    <row r="433" spans="20:50" ht="15.75" customHeight="1" x14ac:dyDescent="0.3">
      <c r="T433" s="3"/>
      <c r="U433" s="164"/>
      <c r="V433" s="22"/>
      <c r="W433" s="21"/>
      <c r="X433" s="23"/>
      <c r="Y433" s="10"/>
      <c r="Z433" s="5" t="str">
        <f t="shared" si="76"/>
        <v/>
      </c>
      <c r="AA433" s="7" t="str">
        <f t="shared" si="77"/>
        <v/>
      </c>
      <c r="AB433" s="8" t="str">
        <f t="shared" si="72"/>
        <v/>
      </c>
      <c r="AC433" s="31" t="str">
        <f>IF(AD433=0,"",IF(_Ijour=0,MIN(DATE(YEAR(_DebAmort),MONTH(_DebAmort)+(Z433-1)*_Imois,_Jour1),DATE(YEAR(_DebAmort),MONTH(_DebAmort)+1+(Z433-1)*_Imois,0)),DATE(YEAR(_DebAmort),MONTH(_DebAmort),_Jour1+(Z433-1)*_Ijour)))</f>
        <v/>
      </c>
      <c r="AD433" s="156">
        <f t="shared" si="78"/>
        <v>0</v>
      </c>
      <c r="AE433" s="153">
        <f>IF(Z433&lt;=_NoEchMaxi,ROUND(AD433*'Données Projet 1'!A442,_NbDeci),0)</f>
        <v>0</v>
      </c>
      <c r="AF433" s="152">
        <f>IF(OR(Z433&lt;=_Différé,Z433&gt;_NoEchMaxi),IF(_DiffTotal,-AE433,0),IF(Z433&gt;=_NoEchRemb,AD433,IF('Données Projet 1'!B442-(AE433*_EchFIXE)&gt;AD433-2,AD433,'Données Projet 1'!B442-(AE433*_EchFIXE))))+U433</f>
        <v>0</v>
      </c>
      <c r="AG433" s="154">
        <f t="shared" si="79"/>
        <v>0</v>
      </c>
      <c r="AH433" s="157">
        <f t="shared" si="73"/>
        <v>0</v>
      </c>
      <c r="AI433"/>
      <c r="AJ433" s="3"/>
      <c r="AK433" s="164"/>
      <c r="AL433" s="22"/>
      <c r="AM433" s="21"/>
      <c r="AN433" s="23"/>
      <c r="AO433" s="10"/>
      <c r="AP433" s="5" t="str">
        <f t="shared" si="80"/>
        <v/>
      </c>
      <c r="AQ433" s="7" t="str">
        <f t="shared" si="81"/>
        <v/>
      </c>
      <c r="AR433" s="8" t="str">
        <f t="shared" si="74"/>
        <v/>
      </c>
      <c r="AS433" s="31" t="str">
        <f>IF(AT433=0,"",IF(_Ijour1=0,MIN(DATE(YEAR(_DebAmort1),MONTH(_DebAmort1)+(AP433-1)*_Imois1,__Jou1),DATE(YEAR(_DebAmort1),MONTH(_DebAmort1)+1+(AP433-1)*_Imois1,0)),DATE(YEAR(_DebAmort1),MONTH(_DebAmort1),__Jou1+(AP433-1)*_Ijour1)))</f>
        <v/>
      </c>
      <c r="AT433" s="156">
        <f t="shared" si="82"/>
        <v>0</v>
      </c>
      <c r="AU433" s="153">
        <f>IF(AP433&lt;=_NoEchMaxi1,ROUND(AT433*'Données Projet 1'!H442,_NbDeci1),0)</f>
        <v>0</v>
      </c>
      <c r="AV433" s="152">
        <f>IF(OR(AP433&lt;=_Différé1,AP433&gt;_NoEchMaxi1),IF(_DiffTotal1,-AU433,0),IF(AP433&gt;=_NoEchRemb1,AT433,IF('Données Projet 1'!I442-(AU433*_EchFIXE1)&gt;AT433-2,AT433,'Données Projet 1'!I442-(AU433*_EchFIXE1))))+AK433</f>
        <v>0</v>
      </c>
      <c r="AW433" s="154">
        <f t="shared" si="83"/>
        <v>0</v>
      </c>
      <c r="AX433" s="157">
        <f t="shared" si="75"/>
        <v>0</v>
      </c>
    </row>
    <row r="434" spans="20:50" ht="15.75" customHeight="1" x14ac:dyDescent="0.3">
      <c r="T434" s="3"/>
      <c r="U434" s="164"/>
      <c r="V434" s="22"/>
      <c r="W434" s="21"/>
      <c r="X434" s="23"/>
      <c r="Y434" s="10"/>
      <c r="Z434" s="5" t="str">
        <f t="shared" si="76"/>
        <v/>
      </c>
      <c r="AA434" s="7" t="str">
        <f t="shared" si="77"/>
        <v/>
      </c>
      <c r="AB434" s="8" t="str">
        <f t="shared" si="72"/>
        <v/>
      </c>
      <c r="AC434" s="31" t="str">
        <f>IF(AD434=0,"",IF(_Ijour=0,MIN(DATE(YEAR(_DebAmort),MONTH(_DebAmort)+_MoisD+(Z434-1)*_Imois,_Jour2),DATE(YEAR(_DebAmort),MONTH(_DebAmort)+_MoisD+1+(Z434-1)*_Imois,0)),DATE(YEAR(_DebAmort),MONTH(_DebAmort),_Jour1+(Z434-1)*_Ijour)))</f>
        <v/>
      </c>
      <c r="AD434" s="156">
        <f t="shared" si="78"/>
        <v>0</v>
      </c>
      <c r="AE434" s="153">
        <f>IF(Z434&lt;=_NoEchMaxi,ROUND(AD434*'Données Projet 1'!A443,_NbDeci),0)</f>
        <v>0</v>
      </c>
      <c r="AF434" s="152">
        <f>IF(OR(Z434&lt;=_Différé,Z434&gt;_NoEchMaxi),IF(_DiffTotal,-AE434,0),IF(Z434&gt;=_NoEchRemb,AD434,IF('Données Projet 1'!B443-(AE434*_EchFIXE)&gt;AD434-2,AD434,'Données Projet 1'!B443-(AE434*_EchFIXE))))+U434</f>
        <v>0</v>
      </c>
      <c r="AG434" s="154">
        <f t="shared" si="79"/>
        <v>0</v>
      </c>
      <c r="AH434" s="157">
        <f t="shared" si="73"/>
        <v>0</v>
      </c>
      <c r="AI434"/>
      <c r="AJ434" s="3"/>
      <c r="AK434" s="164"/>
      <c r="AL434" s="22"/>
      <c r="AM434" s="21"/>
      <c r="AN434" s="23"/>
      <c r="AO434" s="10"/>
      <c r="AP434" s="5" t="str">
        <f t="shared" si="80"/>
        <v/>
      </c>
      <c r="AQ434" s="7" t="str">
        <f t="shared" si="81"/>
        <v/>
      </c>
      <c r="AR434" s="8" t="str">
        <f t="shared" si="74"/>
        <v/>
      </c>
      <c r="AS434" s="31" t="str">
        <f>IF(AT434=0,"",IF(_Ijour1=0,MIN(DATE(YEAR(_DebAmort1),MONTH(_DebAmort1)+_MoisD1+(AP434-1)*_Imois1,__Jou2),DATE(YEAR(_DebAmort1),MONTH(_DebAmort1)+_MoisD1+1+(AP434-1)*_Imois1,0)),DATE(YEAR(_DebAmort1),MONTH(_DebAmort1),__Jou1+(AP434-1)*_Ijour1)))</f>
        <v/>
      </c>
      <c r="AT434" s="156">
        <f t="shared" si="82"/>
        <v>0</v>
      </c>
      <c r="AU434" s="153">
        <f>IF(AP434&lt;=_NoEchMaxi1,ROUND(AT434*'Données Projet 1'!H443,_NbDeci1),0)</f>
        <v>0</v>
      </c>
      <c r="AV434" s="152">
        <f>IF(OR(AP434&lt;=_Différé1,AP434&gt;_NoEchMaxi1),IF(_DiffTotal1,-AU434,0),IF(AP434&gt;=_NoEchRemb1,AT434,IF('Données Projet 1'!I443-(AU434*_EchFIXE1)&gt;AT434-2,AT434,'Données Projet 1'!I443-(AU434*_EchFIXE1))))+AK434</f>
        <v>0</v>
      </c>
      <c r="AW434" s="154">
        <f t="shared" si="83"/>
        <v>0</v>
      </c>
      <c r="AX434" s="157">
        <f t="shared" si="75"/>
        <v>0</v>
      </c>
    </row>
    <row r="435" spans="20:50" ht="15.75" customHeight="1" x14ac:dyDescent="0.3">
      <c r="T435" s="3"/>
      <c r="U435" s="164"/>
      <c r="V435" s="22"/>
      <c r="W435" s="21"/>
      <c r="X435" s="23"/>
      <c r="Y435" s="10"/>
      <c r="Z435" s="5" t="str">
        <f t="shared" si="76"/>
        <v/>
      </c>
      <c r="AA435" s="7" t="str">
        <f t="shared" si="77"/>
        <v/>
      </c>
      <c r="AB435" s="8" t="str">
        <f t="shared" si="72"/>
        <v/>
      </c>
      <c r="AC435" s="31" t="str">
        <f>IF(AD435=0,"",IF(_Ijour=0,MIN(DATE(YEAR(_DebAmort),MONTH(_DebAmort)+(Z435-1)*_Imois,_Jour1),DATE(YEAR(_DebAmort),MONTH(_DebAmort)+1+(Z435-1)*_Imois,0)),DATE(YEAR(_DebAmort),MONTH(_DebAmort),_Jour1+(Z435-1)*_Ijour)))</f>
        <v/>
      </c>
      <c r="AD435" s="156">
        <f t="shared" si="78"/>
        <v>0</v>
      </c>
      <c r="AE435" s="153">
        <f>IF(Z435&lt;=_NoEchMaxi,ROUND(AD435*'Données Projet 1'!A444,_NbDeci),0)</f>
        <v>0</v>
      </c>
      <c r="AF435" s="152">
        <f>IF(OR(Z435&lt;=_Différé,Z435&gt;_NoEchMaxi),IF(_DiffTotal,-AE435,0),IF(Z435&gt;=_NoEchRemb,AD435,IF('Données Projet 1'!B444-(AE435*_EchFIXE)&gt;AD435-2,AD435,'Données Projet 1'!B444-(AE435*_EchFIXE))))+U435</f>
        <v>0</v>
      </c>
      <c r="AG435" s="154">
        <f t="shared" si="79"/>
        <v>0</v>
      </c>
      <c r="AH435" s="157">
        <f t="shared" si="73"/>
        <v>0</v>
      </c>
      <c r="AI435"/>
      <c r="AJ435" s="3"/>
      <c r="AK435" s="164"/>
      <c r="AL435" s="22"/>
      <c r="AM435" s="21"/>
      <c r="AN435" s="23"/>
      <c r="AO435" s="10"/>
      <c r="AP435" s="5" t="str">
        <f t="shared" si="80"/>
        <v/>
      </c>
      <c r="AQ435" s="7" t="str">
        <f t="shared" si="81"/>
        <v/>
      </c>
      <c r="AR435" s="8" t="str">
        <f t="shared" si="74"/>
        <v/>
      </c>
      <c r="AS435" s="31" t="str">
        <f>IF(AT435=0,"",IF(_Ijour1=0,MIN(DATE(YEAR(_DebAmort1),MONTH(_DebAmort1)+(AP435-1)*_Imois1,__Jou1),DATE(YEAR(_DebAmort1),MONTH(_DebAmort1)+1+(AP435-1)*_Imois1,0)),DATE(YEAR(_DebAmort1),MONTH(_DebAmort1),__Jou1+(AP435-1)*_Ijour1)))</f>
        <v/>
      </c>
      <c r="AT435" s="156">
        <f t="shared" si="82"/>
        <v>0</v>
      </c>
      <c r="AU435" s="153">
        <f>IF(AP435&lt;=_NoEchMaxi1,ROUND(AT435*'Données Projet 1'!H444,_NbDeci1),0)</f>
        <v>0</v>
      </c>
      <c r="AV435" s="152">
        <f>IF(OR(AP435&lt;=_Différé1,AP435&gt;_NoEchMaxi1),IF(_DiffTotal1,-AU435,0),IF(AP435&gt;=_NoEchRemb1,AT435,IF('Données Projet 1'!I444-(AU435*_EchFIXE1)&gt;AT435-2,AT435,'Données Projet 1'!I444-(AU435*_EchFIXE1))))+AK435</f>
        <v>0</v>
      </c>
      <c r="AW435" s="154">
        <f t="shared" si="83"/>
        <v>0</v>
      </c>
      <c r="AX435" s="157">
        <f t="shared" si="75"/>
        <v>0</v>
      </c>
    </row>
    <row r="436" spans="20:50" ht="15.75" customHeight="1" x14ac:dyDescent="0.3">
      <c r="T436" s="3"/>
      <c r="U436" s="164"/>
      <c r="V436" s="22"/>
      <c r="W436" s="21"/>
      <c r="X436" s="23"/>
      <c r="Y436" s="10"/>
      <c r="Z436" s="5" t="str">
        <f t="shared" si="76"/>
        <v/>
      </c>
      <c r="AA436" s="7" t="str">
        <f t="shared" si="77"/>
        <v/>
      </c>
      <c r="AB436" s="8" t="str">
        <f t="shared" si="72"/>
        <v/>
      </c>
      <c r="AC436" s="31" t="str">
        <f>IF(AD436=0,"",IF(_Ijour=0,MIN(DATE(YEAR(_DebAmort),MONTH(_DebAmort)+_MoisD+(Z436-1)*_Imois,_Jour2),DATE(YEAR(_DebAmort),MONTH(_DebAmort)+_MoisD+1+(Z436-1)*_Imois,0)),DATE(YEAR(_DebAmort),MONTH(_DebAmort),_Jour1+(Z436-1)*_Ijour)))</f>
        <v/>
      </c>
      <c r="AD436" s="156">
        <f t="shared" si="78"/>
        <v>0</v>
      </c>
      <c r="AE436" s="153">
        <f>IF(Z436&lt;=_NoEchMaxi,ROUND(AD436*'Données Projet 1'!A445,_NbDeci),0)</f>
        <v>0</v>
      </c>
      <c r="AF436" s="152">
        <f>IF(OR(Z436&lt;=_Différé,Z436&gt;_NoEchMaxi),IF(_DiffTotal,-AE436,0),IF(Z436&gt;=_NoEchRemb,AD436,IF('Données Projet 1'!B445-(AE436*_EchFIXE)&gt;AD436-2,AD436,'Données Projet 1'!B445-(AE436*_EchFIXE))))+U436</f>
        <v>0</v>
      </c>
      <c r="AG436" s="154">
        <f t="shared" si="79"/>
        <v>0</v>
      </c>
      <c r="AH436" s="157">
        <f t="shared" si="73"/>
        <v>0</v>
      </c>
      <c r="AI436"/>
      <c r="AJ436" s="3"/>
      <c r="AK436" s="164"/>
      <c r="AL436" s="22"/>
      <c r="AM436" s="21"/>
      <c r="AN436" s="23"/>
      <c r="AO436" s="10"/>
      <c r="AP436" s="5" t="str">
        <f t="shared" si="80"/>
        <v/>
      </c>
      <c r="AQ436" s="7" t="str">
        <f t="shared" si="81"/>
        <v/>
      </c>
      <c r="AR436" s="8" t="str">
        <f t="shared" si="74"/>
        <v/>
      </c>
      <c r="AS436" s="31" t="str">
        <f>IF(AT436=0,"",IF(_Ijour1=0,MIN(DATE(YEAR(_DebAmort1),MONTH(_DebAmort1)+_MoisD1+(AP436-1)*_Imois1,__Jou2),DATE(YEAR(_DebAmort1),MONTH(_DebAmort1)+_MoisD1+1+(AP436-1)*_Imois1,0)),DATE(YEAR(_DebAmort1),MONTH(_DebAmort1),__Jou1+(AP436-1)*_Ijour1)))</f>
        <v/>
      </c>
      <c r="AT436" s="156">
        <f t="shared" si="82"/>
        <v>0</v>
      </c>
      <c r="AU436" s="153">
        <f>IF(AP436&lt;=_NoEchMaxi1,ROUND(AT436*'Données Projet 1'!H445,_NbDeci1),0)</f>
        <v>0</v>
      </c>
      <c r="AV436" s="152">
        <f>IF(OR(AP436&lt;=_Différé1,AP436&gt;_NoEchMaxi1),IF(_DiffTotal1,-AU436,0),IF(AP436&gt;=_NoEchRemb1,AT436,IF('Données Projet 1'!I445-(AU436*_EchFIXE1)&gt;AT436-2,AT436,'Données Projet 1'!I445-(AU436*_EchFIXE1))))+AK436</f>
        <v>0</v>
      </c>
      <c r="AW436" s="154">
        <f t="shared" si="83"/>
        <v>0</v>
      </c>
      <c r="AX436" s="157">
        <f t="shared" si="75"/>
        <v>0</v>
      </c>
    </row>
    <row r="437" spans="20:50" ht="15.75" customHeight="1" x14ac:dyDescent="0.3">
      <c r="T437" s="3"/>
      <c r="U437" s="164"/>
      <c r="V437" s="22"/>
      <c r="W437" s="21"/>
      <c r="X437" s="23"/>
      <c r="Y437" s="10"/>
      <c r="Z437" s="5" t="str">
        <f t="shared" si="76"/>
        <v/>
      </c>
      <c r="AA437" s="7" t="str">
        <f t="shared" si="77"/>
        <v/>
      </c>
      <c r="AB437" s="8" t="str">
        <f t="shared" si="72"/>
        <v/>
      </c>
      <c r="AC437" s="31" t="str">
        <f>IF(AD437=0,"",IF(_Ijour=0,MIN(DATE(YEAR(_DebAmort),MONTH(_DebAmort)+(Z437-1)*_Imois,_Jour1),DATE(YEAR(_DebAmort),MONTH(_DebAmort)+1+(Z437-1)*_Imois,0)),DATE(YEAR(_DebAmort),MONTH(_DebAmort),_Jour1+(Z437-1)*_Ijour)))</f>
        <v/>
      </c>
      <c r="AD437" s="156">
        <f t="shared" si="78"/>
        <v>0</v>
      </c>
      <c r="AE437" s="153">
        <f>IF(Z437&lt;=_NoEchMaxi,ROUND(AD437*'Données Projet 1'!A446,_NbDeci),0)</f>
        <v>0</v>
      </c>
      <c r="AF437" s="152">
        <f>IF(OR(Z437&lt;=_Différé,Z437&gt;_NoEchMaxi),IF(_DiffTotal,-AE437,0),IF(Z437&gt;=_NoEchRemb,AD437,IF('Données Projet 1'!B446-(AE437*_EchFIXE)&gt;AD437-2,AD437,'Données Projet 1'!B446-(AE437*_EchFIXE))))+U437</f>
        <v>0</v>
      </c>
      <c r="AG437" s="154">
        <f t="shared" si="79"/>
        <v>0</v>
      </c>
      <c r="AH437" s="157">
        <f t="shared" si="73"/>
        <v>0</v>
      </c>
      <c r="AI437"/>
      <c r="AJ437" s="3"/>
      <c r="AK437" s="164"/>
      <c r="AL437" s="22"/>
      <c r="AM437" s="21"/>
      <c r="AN437" s="23"/>
      <c r="AO437" s="10"/>
      <c r="AP437" s="5" t="str">
        <f t="shared" si="80"/>
        <v/>
      </c>
      <c r="AQ437" s="7" t="str">
        <f t="shared" si="81"/>
        <v/>
      </c>
      <c r="AR437" s="8" t="str">
        <f t="shared" si="74"/>
        <v/>
      </c>
      <c r="AS437" s="31" t="str">
        <f>IF(AT437=0,"",IF(_Ijour1=0,MIN(DATE(YEAR(_DebAmort1),MONTH(_DebAmort1)+(AP437-1)*_Imois1,__Jou1),DATE(YEAR(_DebAmort1),MONTH(_DebAmort1)+1+(AP437-1)*_Imois1,0)),DATE(YEAR(_DebAmort1),MONTH(_DebAmort1),__Jou1+(AP437-1)*_Ijour1)))</f>
        <v/>
      </c>
      <c r="AT437" s="156">
        <f t="shared" si="82"/>
        <v>0</v>
      </c>
      <c r="AU437" s="153">
        <f>IF(AP437&lt;=_NoEchMaxi1,ROUND(AT437*'Données Projet 1'!H446,_NbDeci1),0)</f>
        <v>0</v>
      </c>
      <c r="AV437" s="152">
        <f>IF(OR(AP437&lt;=_Différé1,AP437&gt;_NoEchMaxi1),IF(_DiffTotal1,-AU437,0),IF(AP437&gt;=_NoEchRemb1,AT437,IF('Données Projet 1'!I446-(AU437*_EchFIXE1)&gt;AT437-2,AT437,'Données Projet 1'!I446-(AU437*_EchFIXE1))))+AK437</f>
        <v>0</v>
      </c>
      <c r="AW437" s="154">
        <f t="shared" si="83"/>
        <v>0</v>
      </c>
      <c r="AX437" s="157">
        <f t="shared" si="75"/>
        <v>0</v>
      </c>
    </row>
    <row r="438" spans="20:50" ht="15.75" customHeight="1" x14ac:dyDescent="0.3">
      <c r="T438" s="3"/>
      <c r="U438" s="164"/>
      <c r="V438" s="22"/>
      <c r="W438" s="21"/>
      <c r="X438" s="23"/>
      <c r="Y438" s="10"/>
      <c r="Z438" s="5" t="str">
        <f t="shared" si="76"/>
        <v/>
      </c>
      <c r="AA438" s="7" t="str">
        <f t="shared" si="77"/>
        <v/>
      </c>
      <c r="AB438" s="8" t="str">
        <f t="shared" si="72"/>
        <v/>
      </c>
      <c r="AC438" s="31" t="str">
        <f>IF(AD438=0,"",IF(_Ijour=0,MIN(DATE(YEAR(_DebAmort),MONTH(_DebAmort)+_MoisD+(Z438-1)*_Imois,_Jour2),DATE(YEAR(_DebAmort),MONTH(_DebAmort)+_MoisD+1+(Z438-1)*_Imois,0)),DATE(YEAR(_DebAmort),MONTH(_DebAmort),_Jour1+(Z438-1)*_Ijour)))</f>
        <v/>
      </c>
      <c r="AD438" s="156">
        <f t="shared" si="78"/>
        <v>0</v>
      </c>
      <c r="AE438" s="153">
        <f>IF(Z438&lt;=_NoEchMaxi,ROUND(AD438*'Données Projet 1'!A447,_NbDeci),0)</f>
        <v>0</v>
      </c>
      <c r="AF438" s="152">
        <f>IF(OR(Z438&lt;=_Différé,Z438&gt;_NoEchMaxi),IF(_DiffTotal,-AE438,0),IF(Z438&gt;=_NoEchRemb,AD438,IF('Données Projet 1'!B447-(AE438*_EchFIXE)&gt;AD438-2,AD438,'Données Projet 1'!B447-(AE438*_EchFIXE))))+U438</f>
        <v>0</v>
      </c>
      <c r="AG438" s="154">
        <f t="shared" si="79"/>
        <v>0</v>
      </c>
      <c r="AH438" s="157">
        <f t="shared" si="73"/>
        <v>0</v>
      </c>
      <c r="AI438"/>
      <c r="AJ438" s="3"/>
      <c r="AK438" s="164"/>
      <c r="AL438" s="22"/>
      <c r="AM438" s="21"/>
      <c r="AN438" s="23"/>
      <c r="AO438" s="10"/>
      <c r="AP438" s="5" t="str">
        <f t="shared" si="80"/>
        <v/>
      </c>
      <c r="AQ438" s="7" t="str">
        <f t="shared" si="81"/>
        <v/>
      </c>
      <c r="AR438" s="8" t="str">
        <f t="shared" si="74"/>
        <v/>
      </c>
      <c r="AS438" s="31" t="str">
        <f>IF(AT438=0,"",IF(_Ijour1=0,MIN(DATE(YEAR(_DebAmort1),MONTH(_DebAmort1)+_MoisD1+(AP438-1)*_Imois1,__Jou2),DATE(YEAR(_DebAmort1),MONTH(_DebAmort1)+_MoisD1+1+(AP438-1)*_Imois1,0)),DATE(YEAR(_DebAmort1),MONTH(_DebAmort1),__Jou1+(AP438-1)*_Ijour1)))</f>
        <v/>
      </c>
      <c r="AT438" s="156">
        <f t="shared" si="82"/>
        <v>0</v>
      </c>
      <c r="AU438" s="153">
        <f>IF(AP438&lt;=_NoEchMaxi1,ROUND(AT438*'Données Projet 1'!H447,_NbDeci1),0)</f>
        <v>0</v>
      </c>
      <c r="AV438" s="152">
        <f>IF(OR(AP438&lt;=_Différé1,AP438&gt;_NoEchMaxi1),IF(_DiffTotal1,-AU438,0),IF(AP438&gt;=_NoEchRemb1,AT438,IF('Données Projet 1'!I447-(AU438*_EchFIXE1)&gt;AT438-2,AT438,'Données Projet 1'!I447-(AU438*_EchFIXE1))))+AK438</f>
        <v>0</v>
      </c>
      <c r="AW438" s="154">
        <f t="shared" si="83"/>
        <v>0</v>
      </c>
      <c r="AX438" s="157">
        <f t="shared" si="75"/>
        <v>0</v>
      </c>
    </row>
    <row r="439" spans="20:50" ht="15.75" customHeight="1" thickBot="1" x14ac:dyDescent="0.35">
      <c r="T439" s="4"/>
      <c r="U439" s="165"/>
      <c r="V439" s="25"/>
      <c r="W439" s="24"/>
      <c r="X439" s="26"/>
      <c r="Y439" s="10"/>
      <c r="Z439" s="6" t="str">
        <f t="shared" si="76"/>
        <v/>
      </c>
      <c r="AA439" s="9" t="str">
        <f t="shared" si="77"/>
        <v/>
      </c>
      <c r="AB439" s="9" t="str">
        <f t="shared" si="72"/>
        <v/>
      </c>
      <c r="AC439" s="32" t="str">
        <f>IF(AD439=0,"",IF(_Ijour=0,MIN(DATE(YEAR(_DebAmort),MONTH(_DebAmort)+(Z439-1)*_Imois,_Jour1),DATE(YEAR(_DebAmort),MONTH(_DebAmort)+1+(Z439-1)*_Imois,0)),DATE(YEAR(_DebAmort),MONTH(_DebAmort),_Jour1+(Z439-1)*_Ijour)))</f>
        <v/>
      </c>
      <c r="AD439" s="158">
        <f t="shared" si="78"/>
        <v>0</v>
      </c>
      <c r="AE439" s="159">
        <f>IF(Z439&lt;=_NoEchMaxi,ROUND(AD439*'Données Projet 1'!A448,_NbDeci),0)</f>
        <v>0</v>
      </c>
      <c r="AF439" s="158">
        <f>IF(OR(Z439&lt;=_Différé,Z439&gt;_NoEchMaxi),IF(_DiffTotal,-AE439,0),IF(Z439&gt;=_NoEchRemb,AD439,IF('Données Projet 1'!B448-(AE439*_EchFIXE)&gt;AD439-2,AD439,'Données Projet 1'!B448-(AE439*_EchFIXE))))+U439</f>
        <v>0</v>
      </c>
      <c r="AG439" s="160">
        <f t="shared" si="79"/>
        <v>0</v>
      </c>
      <c r="AH439" s="161">
        <f t="shared" si="73"/>
        <v>0</v>
      </c>
      <c r="AI439"/>
      <c r="AJ439" s="4"/>
      <c r="AK439" s="165"/>
      <c r="AL439" s="25"/>
      <c r="AM439" s="24"/>
      <c r="AN439" s="26"/>
      <c r="AO439" s="10"/>
      <c r="AP439" s="6" t="str">
        <f t="shared" si="80"/>
        <v/>
      </c>
      <c r="AQ439" s="9" t="str">
        <f t="shared" si="81"/>
        <v/>
      </c>
      <c r="AR439" s="9" t="str">
        <f t="shared" si="74"/>
        <v/>
      </c>
      <c r="AS439" s="32" t="str">
        <f>IF(AT439=0,"",IF(_Ijour1=0,MIN(DATE(YEAR(_DebAmort1),MONTH(_DebAmort1)+(AP439-1)*_Imois1,__Jou1),DATE(YEAR(_DebAmort1),MONTH(_DebAmort1)+1+(AP439-1)*_Imois1,0)),DATE(YEAR(_DebAmort1),MONTH(_DebAmort1),__Jou1+(AP439-1)*_Ijour1)))</f>
        <v/>
      </c>
      <c r="AT439" s="158">
        <f t="shared" si="82"/>
        <v>0</v>
      </c>
      <c r="AU439" s="159">
        <f>IF(AP439&lt;=_NoEchMaxi1,ROUND(AT439*'Données Projet 1'!H448,_NbDeci1),0)</f>
        <v>0</v>
      </c>
      <c r="AV439" s="158">
        <f>IF(OR(AP439&lt;=_Différé1,AP439&gt;_NoEchMaxi1),IF(_DiffTotal1,-AU439,0),IF(AP439&gt;=_NoEchRemb1,AT439,IF('Données Projet 1'!I448-(AU439*_EchFIXE1)&gt;AT439-2,AT439,'Données Projet 1'!I448-(AU439*_EchFIXE1))))+AK439</f>
        <v>0</v>
      </c>
      <c r="AW439" s="160">
        <f t="shared" si="83"/>
        <v>0</v>
      </c>
      <c r="AX439" s="161">
        <f t="shared" si="75"/>
        <v>0</v>
      </c>
    </row>
    <row r="440" spans="20:50" ht="15.75" customHeight="1" x14ac:dyDescent="0.3">
      <c r="T440" s="11"/>
      <c r="U440" s="12"/>
      <c r="V440" s="10"/>
      <c r="W440" s="12"/>
      <c r="X440" s="12"/>
      <c r="Y440" s="10"/>
      <c r="Z440" s="10"/>
      <c r="AA440" s="10"/>
      <c r="AB440" s="27"/>
      <c r="AC440" s="10"/>
      <c r="AD440" s="10"/>
      <c r="AE440" s="10"/>
      <c r="AF440" s="10"/>
      <c r="AG440" s="10"/>
      <c r="AH440" s="10"/>
      <c r="AI440"/>
      <c r="AJ440" s="11"/>
      <c r="AK440" s="12"/>
      <c r="AL440" s="10"/>
      <c r="AM440" s="12"/>
      <c r="AN440" s="12"/>
      <c r="AO440" s="10"/>
      <c r="AP440" s="10"/>
      <c r="AQ440" s="10"/>
      <c r="AR440" s="27"/>
      <c r="AS440" s="10"/>
      <c r="AT440" s="10"/>
      <c r="AU440" s="10"/>
      <c r="AV440" s="10"/>
      <c r="AW440" s="10"/>
      <c r="AX440" s="10"/>
    </row>
    <row r="441" spans="20:50" ht="15.75" customHeight="1" x14ac:dyDescent="0.3">
      <c r="T441" s="11"/>
      <c r="U441" s="12"/>
      <c r="V441" s="10"/>
      <c r="W441" s="12"/>
      <c r="X441" s="12"/>
      <c r="Y441" s="10"/>
      <c r="Z441" s="10"/>
      <c r="AA441" s="10"/>
      <c r="AB441" s="27"/>
      <c r="AC441" s="111" t="s">
        <v>80</v>
      </c>
      <c r="AD441" s="111"/>
      <c r="AE441" s="166">
        <f>SUBTOTAL(9,AE6:AE439)</f>
        <v>85723.090000000026</v>
      </c>
      <c r="AF441" s="166">
        <f>SUBTOTAL(9,AF6:AF439)</f>
        <v>0</v>
      </c>
      <c r="AG441" s="166">
        <f>SUBTOTAL(9,AG6:AG439)</f>
        <v>8303.4000000000888</v>
      </c>
      <c r="AH441" s="166">
        <f>SUBTOTAL(9,AH6:AH439)</f>
        <v>94026.490000000107</v>
      </c>
      <c r="AI441"/>
      <c r="AJ441" s="11"/>
      <c r="AK441" s="12"/>
      <c r="AL441" s="10"/>
      <c r="AM441" s="12"/>
      <c r="AN441" s="12"/>
      <c r="AO441" s="10"/>
      <c r="AP441" s="10"/>
      <c r="AQ441" s="10"/>
      <c r="AR441" s="27"/>
      <c r="AS441" s="111" t="s">
        <v>80</v>
      </c>
      <c r="AT441" s="111"/>
      <c r="AU441" s="166">
        <f>SUBTOTAL(9,AU6:AU439)</f>
        <v>28087.20000000011</v>
      </c>
      <c r="AV441" s="166">
        <f>SUBTOTAL(9,AV6:AV439)</f>
        <v>0</v>
      </c>
      <c r="AW441" s="166">
        <f>SUBTOTAL(9,AW6:AW439)</f>
        <v>2807.9999999999909</v>
      </c>
      <c r="AX441" s="166">
        <f>SUBTOTAL(9,AX6:AX439)</f>
        <v>30895.200000002515</v>
      </c>
    </row>
  </sheetData>
  <sheetProtection formatCells="0" autoFilter="0"/>
  <mergeCells count="93">
    <mergeCell ref="AL6:AM6"/>
    <mergeCell ref="AJ4:AJ5"/>
    <mergeCell ref="AK4:AK5"/>
    <mergeCell ref="AL4:AL5"/>
    <mergeCell ref="AM4:AM5"/>
    <mergeCell ref="AG3:AG5"/>
    <mergeCell ref="AN4:AN5"/>
    <mergeCell ref="AP2:AX2"/>
    <mergeCell ref="AQ3:AQ5"/>
    <mergeCell ref="AS3:AS5"/>
    <mergeCell ref="AT3:AT5"/>
    <mergeCell ref="AU3:AU5"/>
    <mergeCell ref="AV3:AV5"/>
    <mergeCell ref="AW3:AW5"/>
    <mergeCell ref="AX3:AX5"/>
    <mergeCell ref="AJ2:AN2"/>
    <mergeCell ref="T1:AH1"/>
    <mergeCell ref="AJ1:AX1"/>
    <mergeCell ref="V6:W6"/>
    <mergeCell ref="T2:X2"/>
    <mergeCell ref="Z2:AH2"/>
    <mergeCell ref="T4:T5"/>
    <mergeCell ref="U4:U5"/>
    <mergeCell ref="V4:V5"/>
    <mergeCell ref="X4:X5"/>
    <mergeCell ref="W4:W5"/>
    <mergeCell ref="AA3:AA5"/>
    <mergeCell ref="AC3:AC5"/>
    <mergeCell ref="AE3:AE5"/>
    <mergeCell ref="AH3:AH5"/>
    <mergeCell ref="AD3:AD5"/>
    <mergeCell ref="AF3:AF5"/>
    <mergeCell ref="A1:B1"/>
    <mergeCell ref="G2:H2"/>
    <mergeCell ref="G10:H10"/>
    <mergeCell ref="I1:Q1"/>
    <mergeCell ref="I9:Q9"/>
    <mergeCell ref="O7:P7"/>
    <mergeCell ref="O8:P8"/>
    <mergeCell ref="O3:P3"/>
    <mergeCell ref="O4:P4"/>
    <mergeCell ref="I10:J10"/>
    <mergeCell ref="O65:O68"/>
    <mergeCell ref="O69:O72"/>
    <mergeCell ref="R1:S1"/>
    <mergeCell ref="C1:H1"/>
    <mergeCell ref="O5:P5"/>
    <mergeCell ref="O6:P6"/>
    <mergeCell ref="I2:J2"/>
    <mergeCell ref="A26:B26"/>
    <mergeCell ref="E26:F26"/>
    <mergeCell ref="A16:B16"/>
    <mergeCell ref="E16:F16"/>
    <mergeCell ref="C26:D26"/>
    <mergeCell ref="C16:D16"/>
    <mergeCell ref="O16:P16"/>
    <mergeCell ref="O11:P11"/>
    <mergeCell ref="O12:P12"/>
    <mergeCell ref="O13:P13"/>
    <mergeCell ref="O14:P14"/>
    <mergeCell ref="O15:P15"/>
    <mergeCell ref="O73:O76"/>
    <mergeCell ref="O77:O80"/>
    <mergeCell ref="I96:J96"/>
    <mergeCell ref="I73:J73"/>
    <mergeCell ref="I90:J90"/>
    <mergeCell ref="H95:M95"/>
    <mergeCell ref="A36:B36"/>
    <mergeCell ref="O81:O84"/>
    <mergeCell ref="O85:O88"/>
    <mergeCell ref="O89:O92"/>
    <mergeCell ref="O93:O95"/>
    <mergeCell ref="H63:M63"/>
    <mergeCell ref="I64:J64"/>
    <mergeCell ref="H89:M89"/>
    <mergeCell ref="H56:M56"/>
    <mergeCell ref="H94:M94"/>
    <mergeCell ref="H72:M72"/>
    <mergeCell ref="O48:Q48"/>
    <mergeCell ref="O49:O52"/>
    <mergeCell ref="O53:O56"/>
    <mergeCell ref="O57:O60"/>
    <mergeCell ref="O61:O64"/>
    <mergeCell ref="I113:J113"/>
    <mergeCell ref="C36:D36"/>
    <mergeCell ref="H79:M79"/>
    <mergeCell ref="I80:J80"/>
    <mergeCell ref="I25:J25"/>
    <mergeCell ref="I36:J36"/>
    <mergeCell ref="H104:M104"/>
    <mergeCell ref="I105:J105"/>
    <mergeCell ref="H112:M112"/>
    <mergeCell ref="I57:J57"/>
  </mergeCells>
  <phoneticPr fontId="11" type="noConversion"/>
  <conditionalFormatting sqref="N7">
    <cfRule type="expression" dxfId="75" priority="18" stopIfTrue="1">
      <formula>MOD(_Différé,1)&lt;&gt;0</formula>
    </cfRule>
  </conditionalFormatting>
  <conditionalFormatting sqref="N15">
    <cfRule type="expression" dxfId="74" priority="10" stopIfTrue="1">
      <formula>MOD(_Différé1,1)&lt;&gt;0</formula>
    </cfRule>
  </conditionalFormatting>
  <conditionalFormatting sqref="O6:Q6 O14:Q14">
    <cfRule type="expression" dxfId="73" priority="19" stopIfTrue="1">
      <formula>$Q$6&lt;$J$3</formula>
    </cfRule>
  </conditionalFormatting>
  <conditionalFormatting sqref="Z7:AH55 Z120:AH439">
    <cfRule type="expression" dxfId="72" priority="5" stopIfTrue="1">
      <formula>$H7=""</formula>
    </cfRule>
    <cfRule type="expression" dxfId="71" priority="6" stopIfTrue="1">
      <formula>$H7&lt;=_Différé</formula>
    </cfRule>
  </conditionalFormatting>
  <conditionalFormatting sqref="T7:X55 T120:X439">
    <cfRule type="expression" dxfId="70" priority="7" stopIfTrue="1">
      <formula>$H7=""</formula>
    </cfRule>
    <cfRule type="expression" dxfId="69" priority="8" stopIfTrue="1">
      <formula>$H7&lt;=_Différé</formula>
    </cfRule>
  </conditionalFormatting>
  <conditionalFormatting sqref="AP7:AX55 AP120:AX439">
    <cfRule type="expression" dxfId="68" priority="1" stopIfTrue="1">
      <formula>$H7=""</formula>
    </cfRule>
    <cfRule type="expression" dxfId="67" priority="2" stopIfTrue="1">
      <formula>$H7&lt;=_Différé1</formula>
    </cfRule>
  </conditionalFormatting>
  <conditionalFormatting sqref="AJ7:AN55 AJ120:AN439">
    <cfRule type="expression" dxfId="66" priority="3" stopIfTrue="1">
      <formula>$H7=""</formula>
    </cfRule>
    <cfRule type="expression" dxfId="65" priority="4" stopIfTrue="1">
      <formula>$H7&lt;=_Différé1</formula>
    </cfRule>
  </conditionalFormatting>
  <conditionalFormatting sqref="Z67:AH76">
    <cfRule type="expression" dxfId="64" priority="22" stopIfTrue="1">
      <formula>#REF!=""</formula>
    </cfRule>
    <cfRule type="expression" dxfId="63" priority="23" stopIfTrue="1">
      <formula>#REF!&lt;=_Différé</formula>
    </cfRule>
  </conditionalFormatting>
  <conditionalFormatting sqref="T67:X76">
    <cfRule type="expression" dxfId="62" priority="26" stopIfTrue="1">
      <formula>#REF!=""</formula>
    </cfRule>
    <cfRule type="expression" dxfId="61" priority="27" stopIfTrue="1">
      <formula>#REF!&lt;=_Différé</formula>
    </cfRule>
  </conditionalFormatting>
  <conditionalFormatting sqref="AP67:AX76">
    <cfRule type="expression" dxfId="60" priority="30" stopIfTrue="1">
      <formula>#REF!=""</formula>
    </cfRule>
    <cfRule type="expression" dxfId="59" priority="31" stopIfTrue="1">
      <formula>#REF!&lt;=_Différé1</formula>
    </cfRule>
  </conditionalFormatting>
  <conditionalFormatting sqref="AJ67:AN76">
    <cfRule type="expression" dxfId="58" priority="34" stopIfTrue="1">
      <formula>#REF!=""</formula>
    </cfRule>
    <cfRule type="expression" dxfId="57" priority="35" stopIfTrue="1">
      <formula>#REF!&lt;=_Différé1</formula>
    </cfRule>
  </conditionalFormatting>
  <conditionalFormatting sqref="Z56:AH66 Z77:AH98 Z117:AH119">
    <cfRule type="expression" dxfId="56" priority="38" stopIfTrue="1">
      <formula>#REF!=""</formula>
    </cfRule>
    <cfRule type="expression" dxfId="55" priority="39" stopIfTrue="1">
      <formula>#REF!&lt;=_Différé</formula>
    </cfRule>
  </conditionalFormatting>
  <conditionalFormatting sqref="T56:X66 T77:X98 T117:X119">
    <cfRule type="expression" dxfId="54" priority="46" stopIfTrue="1">
      <formula>#REF!=""</formula>
    </cfRule>
    <cfRule type="expression" dxfId="53" priority="47" stopIfTrue="1">
      <formula>#REF!&lt;=_Différé</formula>
    </cfRule>
  </conditionalFormatting>
  <conditionalFormatting sqref="AP56:AX66 AP77:AX98 AP117:AX119">
    <cfRule type="expression" dxfId="52" priority="54" stopIfTrue="1">
      <formula>#REF!=""</formula>
    </cfRule>
    <cfRule type="expression" dxfId="51" priority="55" stopIfTrue="1">
      <formula>#REF!&lt;=_Différé1</formula>
    </cfRule>
  </conditionalFormatting>
  <conditionalFormatting sqref="AJ56:AN66 AJ77:AN98 AJ117:AN119">
    <cfRule type="expression" dxfId="50" priority="62" stopIfTrue="1">
      <formula>#REF!=""</formula>
    </cfRule>
    <cfRule type="expression" dxfId="49" priority="63" stopIfTrue="1">
      <formula>#REF!&lt;=_Différé1</formula>
    </cfRule>
  </conditionalFormatting>
  <conditionalFormatting sqref="Z99:AH99 Z108:AH108">
    <cfRule type="expression" dxfId="48" priority="112" stopIfTrue="1">
      <formula>#REF!=""</formula>
    </cfRule>
    <cfRule type="expression" dxfId="47" priority="113" stopIfTrue="1">
      <formula>#REF!&lt;=_Différé</formula>
    </cfRule>
  </conditionalFormatting>
  <conditionalFormatting sqref="T99:X99 T108:X108">
    <cfRule type="expression" dxfId="46" priority="116" stopIfTrue="1">
      <formula>#REF!=""</formula>
    </cfRule>
    <cfRule type="expression" dxfId="45" priority="117" stopIfTrue="1">
      <formula>#REF!&lt;=_Différé</formula>
    </cfRule>
  </conditionalFormatting>
  <conditionalFormatting sqref="AP99:AX99 AP108:AX108">
    <cfRule type="expression" dxfId="44" priority="120" stopIfTrue="1">
      <formula>#REF!=""</formula>
    </cfRule>
    <cfRule type="expression" dxfId="43" priority="121" stopIfTrue="1">
      <formula>#REF!&lt;=_Différé1</formula>
    </cfRule>
  </conditionalFormatting>
  <conditionalFormatting sqref="AJ99:AN99 AJ108:AN108">
    <cfRule type="expression" dxfId="42" priority="124" stopIfTrue="1">
      <formula>#REF!=""</formula>
    </cfRule>
    <cfRule type="expression" dxfId="41" priority="125" stopIfTrue="1">
      <formula>#REF!&lt;=_Différé1</formula>
    </cfRule>
  </conditionalFormatting>
  <conditionalFormatting sqref="Z100:AH107">
    <cfRule type="expression" dxfId="40" priority="160" stopIfTrue="1">
      <formula>$H104=""</formula>
    </cfRule>
    <cfRule type="expression" dxfId="39" priority="161" stopIfTrue="1">
      <formula>$H104&lt;=_Différé</formula>
    </cfRule>
  </conditionalFormatting>
  <conditionalFormatting sqref="T100:X107">
    <cfRule type="expression" dxfId="38" priority="162" stopIfTrue="1">
      <formula>$H104=""</formula>
    </cfRule>
    <cfRule type="expression" dxfId="37" priority="163" stopIfTrue="1">
      <formula>$H104&lt;=_Différé</formula>
    </cfRule>
  </conditionalFormatting>
  <conditionalFormatting sqref="AP100:AX107">
    <cfRule type="expression" dxfId="36" priority="164" stopIfTrue="1">
      <formula>$H104=""</formula>
    </cfRule>
    <cfRule type="expression" dxfId="35" priority="165" stopIfTrue="1">
      <formula>$H104&lt;=_Différé1</formula>
    </cfRule>
  </conditionalFormatting>
  <conditionalFormatting sqref="AJ100:AN107">
    <cfRule type="expression" dxfId="34" priority="166" stopIfTrue="1">
      <formula>$H104=""</formula>
    </cfRule>
    <cfRule type="expression" dxfId="33" priority="167" stopIfTrue="1">
      <formula>$H104&lt;=_Différé1</formula>
    </cfRule>
  </conditionalFormatting>
  <conditionalFormatting sqref="Z109:AH116">
    <cfRule type="expression" dxfId="32" priority="168" stopIfTrue="1">
      <formula>$H112=""</formula>
    </cfRule>
    <cfRule type="expression" dxfId="31" priority="169" stopIfTrue="1">
      <formula>$H112&lt;=_Différé</formula>
    </cfRule>
  </conditionalFormatting>
  <conditionalFormatting sqref="T109:X116">
    <cfRule type="expression" dxfId="30" priority="170" stopIfTrue="1">
      <formula>$H112=""</formula>
    </cfRule>
    <cfRule type="expression" dxfId="29" priority="171" stopIfTrue="1">
      <formula>$H112&lt;=_Différé</formula>
    </cfRule>
  </conditionalFormatting>
  <conditionalFormatting sqref="AP109:AX116">
    <cfRule type="expression" dxfId="28" priority="172" stopIfTrue="1">
      <formula>$H112=""</formula>
    </cfRule>
    <cfRule type="expression" dxfId="27" priority="173" stopIfTrue="1">
      <formula>$H112&lt;=_Différé1</formula>
    </cfRule>
  </conditionalFormatting>
  <conditionalFormatting sqref="AJ109:AN116">
    <cfRule type="expression" dxfId="26" priority="174" stopIfTrue="1">
      <formula>$H112=""</formula>
    </cfRule>
    <cfRule type="expression" dxfId="25" priority="175" stopIfTrue="1">
      <formula>$H112&lt;=_Différé1</formula>
    </cfRule>
  </conditionalFormatting>
  <dataValidations count="12">
    <dataValidation type="list" allowBlank="1" showInputMessage="1" showErrorMessage="1" sqref="C6">
      <formula1>$P$53:$P$55</formula1>
    </dataValidation>
    <dataValidation type="list" allowBlank="1" showInputMessage="1" showErrorMessage="1" sqref="C8">
      <formula1>$P$57:$P$59</formula1>
    </dataValidation>
    <dataValidation type="list" allowBlank="1" showInputMessage="1" showErrorMessage="1" sqref="C10">
      <formula1>$P$61:$P$63</formula1>
    </dataValidation>
    <dataValidation type="list" allowBlank="1" showInputMessage="1" showErrorMessage="1" sqref="C12">
      <formula1>$P$65:$P$67</formula1>
    </dataValidation>
    <dataValidation type="list" allowBlank="1" showInputMessage="1" showErrorMessage="1" sqref="C14">
      <formula1>$P$69:$P$71</formula1>
    </dataValidation>
    <dataValidation type="list" allowBlank="1" showInputMessage="1" showErrorMessage="1" sqref="E4">
      <formula1>$P$73:$P$75</formula1>
    </dataValidation>
    <dataValidation type="list" allowBlank="1" showInputMessage="1" showErrorMessage="1" sqref="E6">
      <formula1>$P$77:$P$79</formula1>
    </dataValidation>
    <dataValidation type="list" allowBlank="1" showInputMessage="1" showErrorMessage="1" sqref="E8">
      <formula1>$P$81:$P$83</formula1>
    </dataValidation>
    <dataValidation type="list" allowBlank="1" showInputMessage="1" showErrorMessage="1" sqref="E10">
      <formula1>$P$85:$P$87</formula1>
    </dataValidation>
    <dataValidation type="list" allowBlank="1" showInputMessage="1" showErrorMessage="1" sqref="E12">
      <formula1>$P$89:$P$91</formula1>
    </dataValidation>
    <dataValidation type="list" allowBlank="1" showInputMessage="1" showErrorMessage="1" sqref="C4">
      <formula1>$P$49:$P$51</formula1>
    </dataValidation>
    <dataValidation type="list" allowBlank="1" showInputMessage="1" showErrorMessage="1" sqref="E14">
      <formula1>$P$93:$P$95</formula1>
    </dataValidation>
  </dataValidations>
  <pageMargins left="0.78740157499999996" right="0.78740157499999996" top="0.984251969" bottom="0.984251969" header="0.4921259845" footer="0.4921259845"/>
  <pageSetup paperSize="9" orientation="portrait" horizontalDpi="4294967293" verticalDpi="4294967293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72" r:id="rId4" name="Drop Down 48">
              <controlPr locked="0" defaultSize="0" autoLine="0" autoPict="0" altText="Périodicité">
                <anchor moveWithCells="1">
                  <from>
                    <xdr:col>11</xdr:col>
                    <xdr:colOff>0</xdr:colOff>
                    <xdr:row>2</xdr:row>
                    <xdr:rowOff>180975</xdr:rowOff>
                  </from>
                  <to>
                    <xdr:col>11</xdr:col>
                    <xdr:colOff>733425</xdr:colOff>
                    <xdr:row>3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5" name="Option Button 56">
              <controlPr defaultSize="0" autoFill="0" autoLine="0" autoPict="0">
                <anchor moveWithCells="1">
                  <from>
                    <xdr:col>10</xdr:col>
                    <xdr:colOff>85725</xdr:colOff>
                    <xdr:row>4</xdr:row>
                    <xdr:rowOff>9525</xdr:rowOff>
                  </from>
                  <to>
                    <xdr:col>10</xdr:col>
                    <xdr:colOff>714375</xdr:colOff>
                    <xdr:row>5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6" name="Option Button 57">
              <controlPr defaultSize="0" autoFill="0" autoLine="0" autoPict="0">
                <anchor moveWithCells="1">
                  <from>
                    <xdr:col>10</xdr:col>
                    <xdr:colOff>685800</xdr:colOff>
                    <xdr:row>4</xdr:row>
                    <xdr:rowOff>9525</xdr:rowOff>
                  </from>
                  <to>
                    <xdr:col>11</xdr:col>
                    <xdr:colOff>619125</xdr:colOff>
                    <xdr:row>5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7" name="Group Box 58">
              <controlPr defaultSize="0" autoFill="0" autoPict="0">
                <anchor moveWithCells="1">
                  <from>
                    <xdr:col>10</xdr:col>
                    <xdr:colOff>76200</xdr:colOff>
                    <xdr:row>4</xdr:row>
                    <xdr:rowOff>0</xdr:rowOff>
                  </from>
                  <to>
                    <xdr:col>11</xdr:col>
                    <xdr:colOff>647700</xdr:colOff>
                    <xdr:row>5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8" name="Option Button 59">
              <controlPr locked="0" defaultSize="0" autoFill="0" autoLine="0" autoPict="0">
                <anchor moveWithCells="1">
                  <from>
                    <xdr:col>12</xdr:col>
                    <xdr:colOff>1390650</xdr:colOff>
                    <xdr:row>4</xdr:row>
                    <xdr:rowOff>152400</xdr:rowOff>
                  </from>
                  <to>
                    <xdr:col>13</xdr:col>
                    <xdr:colOff>476250</xdr:colOff>
                    <xdr:row>5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9" name="Option Button 60">
              <controlPr locked="0" defaultSize="0" autoFill="0" autoLine="0" autoPict="0">
                <anchor moveWithCells="1">
                  <from>
                    <xdr:col>13</xdr:col>
                    <xdr:colOff>457200</xdr:colOff>
                    <xdr:row>4</xdr:row>
                    <xdr:rowOff>152400</xdr:rowOff>
                  </from>
                  <to>
                    <xdr:col>14</xdr:col>
                    <xdr:colOff>0</xdr:colOff>
                    <xdr:row>5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10" name="Group Box 61">
              <controlPr defaultSize="0" autoFill="0" autoPict="0">
                <anchor moveWithCells="1">
                  <from>
                    <xdr:col>13</xdr:col>
                    <xdr:colOff>0</xdr:colOff>
                    <xdr:row>4</xdr:row>
                    <xdr:rowOff>123825</xdr:rowOff>
                  </from>
                  <to>
                    <xdr:col>13</xdr:col>
                    <xdr:colOff>895350</xdr:colOff>
                    <xdr:row>5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6" r:id="rId11" name="Drop Down 92">
              <controlPr locked="0" defaultSize="0" autoLine="0" autoPict="0" altText="Périodicité">
                <anchor moveWithCells="1">
                  <from>
                    <xdr:col>11</xdr:col>
                    <xdr:colOff>0</xdr:colOff>
                    <xdr:row>10</xdr:row>
                    <xdr:rowOff>171450</xdr:rowOff>
                  </from>
                  <to>
                    <xdr:col>11</xdr:col>
                    <xdr:colOff>733425</xdr:colOff>
                    <xdr:row>11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7" r:id="rId12" name="Option Button 93">
              <controlPr defaultSize="0" autoFill="0" autoLine="0" autoPict="0">
                <anchor moveWithCells="1">
                  <from>
                    <xdr:col>10</xdr:col>
                    <xdr:colOff>66675</xdr:colOff>
                    <xdr:row>12</xdr:row>
                    <xdr:rowOff>28575</xdr:rowOff>
                  </from>
                  <to>
                    <xdr:col>10</xdr:col>
                    <xdr:colOff>695325</xdr:colOff>
                    <xdr:row>13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8" r:id="rId13" name="Option Button 94">
              <controlPr defaultSize="0" autoFill="0" autoLine="0" autoPict="0">
                <anchor moveWithCells="1">
                  <from>
                    <xdr:col>10</xdr:col>
                    <xdr:colOff>666750</xdr:colOff>
                    <xdr:row>12</xdr:row>
                    <xdr:rowOff>28575</xdr:rowOff>
                  </from>
                  <to>
                    <xdr:col>11</xdr:col>
                    <xdr:colOff>600075</xdr:colOff>
                    <xdr:row>13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9" r:id="rId14" name="Group Box 95">
              <controlPr defaultSize="0" autoFill="0" autoPict="0">
                <anchor moveWithCells="1">
                  <from>
                    <xdr:col>10</xdr:col>
                    <xdr:colOff>28575</xdr:colOff>
                    <xdr:row>12</xdr:row>
                    <xdr:rowOff>19050</xdr:rowOff>
                  </from>
                  <to>
                    <xdr:col>11</xdr:col>
                    <xdr:colOff>600075</xdr:colOff>
                    <xdr:row>13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0" r:id="rId15" name="Option Button 96">
              <controlPr defaultSize="0" autoFill="0" autoLine="0" autoPict="0">
                <anchor moveWithCells="1">
                  <from>
                    <xdr:col>12</xdr:col>
                    <xdr:colOff>1419225</xdr:colOff>
                    <xdr:row>12</xdr:row>
                    <xdr:rowOff>133350</xdr:rowOff>
                  </from>
                  <to>
                    <xdr:col>13</xdr:col>
                    <xdr:colOff>438150</xdr:colOff>
                    <xdr:row>13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1" r:id="rId16" name="Option Button 97">
              <controlPr defaultSize="0" autoFill="0" autoLine="0" autoPict="0">
                <anchor moveWithCells="1">
                  <from>
                    <xdr:col>13</xdr:col>
                    <xdr:colOff>447675</xdr:colOff>
                    <xdr:row>12</xdr:row>
                    <xdr:rowOff>133350</xdr:rowOff>
                  </from>
                  <to>
                    <xdr:col>13</xdr:col>
                    <xdr:colOff>847725</xdr:colOff>
                    <xdr:row>13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2" r:id="rId17" name="Group Box 98">
              <controlPr defaultSize="0" autoFill="0" autoPict="0">
                <anchor moveWithCells="1">
                  <from>
                    <xdr:col>12</xdr:col>
                    <xdr:colOff>1428750</xdr:colOff>
                    <xdr:row>12</xdr:row>
                    <xdr:rowOff>114300</xdr:rowOff>
                  </from>
                  <to>
                    <xdr:col>13</xdr:col>
                    <xdr:colOff>885825</xdr:colOff>
                    <xdr:row>13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3" r:id="rId18" name="Group Box 109">
              <controlPr defaultSize="0" autoFill="0" autoPict="0">
                <anchor moveWithCells="1">
                  <from>
                    <xdr:col>10</xdr:col>
                    <xdr:colOff>9525</xdr:colOff>
                    <xdr:row>5</xdr:row>
                    <xdr:rowOff>85725</xdr:rowOff>
                  </from>
                  <to>
                    <xdr:col>11</xdr:col>
                    <xdr:colOff>723900</xdr:colOff>
                    <xdr:row>6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7" r:id="rId19" name="Group Box 113">
              <controlPr defaultSize="0" autoFill="0" autoPict="0">
                <anchor moveWithCells="1">
                  <from>
                    <xdr:col>2</xdr:col>
                    <xdr:colOff>609600</xdr:colOff>
                    <xdr:row>21</xdr:row>
                    <xdr:rowOff>57150</xdr:rowOff>
                  </from>
                  <to>
                    <xdr:col>3</xdr:col>
                    <xdr:colOff>781050</xdr:colOff>
                    <xdr:row>22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8" r:id="rId20" name="Option Button 114">
              <controlPr defaultSize="0" autoFill="0" autoLine="0" autoPict="0">
                <anchor moveWithCells="1">
                  <from>
                    <xdr:col>2</xdr:col>
                    <xdr:colOff>685800</xdr:colOff>
                    <xdr:row>21</xdr:row>
                    <xdr:rowOff>85725</xdr:rowOff>
                  </from>
                  <to>
                    <xdr:col>2</xdr:col>
                    <xdr:colOff>1152525</xdr:colOff>
                    <xdr:row>22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9" r:id="rId21" name="Option Button 115">
              <controlPr defaultSize="0" autoFill="0" autoLine="0" autoPict="0">
                <anchor moveWithCells="1">
                  <from>
                    <xdr:col>2</xdr:col>
                    <xdr:colOff>1438275</xdr:colOff>
                    <xdr:row>21</xdr:row>
                    <xdr:rowOff>85725</xdr:rowOff>
                  </from>
                  <to>
                    <xdr:col>3</xdr:col>
                    <xdr:colOff>381000</xdr:colOff>
                    <xdr:row>22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0" r:id="rId22" name="Option Button 116">
              <controlPr defaultSize="0" autoFill="0" autoLine="0" autoPict="0">
                <anchor moveWithCells="1">
                  <from>
                    <xdr:col>10</xdr:col>
                    <xdr:colOff>19050</xdr:colOff>
                    <xdr:row>5</xdr:row>
                    <xdr:rowOff>123825</xdr:rowOff>
                  </from>
                  <to>
                    <xdr:col>10</xdr:col>
                    <xdr:colOff>419100</xdr:colOff>
                    <xdr:row>6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1" r:id="rId23" name="Option Button 117">
              <controlPr defaultSize="0" autoFill="0" autoLine="0" autoPict="0">
                <anchor moveWithCells="1">
                  <from>
                    <xdr:col>10</xdr:col>
                    <xdr:colOff>600075</xdr:colOff>
                    <xdr:row>5</xdr:row>
                    <xdr:rowOff>123825</xdr:rowOff>
                  </from>
                  <to>
                    <xdr:col>11</xdr:col>
                    <xdr:colOff>161925</xdr:colOff>
                    <xdr:row>6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2" r:id="rId24" name="Option Button 118">
              <controlPr defaultSize="0" autoFill="0" autoLine="0" autoPict="0">
                <anchor moveWithCells="1">
                  <from>
                    <xdr:col>11</xdr:col>
                    <xdr:colOff>209550</xdr:colOff>
                    <xdr:row>5</xdr:row>
                    <xdr:rowOff>123825</xdr:rowOff>
                  </from>
                  <to>
                    <xdr:col>11</xdr:col>
                    <xdr:colOff>571500</xdr:colOff>
                    <xdr:row>6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K185"/>
  <sheetViews>
    <sheetView workbookViewId="0">
      <selection activeCell="F8" sqref="F8"/>
    </sheetView>
  </sheetViews>
  <sheetFormatPr baseColWidth="10" defaultRowHeight="12.75" x14ac:dyDescent="0.2"/>
  <cols>
    <col min="1" max="4" width="11.42578125" style="298"/>
    <col min="5" max="5" width="14.42578125" style="298" customWidth="1"/>
    <col min="6" max="16384" width="11.42578125" style="298"/>
  </cols>
  <sheetData>
    <row r="1" spans="1:11" x14ac:dyDescent="0.2">
      <c r="B1" s="629" t="s">
        <v>324</v>
      </c>
      <c r="C1" s="629"/>
      <c r="D1" s="629"/>
      <c r="E1" s="629"/>
    </row>
    <row r="3" spans="1:11" x14ac:dyDescent="0.2">
      <c r="A3" s="298">
        <v>1</v>
      </c>
      <c r="B3" s="298">
        <f>'TAM Projet 1'!AD7</f>
        <v>237250</v>
      </c>
      <c r="C3" s="299" t="e">
        <f>'ensemble des projets'!$C$29</f>
        <v>#REF!</v>
      </c>
      <c r="D3" s="299" t="e">
        <f>C3*0.00155</f>
        <v>#REF!</v>
      </c>
      <c r="E3" s="299" t="e">
        <f>C3+D3+40000+220000</f>
        <v>#REF!</v>
      </c>
      <c r="G3" s="298">
        <v>1</v>
      </c>
      <c r="H3" s="298">
        <f>'TAM Projet 1'!AT7</f>
        <v>187250</v>
      </c>
      <c r="I3" s="299">
        <f>'TAM Projet 1'!$D$52</f>
        <v>1253.61888</v>
      </c>
      <c r="J3" s="299">
        <f>I3*0.00155</f>
        <v>1.9431092639999998</v>
      </c>
      <c r="K3" s="299">
        <f>I3+J3+40000</f>
        <v>41255.561989264002</v>
      </c>
    </row>
    <row r="4" spans="1:11" x14ac:dyDescent="0.2">
      <c r="A4" s="298">
        <v>2</v>
      </c>
      <c r="B4" s="298">
        <f>'TAM Projet 1'!AD8</f>
        <v>236848.76</v>
      </c>
      <c r="C4" s="299" t="e">
        <f>C3+'ensemble des projets'!$C$29</f>
        <v>#REF!</v>
      </c>
      <c r="D4" s="299" t="e">
        <f>(E3+$C$3)*0.00155</f>
        <v>#REF!</v>
      </c>
      <c r="E4" s="299" t="e">
        <f>((E3+$C$3)*0.00155+(E3+$C$3))</f>
        <v>#REF!</v>
      </c>
      <c r="G4" s="298">
        <v>2</v>
      </c>
      <c r="H4" s="298">
        <f>'TAM Projet 1'!AT8</f>
        <v>187250</v>
      </c>
      <c r="I4" s="299">
        <f>I3+'TAM Projet 1'!$D$52</f>
        <v>2507.23776</v>
      </c>
      <c r="J4" s="299">
        <f>(K3+$I$3)*0.00155</f>
        <v>65.889230347359202</v>
      </c>
      <c r="K4" s="299">
        <f>((K3+$I$3)*0.00155+(K3+$I$3))</f>
        <v>42575.070099611366</v>
      </c>
    </row>
    <row r="5" spans="1:11" x14ac:dyDescent="0.2">
      <c r="A5" s="298">
        <v>3</v>
      </c>
      <c r="B5" s="298">
        <f>'TAM Projet 1'!AD9</f>
        <v>236446.90000000002</v>
      </c>
      <c r="C5" s="299" t="e">
        <f>C4+'ensemble des projets'!$C$29</f>
        <v>#REF!</v>
      </c>
      <c r="D5" s="299" t="e">
        <f t="shared" ref="D5:D68" si="0">(E4+$C$3)*0.00155</f>
        <v>#REF!</v>
      </c>
      <c r="E5" s="299" t="e">
        <f t="shared" ref="E5:E68" si="1">((E4+$C$3)*0.00155+(E4+$C$3))</f>
        <v>#REF!</v>
      </c>
      <c r="G5" s="298">
        <v>3</v>
      </c>
      <c r="H5" s="298">
        <f>'TAM Projet 1'!AT9</f>
        <v>187250</v>
      </c>
      <c r="I5" s="299">
        <f>I4+'TAM Projet 1'!$D$52</f>
        <v>3760.85664</v>
      </c>
      <c r="J5" s="299">
        <f t="shared" ref="J5:J68" si="2">(K4+$I$3)*0.00155</f>
        <v>67.934467918397615</v>
      </c>
      <c r="K5" s="299">
        <f t="shared" ref="K5:K68" si="3">((K4+$I$3)*0.00155+(K4+$I$3))</f>
        <v>43896.623447529768</v>
      </c>
    </row>
    <row r="6" spans="1:11" x14ac:dyDescent="0.2">
      <c r="A6" s="298">
        <v>4</v>
      </c>
      <c r="B6" s="298">
        <f>'TAM Projet 1'!AD10</f>
        <v>236044.41000000003</v>
      </c>
      <c r="C6" s="299" t="e">
        <f>C5+'ensemble des projets'!$C$29</f>
        <v>#REF!</v>
      </c>
      <c r="D6" s="299" t="e">
        <f t="shared" si="0"/>
        <v>#REF!</v>
      </c>
      <c r="E6" s="299" t="e">
        <f t="shared" si="1"/>
        <v>#REF!</v>
      </c>
      <c r="G6" s="298">
        <v>4</v>
      </c>
      <c r="H6" s="298">
        <f>'TAM Projet 1'!AT10</f>
        <v>187250</v>
      </c>
      <c r="I6" s="299">
        <f>I5+'TAM Projet 1'!$D$52</f>
        <v>5014.47552</v>
      </c>
      <c r="J6" s="299">
        <f t="shared" si="2"/>
        <v>69.982875607671147</v>
      </c>
      <c r="K6" s="299">
        <f t="shared" si="3"/>
        <v>45220.225203137437</v>
      </c>
    </row>
    <row r="7" spans="1:11" x14ac:dyDescent="0.2">
      <c r="A7" s="298">
        <v>5</v>
      </c>
      <c r="B7" s="298">
        <f>'TAM Projet 1'!AD11</f>
        <v>235641.30000000005</v>
      </c>
      <c r="C7" s="299" t="e">
        <f>C6+'ensemble des projets'!$C$29</f>
        <v>#REF!</v>
      </c>
      <c r="D7" s="299" t="e">
        <f t="shared" si="0"/>
        <v>#REF!</v>
      </c>
      <c r="E7" s="299" t="e">
        <f t="shared" si="1"/>
        <v>#REF!</v>
      </c>
      <c r="G7" s="298">
        <v>5</v>
      </c>
      <c r="H7" s="298">
        <f>'TAM Projet 1'!AT11</f>
        <v>187250</v>
      </c>
      <c r="I7" s="299">
        <f>I6+'TAM Projet 1'!$D$52</f>
        <v>6268.0944</v>
      </c>
      <c r="J7" s="299">
        <f t="shared" si="2"/>
        <v>72.034458328863025</v>
      </c>
      <c r="K7" s="299">
        <f t="shared" si="3"/>
        <v>46545.8785414663</v>
      </c>
    </row>
    <row r="8" spans="1:11" x14ac:dyDescent="0.2">
      <c r="A8" s="298">
        <v>6</v>
      </c>
      <c r="B8" s="298">
        <f>'TAM Projet 1'!AD12</f>
        <v>235237.56000000006</v>
      </c>
      <c r="C8" s="299" t="e">
        <f>C7+'ensemble des projets'!$C$29</f>
        <v>#REF!</v>
      </c>
      <c r="D8" s="299" t="e">
        <f t="shared" si="0"/>
        <v>#REF!</v>
      </c>
      <c r="E8" s="299" t="e">
        <f t="shared" si="1"/>
        <v>#REF!</v>
      </c>
      <c r="G8" s="298">
        <v>6</v>
      </c>
      <c r="H8" s="298">
        <f>'TAM Projet 1'!AT12</f>
        <v>187250</v>
      </c>
      <c r="I8" s="299">
        <f>I7+'TAM Projet 1'!$D$52</f>
        <v>7521.7132799999999</v>
      </c>
      <c r="J8" s="299">
        <f t="shared" si="2"/>
        <v>74.089221003272769</v>
      </c>
      <c r="K8" s="299">
        <f t="shared" si="3"/>
        <v>47873.586642469578</v>
      </c>
    </row>
    <row r="9" spans="1:11" x14ac:dyDescent="0.2">
      <c r="A9" s="298">
        <v>7</v>
      </c>
      <c r="B9" s="298">
        <f>'TAM Projet 1'!AD13</f>
        <v>234833.20000000007</v>
      </c>
      <c r="C9" s="299" t="e">
        <f>C8+'ensemble des projets'!$C$29</f>
        <v>#REF!</v>
      </c>
      <c r="D9" s="299" t="e">
        <f t="shared" si="0"/>
        <v>#REF!</v>
      </c>
      <c r="E9" s="299" t="e">
        <f t="shared" si="1"/>
        <v>#REF!</v>
      </c>
      <c r="G9" s="298">
        <v>7</v>
      </c>
      <c r="H9" s="298">
        <f>'TAM Projet 1'!AT13</f>
        <v>187250</v>
      </c>
      <c r="I9" s="299">
        <f>I8+'TAM Projet 1'!$D$52</f>
        <v>8775.3321599999999</v>
      </c>
      <c r="J9" s="299">
        <f t="shared" si="2"/>
        <v>76.147168559827847</v>
      </c>
      <c r="K9" s="299">
        <f t="shared" si="3"/>
        <v>49203.352691029409</v>
      </c>
    </row>
    <row r="10" spans="1:11" x14ac:dyDescent="0.2">
      <c r="A10" s="298">
        <v>8</v>
      </c>
      <c r="B10" s="298">
        <f>'TAM Projet 1'!AD14</f>
        <v>234428.21000000008</v>
      </c>
      <c r="C10" s="299" t="e">
        <f>C9+'ensemble des projets'!$C$29</f>
        <v>#REF!</v>
      </c>
      <c r="D10" s="299" t="e">
        <f t="shared" si="0"/>
        <v>#REF!</v>
      </c>
      <c r="E10" s="299" t="e">
        <f t="shared" si="1"/>
        <v>#REF!</v>
      </c>
      <c r="G10" s="298">
        <v>8</v>
      </c>
      <c r="H10" s="298">
        <f>'TAM Projet 1'!AT14</f>
        <v>187250</v>
      </c>
      <c r="I10" s="299">
        <f>I9+'TAM Projet 1'!$D$52</f>
        <v>10028.95104</v>
      </c>
      <c r="J10" s="299">
        <f t="shared" si="2"/>
        <v>78.208305935095581</v>
      </c>
      <c r="K10" s="299">
        <f t="shared" si="3"/>
        <v>50535.17987696451</v>
      </c>
    </row>
    <row r="11" spans="1:11" x14ac:dyDescent="0.2">
      <c r="A11" s="298">
        <v>9</v>
      </c>
      <c r="B11" s="298">
        <f>'TAM Projet 1'!AD15</f>
        <v>234022.59000000008</v>
      </c>
      <c r="C11" s="299" t="e">
        <f>C10+'ensemble des projets'!$C$29</f>
        <v>#REF!</v>
      </c>
      <c r="D11" s="299" t="e">
        <f t="shared" si="0"/>
        <v>#REF!</v>
      </c>
      <c r="E11" s="299" t="e">
        <f t="shared" si="1"/>
        <v>#REF!</v>
      </c>
      <c r="G11" s="298">
        <v>9</v>
      </c>
      <c r="H11" s="298">
        <f>'TAM Projet 1'!AT15</f>
        <v>187250</v>
      </c>
      <c r="I11" s="299">
        <f>I10+'TAM Projet 1'!$D$52</f>
        <v>11282.56992</v>
      </c>
      <c r="J11" s="299">
        <f t="shared" si="2"/>
        <v>80.272638073294985</v>
      </c>
      <c r="K11" s="299">
        <f t="shared" si="3"/>
        <v>51869.071395037805</v>
      </c>
    </row>
    <row r="12" spans="1:11" x14ac:dyDescent="0.2">
      <c r="A12" s="298">
        <v>10</v>
      </c>
      <c r="B12" s="298">
        <f>'TAM Projet 1'!AD16</f>
        <v>233616.35000000009</v>
      </c>
      <c r="C12" s="299" t="e">
        <f>C11+'ensemble des projets'!$C$29</f>
        <v>#REF!</v>
      </c>
      <c r="D12" s="299" t="e">
        <f t="shared" si="0"/>
        <v>#REF!</v>
      </c>
      <c r="E12" s="299" t="e">
        <f t="shared" si="1"/>
        <v>#REF!</v>
      </c>
      <c r="G12" s="298">
        <v>10</v>
      </c>
      <c r="H12" s="298">
        <f>'TAM Projet 1'!AT16</f>
        <v>187250</v>
      </c>
      <c r="I12" s="299">
        <f>I11+'TAM Projet 1'!$D$52</f>
        <v>12536.1888</v>
      </c>
      <c r="J12" s="299">
        <f t="shared" si="2"/>
        <v>82.340169926308604</v>
      </c>
      <c r="K12" s="299">
        <f t="shared" si="3"/>
        <v>53205.030444964119</v>
      </c>
    </row>
    <row r="13" spans="1:11" x14ac:dyDescent="0.2">
      <c r="A13" s="298">
        <v>11</v>
      </c>
      <c r="B13" s="298">
        <f>'TAM Projet 1'!AD17</f>
        <v>233209.4800000001</v>
      </c>
      <c r="C13" s="299" t="e">
        <f>C12+'ensemble des projets'!$C$29</f>
        <v>#REF!</v>
      </c>
      <c r="D13" s="299" t="e">
        <f t="shared" si="0"/>
        <v>#REF!</v>
      </c>
      <c r="E13" s="299" t="e">
        <f t="shared" si="1"/>
        <v>#REF!</v>
      </c>
      <c r="G13" s="298">
        <v>11</v>
      </c>
      <c r="H13" s="298">
        <f>'TAM Projet 1'!AT17</f>
        <v>187250</v>
      </c>
      <c r="I13" s="299">
        <f>I12+'TAM Projet 1'!$D$52</f>
        <v>13789.80768</v>
      </c>
      <c r="J13" s="299">
        <f t="shared" si="2"/>
        <v>84.410906453694381</v>
      </c>
      <c r="K13" s="299">
        <f t="shared" si="3"/>
        <v>54543.060231417818</v>
      </c>
    </row>
    <row r="14" spans="1:11" x14ac:dyDescent="0.2">
      <c r="A14" s="300" t="s">
        <v>266</v>
      </c>
      <c r="B14" s="298">
        <f>'TAM Projet 1'!AD18</f>
        <v>232801.97000000009</v>
      </c>
      <c r="C14" s="299" t="e">
        <f>C13+'ensemble des projets'!$C$29</f>
        <v>#REF!</v>
      </c>
      <c r="D14" s="299" t="e">
        <f t="shared" si="0"/>
        <v>#REF!</v>
      </c>
      <c r="E14" s="299" t="e">
        <f t="shared" si="1"/>
        <v>#REF!</v>
      </c>
      <c r="G14" s="300" t="s">
        <v>266</v>
      </c>
      <c r="H14" s="298">
        <f>'TAM Projet 1'!AT18</f>
        <v>187250</v>
      </c>
      <c r="I14" s="299">
        <f>I13+'TAM Projet 1'!$D$52</f>
        <v>15043.42656</v>
      </c>
      <c r="J14" s="299">
        <f t="shared" si="2"/>
        <v>86.484852622697616</v>
      </c>
      <c r="K14" s="299">
        <f t="shared" si="3"/>
        <v>55883.163964040519</v>
      </c>
    </row>
    <row r="15" spans="1:11" x14ac:dyDescent="0.2">
      <c r="A15" s="298">
        <v>13</v>
      </c>
      <c r="B15" s="298">
        <f>'TAM Projet 1'!AD19</f>
        <v>232393.83000000007</v>
      </c>
      <c r="C15" s="299" t="e">
        <f>C14+'ensemble des projets'!$C$29</f>
        <v>#REF!</v>
      </c>
      <c r="D15" s="299" t="e">
        <f t="shared" si="0"/>
        <v>#REF!</v>
      </c>
      <c r="E15" s="299" t="e">
        <f t="shared" si="1"/>
        <v>#REF!</v>
      </c>
      <c r="G15" s="298">
        <v>13</v>
      </c>
      <c r="H15" s="298">
        <f>'TAM Projet 1'!AT19</f>
        <v>187250</v>
      </c>
      <c r="I15" s="299">
        <f>I14+'TAM Projet 1'!$D$52</f>
        <v>16297.04544</v>
      </c>
      <c r="J15" s="299">
        <f t="shared" si="2"/>
        <v>88.5620134082628</v>
      </c>
      <c r="K15" s="299">
        <f t="shared" si="3"/>
        <v>57225.344857448785</v>
      </c>
    </row>
    <row r="16" spans="1:11" x14ac:dyDescent="0.2">
      <c r="A16" s="298">
        <v>14</v>
      </c>
      <c r="B16" s="298">
        <f>'TAM Projet 1'!AD20</f>
        <v>231985.06000000008</v>
      </c>
      <c r="C16" s="299" t="e">
        <f>C15+'ensemble des projets'!$C$29</f>
        <v>#REF!</v>
      </c>
      <c r="D16" s="299" t="e">
        <f t="shared" si="0"/>
        <v>#REF!</v>
      </c>
      <c r="E16" s="299" t="e">
        <f t="shared" si="1"/>
        <v>#REF!</v>
      </c>
      <c r="G16" s="298">
        <v>14</v>
      </c>
      <c r="H16" s="298">
        <f>'TAM Projet 1'!AT20</f>
        <v>187250</v>
      </c>
      <c r="I16" s="299">
        <f>I15+'TAM Projet 1'!$D$52</f>
        <v>17550.66432</v>
      </c>
      <c r="J16" s="299">
        <f t="shared" si="2"/>
        <v>90.642393793045613</v>
      </c>
      <c r="K16" s="299">
        <f t="shared" si="3"/>
        <v>58569.606131241831</v>
      </c>
    </row>
    <row r="17" spans="1:11" x14ac:dyDescent="0.2">
      <c r="A17" s="298">
        <v>15</v>
      </c>
      <c r="B17" s="298">
        <f>'TAM Projet 1'!AD21</f>
        <v>231575.66000000009</v>
      </c>
      <c r="C17" s="299" t="e">
        <f>C16+'ensemble des projets'!$C$29</f>
        <v>#REF!</v>
      </c>
      <c r="D17" s="299" t="e">
        <f t="shared" si="0"/>
        <v>#REF!</v>
      </c>
      <c r="E17" s="299" t="e">
        <f t="shared" si="1"/>
        <v>#REF!</v>
      </c>
      <c r="G17" s="298">
        <v>15</v>
      </c>
      <c r="H17" s="298">
        <f>'TAM Projet 1'!AT21</f>
        <v>187250</v>
      </c>
      <c r="I17" s="299">
        <f>I16+'TAM Projet 1'!$D$52</f>
        <v>18804.283199999998</v>
      </c>
      <c r="J17" s="299">
        <f t="shared" si="2"/>
        <v>92.725998767424841</v>
      </c>
      <c r="K17" s="299">
        <f t="shared" si="3"/>
        <v>59915.951010009259</v>
      </c>
    </row>
    <row r="18" spans="1:11" x14ac:dyDescent="0.2">
      <c r="A18" s="298">
        <v>16</v>
      </c>
      <c r="B18" s="298">
        <f>'TAM Projet 1'!AD22</f>
        <v>231165.62000000008</v>
      </c>
      <c r="C18" s="299" t="e">
        <f>C17+'ensemble des projets'!$C$29</f>
        <v>#REF!</v>
      </c>
      <c r="D18" s="299" t="e">
        <f t="shared" si="0"/>
        <v>#REF!</v>
      </c>
      <c r="E18" s="299" t="e">
        <f t="shared" si="1"/>
        <v>#REF!</v>
      </c>
      <c r="G18" s="298">
        <v>16</v>
      </c>
      <c r="H18" s="298">
        <f>'TAM Projet 1'!AT22</f>
        <v>187250</v>
      </c>
      <c r="I18" s="299">
        <f>I17+'TAM Projet 1'!$D$52</f>
        <v>20057.90208</v>
      </c>
      <c r="J18" s="299">
        <f t="shared" si="2"/>
        <v>94.812833329514348</v>
      </c>
      <c r="K18" s="299">
        <f t="shared" si="3"/>
        <v>61264.382723338778</v>
      </c>
    </row>
    <row r="19" spans="1:11" x14ac:dyDescent="0.2">
      <c r="A19" s="298">
        <v>17</v>
      </c>
      <c r="B19" s="298">
        <f>'TAM Projet 1'!AD23</f>
        <v>230754.95000000007</v>
      </c>
      <c r="C19" s="299" t="e">
        <f>C18+'ensemble des projets'!$C$29</f>
        <v>#REF!</v>
      </c>
      <c r="D19" s="299" t="e">
        <f t="shared" si="0"/>
        <v>#REF!</v>
      </c>
      <c r="E19" s="299" t="e">
        <f t="shared" si="1"/>
        <v>#REF!</v>
      </c>
      <c r="G19" s="298">
        <v>17</v>
      </c>
      <c r="H19" s="298">
        <f>'TAM Projet 1'!AT23</f>
        <v>187250</v>
      </c>
      <c r="I19" s="299">
        <f>I18+'TAM Projet 1'!$D$52</f>
        <v>21311.520960000002</v>
      </c>
      <c r="J19" s="299">
        <f t="shared" si="2"/>
        <v>96.902902485175105</v>
      </c>
      <c r="K19" s="299">
        <f t="shared" si="3"/>
        <v>62614.904505823957</v>
      </c>
    </row>
    <row r="20" spans="1:11" x14ac:dyDescent="0.2">
      <c r="A20" s="298">
        <v>18</v>
      </c>
      <c r="B20" s="298">
        <f>'TAM Projet 1'!AD24</f>
        <v>230343.64000000007</v>
      </c>
      <c r="C20" s="299" t="e">
        <f>C19+'ensemble des projets'!$C$29</f>
        <v>#REF!</v>
      </c>
      <c r="D20" s="299" t="e">
        <f t="shared" si="0"/>
        <v>#REF!</v>
      </c>
      <c r="E20" s="299" t="e">
        <f t="shared" si="1"/>
        <v>#REF!</v>
      </c>
      <c r="G20" s="298">
        <v>18</v>
      </c>
      <c r="H20" s="298">
        <f>'TAM Projet 1'!AT24</f>
        <v>187250</v>
      </c>
      <c r="I20" s="299">
        <f>I19+'TAM Projet 1'!$D$52</f>
        <v>22565.139840000003</v>
      </c>
      <c r="J20" s="299">
        <f t="shared" si="2"/>
        <v>98.996211248027137</v>
      </c>
      <c r="K20" s="299">
        <f t="shared" si="3"/>
        <v>63967.519597071987</v>
      </c>
    </row>
    <row r="21" spans="1:11" x14ac:dyDescent="0.2">
      <c r="A21" s="298">
        <v>19</v>
      </c>
      <c r="B21" s="298">
        <f>'TAM Projet 1'!AD25</f>
        <v>229931.69000000006</v>
      </c>
      <c r="C21" s="299" t="e">
        <f>C20+'ensemble des projets'!$C$29</f>
        <v>#REF!</v>
      </c>
      <c r="D21" s="299" t="e">
        <f t="shared" si="0"/>
        <v>#REF!</v>
      </c>
      <c r="E21" s="299" t="e">
        <f t="shared" si="1"/>
        <v>#REF!</v>
      </c>
      <c r="G21" s="298">
        <v>19</v>
      </c>
      <c r="H21" s="298">
        <f>'TAM Projet 1'!AT25</f>
        <v>187250</v>
      </c>
      <c r="I21" s="299">
        <f>I20+'TAM Projet 1'!$D$52</f>
        <v>23818.758720000005</v>
      </c>
      <c r="J21" s="299">
        <f t="shared" si="2"/>
        <v>101.09276463946158</v>
      </c>
      <c r="K21" s="299">
        <f t="shared" si="3"/>
        <v>65322.231241711452</v>
      </c>
    </row>
    <row r="22" spans="1:11" x14ac:dyDescent="0.2">
      <c r="A22" s="298">
        <v>20</v>
      </c>
      <c r="B22" s="298">
        <f>'TAM Projet 1'!AD26</f>
        <v>229519.10000000006</v>
      </c>
      <c r="C22" s="299" t="e">
        <f>C21+'ensemble des projets'!$C$29</f>
        <v>#REF!</v>
      </c>
      <c r="D22" s="299" t="e">
        <f t="shared" si="0"/>
        <v>#REF!</v>
      </c>
      <c r="E22" s="299" t="e">
        <f t="shared" si="1"/>
        <v>#REF!</v>
      </c>
      <c r="G22" s="298">
        <v>20</v>
      </c>
      <c r="H22" s="298">
        <f>'TAM Projet 1'!AT26</f>
        <v>187250</v>
      </c>
      <c r="I22" s="299">
        <f>I21+'TAM Projet 1'!$D$52</f>
        <v>25072.377600000007</v>
      </c>
      <c r="J22" s="299">
        <f t="shared" si="2"/>
        <v>103.19256768865274</v>
      </c>
      <c r="K22" s="299">
        <f t="shared" si="3"/>
        <v>66679.042689400099</v>
      </c>
    </row>
    <row r="23" spans="1:11" x14ac:dyDescent="0.2">
      <c r="A23" s="298">
        <v>21</v>
      </c>
      <c r="B23" s="298">
        <f>'TAM Projet 1'!AD27</f>
        <v>229105.87000000005</v>
      </c>
      <c r="C23" s="299" t="e">
        <f>C22+'ensemble des projets'!$C$29</f>
        <v>#REF!</v>
      </c>
      <c r="D23" s="299" t="e">
        <f t="shared" si="0"/>
        <v>#REF!</v>
      </c>
      <c r="E23" s="299" t="e">
        <f t="shared" si="1"/>
        <v>#REF!</v>
      </c>
      <c r="G23" s="298">
        <v>21</v>
      </c>
      <c r="H23" s="298">
        <f>'TAM Projet 1'!AT27</f>
        <v>187250</v>
      </c>
      <c r="I23" s="299">
        <f>I22+'TAM Projet 1'!$D$52</f>
        <v>26325.996480000009</v>
      </c>
      <c r="J23" s="299">
        <f t="shared" si="2"/>
        <v>105.29562543257015</v>
      </c>
      <c r="K23" s="299">
        <f t="shared" si="3"/>
        <v>68037.957194832663</v>
      </c>
    </row>
    <row r="24" spans="1:11" x14ac:dyDescent="0.2">
      <c r="A24" s="298">
        <v>22</v>
      </c>
      <c r="B24" s="298">
        <f>'TAM Projet 1'!AD28</f>
        <v>228692.00000000006</v>
      </c>
      <c r="C24" s="299" t="e">
        <f>C23+'ensemble des projets'!$C$29</f>
        <v>#REF!</v>
      </c>
      <c r="D24" s="299" t="e">
        <f t="shared" si="0"/>
        <v>#REF!</v>
      </c>
      <c r="E24" s="299" t="e">
        <f t="shared" si="1"/>
        <v>#REF!</v>
      </c>
      <c r="G24" s="298">
        <v>22</v>
      </c>
      <c r="H24" s="298">
        <f>'TAM Projet 1'!AT28</f>
        <v>187250</v>
      </c>
      <c r="I24" s="299">
        <f>I23+'TAM Projet 1'!$D$52</f>
        <v>27579.615360000011</v>
      </c>
      <c r="J24" s="299">
        <f t="shared" si="2"/>
        <v>107.40194291599062</v>
      </c>
      <c r="K24" s="299">
        <f t="shared" si="3"/>
        <v>69398.978017748654</v>
      </c>
    </row>
    <row r="25" spans="1:11" x14ac:dyDescent="0.2">
      <c r="A25" s="298">
        <v>23</v>
      </c>
      <c r="B25" s="298">
        <f>'TAM Projet 1'!AD29</f>
        <v>228277.49000000005</v>
      </c>
      <c r="C25" s="299" t="e">
        <f>C24+'ensemble des projets'!$C$29</f>
        <v>#REF!</v>
      </c>
      <c r="D25" s="299" t="e">
        <f t="shared" si="0"/>
        <v>#REF!</v>
      </c>
      <c r="E25" s="299" t="e">
        <f t="shared" si="1"/>
        <v>#REF!</v>
      </c>
      <c r="G25" s="298">
        <v>23</v>
      </c>
      <c r="H25" s="298">
        <f>'TAM Projet 1'!AT29</f>
        <v>187250</v>
      </c>
      <c r="I25" s="299">
        <f>I24+'TAM Projet 1'!$D$52</f>
        <v>28833.234240000013</v>
      </c>
      <c r="J25" s="299">
        <f t="shared" si="2"/>
        <v>109.5115251915104</v>
      </c>
      <c r="K25" s="299">
        <f t="shared" si="3"/>
        <v>70762.10842294016</v>
      </c>
    </row>
    <row r="26" spans="1:11" x14ac:dyDescent="0.2">
      <c r="A26" s="300" t="s">
        <v>267</v>
      </c>
      <c r="B26" s="298">
        <f>'TAM Projet 1'!AD30</f>
        <v>227862.34000000005</v>
      </c>
      <c r="C26" s="299" t="e">
        <f>C25+'ensemble des projets'!$C$29</f>
        <v>#REF!</v>
      </c>
      <c r="D26" s="299" t="e">
        <f t="shared" si="0"/>
        <v>#REF!</v>
      </c>
      <c r="E26" s="299" t="e">
        <f t="shared" si="1"/>
        <v>#REF!</v>
      </c>
      <c r="G26" s="300" t="s">
        <v>267</v>
      </c>
      <c r="H26" s="298">
        <f>'TAM Projet 1'!AT30</f>
        <v>187250</v>
      </c>
      <c r="I26" s="299">
        <f>I25+'TAM Projet 1'!$D$52</f>
        <v>30086.853120000014</v>
      </c>
      <c r="J26" s="299">
        <f t="shared" si="2"/>
        <v>111.62437731955724</v>
      </c>
      <c r="K26" s="299">
        <f t="shared" si="3"/>
        <v>72127.351680259715</v>
      </c>
    </row>
    <row r="27" spans="1:11" x14ac:dyDescent="0.2">
      <c r="A27" s="298">
        <v>25</v>
      </c>
      <c r="B27" s="298">
        <f>'TAM Projet 1'!AD31</f>
        <v>227446.55000000005</v>
      </c>
      <c r="C27" s="299" t="e">
        <f>C26+'ensemble des projets'!$C$29</f>
        <v>#REF!</v>
      </c>
      <c r="D27" s="299" t="e">
        <f t="shared" si="0"/>
        <v>#REF!</v>
      </c>
      <c r="E27" s="299" t="e">
        <f t="shared" si="1"/>
        <v>#REF!</v>
      </c>
      <c r="G27" s="298">
        <v>25</v>
      </c>
      <c r="H27" s="298">
        <f>'TAM Projet 1'!AT31</f>
        <v>187250</v>
      </c>
      <c r="I27" s="299">
        <f>I26+'TAM Projet 1'!$D$52</f>
        <v>31340.472000000016</v>
      </c>
      <c r="J27" s="299">
        <f t="shared" si="2"/>
        <v>113.74050436840254</v>
      </c>
      <c r="K27" s="299">
        <f t="shared" si="3"/>
        <v>73494.711064628107</v>
      </c>
    </row>
    <row r="28" spans="1:11" x14ac:dyDescent="0.2">
      <c r="A28" s="298">
        <v>26</v>
      </c>
      <c r="B28" s="298">
        <f>'TAM Projet 1'!AD32</f>
        <v>227030.11000000004</v>
      </c>
      <c r="C28" s="299" t="e">
        <f>C27+'ensemble des projets'!$C$29</f>
        <v>#REF!</v>
      </c>
      <c r="D28" s="299" t="e">
        <f t="shared" si="0"/>
        <v>#REF!</v>
      </c>
      <c r="E28" s="299" t="e">
        <f t="shared" si="1"/>
        <v>#REF!</v>
      </c>
      <c r="G28" s="298">
        <v>26</v>
      </c>
      <c r="H28" s="298">
        <f>'TAM Projet 1'!AT32</f>
        <v>187250</v>
      </c>
      <c r="I28" s="299">
        <f>I27+'TAM Projet 1'!$D$52</f>
        <v>32594.090880000018</v>
      </c>
      <c r="J28" s="299">
        <f t="shared" si="2"/>
        <v>115.85991141417355</v>
      </c>
      <c r="K28" s="299">
        <f t="shared" si="3"/>
        <v>74864.189856042271</v>
      </c>
    </row>
    <row r="29" spans="1:11" x14ac:dyDescent="0.2">
      <c r="A29" s="298">
        <v>27</v>
      </c>
      <c r="B29" s="298">
        <f>'TAM Projet 1'!AD33</f>
        <v>226613.03000000006</v>
      </c>
      <c r="C29" s="299" t="e">
        <f>C28+'ensemble des projets'!$C$29</f>
        <v>#REF!</v>
      </c>
      <c r="D29" s="299" t="e">
        <f t="shared" si="0"/>
        <v>#REF!</v>
      </c>
      <c r="E29" s="299" t="e">
        <f t="shared" si="1"/>
        <v>#REF!</v>
      </c>
      <c r="G29" s="298">
        <v>27</v>
      </c>
      <c r="H29" s="298">
        <f>'TAM Projet 1'!AT33</f>
        <v>187250</v>
      </c>
      <c r="I29" s="299">
        <f>I28+'TAM Projet 1'!$D$52</f>
        <v>33847.70976000002</v>
      </c>
      <c r="J29" s="299">
        <f t="shared" si="2"/>
        <v>117.98260354086551</v>
      </c>
      <c r="K29" s="299">
        <f t="shared" si="3"/>
        <v>76235.791339583127</v>
      </c>
    </row>
    <row r="30" spans="1:11" x14ac:dyDescent="0.2">
      <c r="A30" s="298">
        <v>28</v>
      </c>
      <c r="B30" s="298">
        <f>'TAM Projet 1'!AD34</f>
        <v>226195.30000000005</v>
      </c>
      <c r="C30" s="299" t="e">
        <f>C29+'ensemble des projets'!$C$29</f>
        <v>#REF!</v>
      </c>
      <c r="D30" s="299" t="e">
        <f t="shared" si="0"/>
        <v>#REF!</v>
      </c>
      <c r="E30" s="299" t="e">
        <f t="shared" si="1"/>
        <v>#REF!</v>
      </c>
      <c r="G30" s="298">
        <v>28</v>
      </c>
      <c r="H30" s="298">
        <f>'TAM Projet 1'!AT34</f>
        <v>187250</v>
      </c>
      <c r="I30" s="299">
        <f>I29+'TAM Projet 1'!$D$52</f>
        <v>35101.328640000022</v>
      </c>
      <c r="J30" s="299">
        <f t="shared" si="2"/>
        <v>120.10858584035384</v>
      </c>
      <c r="K30" s="299">
        <f t="shared" si="3"/>
        <v>77609.518805423475</v>
      </c>
    </row>
    <row r="31" spans="1:11" x14ac:dyDescent="0.2">
      <c r="A31" s="298">
        <v>29</v>
      </c>
      <c r="B31" s="298">
        <f>'TAM Projet 1'!AD35</f>
        <v>225776.92000000004</v>
      </c>
      <c r="C31" s="299" t="e">
        <f>C30+'ensemble des projets'!$C$29</f>
        <v>#REF!</v>
      </c>
      <c r="D31" s="299" t="e">
        <f t="shared" si="0"/>
        <v>#REF!</v>
      </c>
      <c r="E31" s="299" t="e">
        <f t="shared" si="1"/>
        <v>#REF!</v>
      </c>
      <c r="G31" s="298">
        <v>29</v>
      </c>
      <c r="H31" s="298">
        <f>'TAM Projet 1'!AT35</f>
        <v>187250</v>
      </c>
      <c r="I31" s="299">
        <f>I30+'TAM Projet 1'!$D$52</f>
        <v>36354.947520000023</v>
      </c>
      <c r="J31" s="299">
        <f t="shared" si="2"/>
        <v>122.23786341240637</v>
      </c>
      <c r="K31" s="299">
        <f t="shared" si="3"/>
        <v>78985.375548835873</v>
      </c>
    </row>
    <row r="32" spans="1:11" x14ac:dyDescent="0.2">
      <c r="A32" s="298">
        <v>30</v>
      </c>
      <c r="B32" s="298">
        <f>'TAM Projet 1'!AD36</f>
        <v>225357.89000000004</v>
      </c>
      <c r="C32" s="299" t="e">
        <f>C31+'ensemble des projets'!$C$29</f>
        <v>#REF!</v>
      </c>
      <c r="D32" s="299" t="e">
        <f t="shared" si="0"/>
        <v>#REF!</v>
      </c>
      <c r="E32" s="299" t="e">
        <f t="shared" si="1"/>
        <v>#REF!</v>
      </c>
      <c r="G32" s="298">
        <v>30</v>
      </c>
      <c r="H32" s="298">
        <f>'TAM Projet 1'!AT36</f>
        <v>187250</v>
      </c>
      <c r="I32" s="299">
        <f>I31+'TAM Projet 1'!$D$52</f>
        <v>37608.566400000025</v>
      </c>
      <c r="J32" s="299">
        <f t="shared" si="2"/>
        <v>124.37044136469559</v>
      </c>
      <c r="K32" s="299">
        <f t="shared" si="3"/>
        <v>80363.364870200559</v>
      </c>
    </row>
    <row r="33" spans="1:11" x14ac:dyDescent="0.2">
      <c r="A33" s="298">
        <v>31</v>
      </c>
      <c r="B33" s="298">
        <f>'TAM Projet 1'!AD37</f>
        <v>224938.21000000005</v>
      </c>
      <c r="C33" s="299" t="e">
        <f>C32+'ensemble des projets'!$C$29</f>
        <v>#REF!</v>
      </c>
      <c r="D33" s="299" t="e">
        <f t="shared" si="0"/>
        <v>#REF!</v>
      </c>
      <c r="E33" s="299" t="e">
        <f t="shared" si="1"/>
        <v>#REF!</v>
      </c>
      <c r="G33" s="298">
        <v>31</v>
      </c>
      <c r="H33" s="298">
        <f>'TAM Projet 1'!AT37</f>
        <v>187250</v>
      </c>
      <c r="I33" s="299">
        <f>I32+'TAM Projet 1'!$D$52</f>
        <v>38862.185280000027</v>
      </c>
      <c r="J33" s="299">
        <f t="shared" si="2"/>
        <v>126.50632481281086</v>
      </c>
      <c r="K33" s="299">
        <f t="shared" si="3"/>
        <v>81743.490075013367</v>
      </c>
    </row>
    <row r="34" spans="1:11" x14ac:dyDescent="0.2">
      <c r="A34" s="298">
        <v>32</v>
      </c>
      <c r="B34" s="298">
        <f>'TAM Projet 1'!AD38</f>
        <v>224517.88000000006</v>
      </c>
      <c r="C34" s="299" t="e">
        <f>C33+'ensemble des projets'!$C$29</f>
        <v>#REF!</v>
      </c>
      <c r="D34" s="299" t="e">
        <f t="shared" si="0"/>
        <v>#REF!</v>
      </c>
      <c r="E34" s="299" t="e">
        <f t="shared" si="1"/>
        <v>#REF!</v>
      </c>
      <c r="G34" s="298">
        <v>32</v>
      </c>
      <c r="H34" s="298">
        <f>'TAM Projet 1'!AT38</f>
        <v>187250</v>
      </c>
      <c r="I34" s="299">
        <f>I33+'TAM Projet 1'!$D$52</f>
        <v>40115.804160000029</v>
      </c>
      <c r="J34" s="299">
        <f t="shared" si="2"/>
        <v>128.64551888027071</v>
      </c>
      <c r="K34" s="299">
        <f t="shared" si="3"/>
        <v>83125.754473893627</v>
      </c>
    </row>
    <row r="35" spans="1:11" x14ac:dyDescent="0.2">
      <c r="A35" s="298">
        <v>33</v>
      </c>
      <c r="B35" s="298">
        <f>'TAM Projet 1'!AD39</f>
        <v>224096.90000000005</v>
      </c>
      <c r="C35" s="299" t="e">
        <f>C34+'ensemble des projets'!$C$29</f>
        <v>#REF!</v>
      </c>
      <c r="D35" s="299" t="e">
        <f t="shared" si="0"/>
        <v>#REF!</v>
      </c>
      <c r="E35" s="299" t="e">
        <f t="shared" si="1"/>
        <v>#REF!</v>
      </c>
      <c r="G35" s="298">
        <v>33</v>
      </c>
      <c r="H35" s="298">
        <f>'TAM Projet 1'!AT39</f>
        <v>187250</v>
      </c>
      <c r="I35" s="299">
        <f>I34+'TAM Projet 1'!$D$52</f>
        <v>41369.423040000031</v>
      </c>
      <c r="J35" s="299">
        <f t="shared" si="2"/>
        <v>130.7880286985351</v>
      </c>
      <c r="K35" s="299">
        <f t="shared" si="3"/>
        <v>84510.161382592152</v>
      </c>
    </row>
    <row r="36" spans="1:11" x14ac:dyDescent="0.2">
      <c r="A36" s="298">
        <v>34</v>
      </c>
      <c r="B36" s="298">
        <f>'TAM Projet 1'!AD40</f>
        <v>223675.27000000005</v>
      </c>
      <c r="C36" s="299" t="e">
        <f>C35+'ensemble des projets'!$C$29</f>
        <v>#REF!</v>
      </c>
      <c r="D36" s="299" t="e">
        <f t="shared" si="0"/>
        <v>#REF!</v>
      </c>
      <c r="E36" s="299" t="e">
        <f t="shared" si="1"/>
        <v>#REF!</v>
      </c>
      <c r="G36" s="298">
        <v>34</v>
      </c>
      <c r="H36" s="298">
        <f>'TAM Projet 1'!AT40</f>
        <v>187250</v>
      </c>
      <c r="I36" s="299">
        <f>I35+'TAM Projet 1'!$D$52</f>
        <v>42623.041920000032</v>
      </c>
      <c r="J36" s="299">
        <f t="shared" si="2"/>
        <v>132.93385940701782</v>
      </c>
      <c r="K36" s="299">
        <f t="shared" si="3"/>
        <v>85896.714121999161</v>
      </c>
    </row>
    <row r="37" spans="1:11" x14ac:dyDescent="0.2">
      <c r="A37" s="298">
        <v>35</v>
      </c>
      <c r="B37" s="298">
        <f>'TAM Projet 1'!AD41</f>
        <v>223252.99000000005</v>
      </c>
      <c r="C37" s="299" t="e">
        <f>C36+'ensemble des projets'!$C$29</f>
        <v>#REF!</v>
      </c>
      <c r="D37" s="299" t="e">
        <f t="shared" si="0"/>
        <v>#REF!</v>
      </c>
      <c r="E37" s="299" t="e">
        <f t="shared" si="1"/>
        <v>#REF!</v>
      </c>
      <c r="G37" s="298">
        <v>35</v>
      </c>
      <c r="H37" s="298">
        <f>'TAM Projet 1'!AT41</f>
        <v>187250</v>
      </c>
      <c r="I37" s="299">
        <f>I36+'TAM Projet 1'!$D$52</f>
        <v>43876.660800000034</v>
      </c>
      <c r="J37" s="299">
        <f t="shared" si="2"/>
        <v>135.0830161530987</v>
      </c>
      <c r="K37" s="299">
        <f t="shared" si="3"/>
        <v>87285.41601815226</v>
      </c>
    </row>
    <row r="38" spans="1:11" x14ac:dyDescent="0.2">
      <c r="A38" s="300" t="s">
        <v>268</v>
      </c>
      <c r="B38" s="298">
        <f>'TAM Projet 1'!AD42</f>
        <v>222830.05000000005</v>
      </c>
      <c r="C38" s="299" t="e">
        <f>C37+'ensemble des projets'!$C$29</f>
        <v>#REF!</v>
      </c>
      <c r="D38" s="299" t="e">
        <f t="shared" si="0"/>
        <v>#REF!</v>
      </c>
      <c r="E38" s="299" t="e">
        <f t="shared" si="1"/>
        <v>#REF!</v>
      </c>
      <c r="G38" s="300" t="s">
        <v>268</v>
      </c>
      <c r="H38" s="298">
        <f>'TAM Projet 1'!AT42</f>
        <v>187250</v>
      </c>
      <c r="I38" s="299">
        <f>I37+'TAM Projet 1'!$D$52</f>
        <v>45130.279680000036</v>
      </c>
      <c r="J38" s="299">
        <f t="shared" si="2"/>
        <v>137.23550409213598</v>
      </c>
      <c r="K38" s="299">
        <f t="shared" si="3"/>
        <v>88676.270402244394</v>
      </c>
    </row>
    <row r="39" spans="1:11" x14ac:dyDescent="0.2">
      <c r="A39" s="298">
        <v>37</v>
      </c>
      <c r="B39" s="298">
        <f>'TAM Projet 1'!AD43</f>
        <v>222406.46000000005</v>
      </c>
      <c r="C39" s="299" t="e">
        <f>C38+'ensemble des projets'!$C$29</f>
        <v>#REF!</v>
      </c>
      <c r="D39" s="299" t="e">
        <f t="shared" si="0"/>
        <v>#REF!</v>
      </c>
      <c r="E39" s="299" t="e">
        <f t="shared" si="1"/>
        <v>#REF!</v>
      </c>
      <c r="G39" s="298">
        <v>37</v>
      </c>
      <c r="H39" s="298">
        <f>'TAM Projet 1'!AT43</f>
        <v>187250</v>
      </c>
      <c r="I39" s="299">
        <f>I38+'TAM Projet 1'!$D$52</f>
        <v>46383.898560000038</v>
      </c>
      <c r="J39" s="299">
        <f t="shared" si="2"/>
        <v>139.39132838747881</v>
      </c>
      <c r="K39" s="299">
        <f t="shared" si="3"/>
        <v>90069.28061063186</v>
      </c>
    </row>
    <row r="40" spans="1:11" x14ac:dyDescent="0.2">
      <c r="A40" s="298">
        <v>38</v>
      </c>
      <c r="B40" s="298">
        <f>'TAM Projet 1'!AD44</f>
        <v>221982.21000000005</v>
      </c>
      <c r="C40" s="299" t="e">
        <f>C39+'ensemble des projets'!$C$29</f>
        <v>#REF!</v>
      </c>
      <c r="D40" s="299" t="e">
        <f t="shared" si="0"/>
        <v>#REF!</v>
      </c>
      <c r="E40" s="299" t="e">
        <f t="shared" si="1"/>
        <v>#REF!</v>
      </c>
      <c r="G40" s="298">
        <v>38</v>
      </c>
      <c r="H40" s="298">
        <f>'TAM Projet 1'!AT44</f>
        <v>187250</v>
      </c>
      <c r="I40" s="299">
        <f>I39+'TAM Projet 1'!$D$52</f>
        <v>47637.51744000004</v>
      </c>
      <c r="J40" s="299">
        <f t="shared" si="2"/>
        <v>141.55049421047937</v>
      </c>
      <c r="K40" s="299">
        <f t="shared" si="3"/>
        <v>91464.449984842329</v>
      </c>
    </row>
    <row r="41" spans="1:11" x14ac:dyDescent="0.2">
      <c r="A41" s="298">
        <v>39</v>
      </c>
      <c r="B41" s="298">
        <f>'TAM Projet 1'!AD45</f>
        <v>221557.30000000005</v>
      </c>
      <c r="C41" s="299" t="e">
        <f>C40+'ensemble des projets'!$C$29</f>
        <v>#REF!</v>
      </c>
      <c r="D41" s="299" t="e">
        <f t="shared" si="0"/>
        <v>#REF!</v>
      </c>
      <c r="E41" s="299" t="e">
        <f t="shared" si="1"/>
        <v>#REF!</v>
      </c>
      <c r="G41" s="298">
        <v>39</v>
      </c>
      <c r="H41" s="298">
        <f>'TAM Projet 1'!AT45</f>
        <v>187250</v>
      </c>
      <c r="I41" s="299">
        <f>I40+'TAM Projet 1'!$D$52</f>
        <v>48891.136320000041</v>
      </c>
      <c r="J41" s="299">
        <f t="shared" si="2"/>
        <v>143.71300674050559</v>
      </c>
      <c r="K41" s="299">
        <f t="shared" si="3"/>
        <v>92861.781871582833</v>
      </c>
    </row>
    <row r="42" spans="1:11" x14ac:dyDescent="0.2">
      <c r="A42" s="298">
        <v>40</v>
      </c>
      <c r="B42" s="298">
        <f>'TAM Projet 1'!AD46</f>
        <v>221131.73000000004</v>
      </c>
      <c r="C42" s="299" t="e">
        <f>C41+'ensemble des projets'!$C$29</f>
        <v>#REF!</v>
      </c>
      <c r="D42" s="299" t="e">
        <f t="shared" si="0"/>
        <v>#REF!</v>
      </c>
      <c r="E42" s="299" t="e">
        <f t="shared" si="1"/>
        <v>#REF!</v>
      </c>
      <c r="G42" s="298">
        <v>40</v>
      </c>
      <c r="H42" s="298">
        <f>'TAM Projet 1'!AT46</f>
        <v>187250</v>
      </c>
      <c r="I42" s="299">
        <f>I41+'TAM Projet 1'!$D$52</f>
        <v>50144.755200000043</v>
      </c>
      <c r="J42" s="299">
        <f t="shared" si="2"/>
        <v>145.87887116495338</v>
      </c>
      <c r="K42" s="299">
        <f t="shared" si="3"/>
        <v>94261.279622747781</v>
      </c>
    </row>
    <row r="43" spans="1:11" x14ac:dyDescent="0.2">
      <c r="A43" s="298">
        <v>41</v>
      </c>
      <c r="B43" s="298">
        <f>'TAM Projet 1'!AD47</f>
        <v>220705.50000000003</v>
      </c>
      <c r="C43" s="299" t="e">
        <f>C42+'ensemble des projets'!$C$29</f>
        <v>#REF!</v>
      </c>
      <c r="D43" s="299" t="e">
        <f t="shared" si="0"/>
        <v>#REF!</v>
      </c>
      <c r="E43" s="299" t="e">
        <f t="shared" si="1"/>
        <v>#REF!</v>
      </c>
      <c r="G43" s="298">
        <v>41</v>
      </c>
      <c r="H43" s="298">
        <f>'TAM Projet 1'!AT47</f>
        <v>187250</v>
      </c>
      <c r="I43" s="299">
        <f>I42+'TAM Projet 1'!$D$52</f>
        <v>51398.374080000045</v>
      </c>
      <c r="J43" s="299">
        <f t="shared" si="2"/>
        <v>148.04809267925904</v>
      </c>
      <c r="K43" s="299">
        <f t="shared" si="3"/>
        <v>95662.946595427042</v>
      </c>
    </row>
    <row r="44" spans="1:11" x14ac:dyDescent="0.2">
      <c r="A44" s="298">
        <v>42</v>
      </c>
      <c r="B44" s="298">
        <f>'TAM Projet 1'!AD48</f>
        <v>220278.61000000002</v>
      </c>
      <c r="C44" s="299" t="e">
        <f>C43+'ensemble des projets'!$C$29</f>
        <v>#REF!</v>
      </c>
      <c r="D44" s="299" t="e">
        <f t="shared" si="0"/>
        <v>#REF!</v>
      </c>
      <c r="E44" s="299" t="e">
        <f t="shared" si="1"/>
        <v>#REF!</v>
      </c>
      <c r="G44" s="298">
        <v>42</v>
      </c>
      <c r="H44" s="298">
        <f>'TAM Projet 1'!AT48</f>
        <v>187250</v>
      </c>
      <c r="I44" s="299">
        <f>I43+'TAM Projet 1'!$D$52</f>
        <v>52651.992960000047</v>
      </c>
      <c r="J44" s="299">
        <f t="shared" si="2"/>
        <v>150.22067648691191</v>
      </c>
      <c r="K44" s="299">
        <f t="shared" si="3"/>
        <v>97066.786151913955</v>
      </c>
    </row>
    <row r="45" spans="1:11" x14ac:dyDescent="0.2">
      <c r="A45" s="298">
        <v>43</v>
      </c>
      <c r="B45" s="298">
        <f>'TAM Projet 1'!AD49</f>
        <v>219851.06000000003</v>
      </c>
      <c r="C45" s="299" t="e">
        <f>C44+'ensemble des projets'!$C$29</f>
        <v>#REF!</v>
      </c>
      <c r="D45" s="299" t="e">
        <f t="shared" si="0"/>
        <v>#REF!</v>
      </c>
      <c r="E45" s="299" t="e">
        <f t="shared" si="1"/>
        <v>#REF!</v>
      </c>
      <c r="G45" s="298">
        <v>43</v>
      </c>
      <c r="H45" s="298">
        <f>'TAM Projet 1'!AT49</f>
        <v>187250</v>
      </c>
      <c r="I45" s="299">
        <f>I44+'TAM Projet 1'!$D$52</f>
        <v>53905.611840000049</v>
      </c>
      <c r="J45" s="299">
        <f t="shared" si="2"/>
        <v>152.39662779946661</v>
      </c>
      <c r="K45" s="299">
        <f t="shared" si="3"/>
        <v>98472.801659713412</v>
      </c>
    </row>
    <row r="46" spans="1:11" x14ac:dyDescent="0.2">
      <c r="A46" s="298">
        <v>44</v>
      </c>
      <c r="B46" s="298">
        <f>'TAM Projet 1'!AD50</f>
        <v>219422.85000000003</v>
      </c>
      <c r="C46" s="299" t="e">
        <f>C45+'ensemble des projets'!$C$29</f>
        <v>#REF!</v>
      </c>
      <c r="D46" s="299" t="e">
        <f t="shared" si="0"/>
        <v>#REF!</v>
      </c>
      <c r="E46" s="299" t="e">
        <f t="shared" si="1"/>
        <v>#REF!</v>
      </c>
      <c r="G46" s="298">
        <v>44</v>
      </c>
      <c r="H46" s="298">
        <f>'TAM Projet 1'!AT50</f>
        <v>187250</v>
      </c>
      <c r="I46" s="299">
        <f>I45+'TAM Projet 1'!$D$52</f>
        <v>55159.23072000005</v>
      </c>
      <c r="J46" s="299">
        <f t="shared" si="2"/>
        <v>154.57595183655579</v>
      </c>
      <c r="K46" s="299">
        <f t="shared" si="3"/>
        <v>99880.996491549959</v>
      </c>
    </row>
    <row r="47" spans="1:11" x14ac:dyDescent="0.2">
      <c r="A47" s="298">
        <v>45</v>
      </c>
      <c r="B47" s="298">
        <f>'TAM Projet 1'!AD51</f>
        <v>218993.98000000004</v>
      </c>
      <c r="C47" s="299" t="e">
        <f>C46+'ensemble des projets'!$C$29</f>
        <v>#REF!</v>
      </c>
      <c r="D47" s="299" t="e">
        <f t="shared" si="0"/>
        <v>#REF!</v>
      </c>
      <c r="E47" s="299" t="e">
        <f t="shared" si="1"/>
        <v>#REF!</v>
      </c>
      <c r="G47" s="298">
        <v>45</v>
      </c>
      <c r="H47" s="298">
        <f>'TAM Projet 1'!AT51</f>
        <v>187250</v>
      </c>
      <c r="I47" s="299">
        <f>I46+'TAM Projet 1'!$D$52</f>
        <v>56412.849600000052</v>
      </c>
      <c r="J47" s="299">
        <f t="shared" si="2"/>
        <v>156.75865382590243</v>
      </c>
      <c r="K47" s="299">
        <f t="shared" si="3"/>
        <v>101291.37402537586</v>
      </c>
    </row>
    <row r="48" spans="1:11" x14ac:dyDescent="0.2">
      <c r="A48" s="298">
        <v>46</v>
      </c>
      <c r="B48" s="298">
        <f>'TAM Projet 1'!AD52</f>
        <v>218564.44000000003</v>
      </c>
      <c r="C48" s="299" t="e">
        <f>C47+'ensemble des projets'!$C$29</f>
        <v>#REF!</v>
      </c>
      <c r="D48" s="299" t="e">
        <f t="shared" si="0"/>
        <v>#REF!</v>
      </c>
      <c r="E48" s="299" t="e">
        <f t="shared" si="1"/>
        <v>#REF!</v>
      </c>
      <c r="G48" s="298">
        <v>46</v>
      </c>
      <c r="H48" s="298">
        <f>'TAM Projet 1'!AT52</f>
        <v>187250</v>
      </c>
      <c r="I48" s="299">
        <f>I47+'TAM Projet 1'!$D$52</f>
        <v>57666.468480000054</v>
      </c>
      <c r="J48" s="299">
        <f t="shared" si="2"/>
        <v>158.94473900333256</v>
      </c>
      <c r="K48" s="299">
        <f t="shared" si="3"/>
        <v>102703.93764437918</v>
      </c>
    </row>
    <row r="49" spans="1:11" x14ac:dyDescent="0.2">
      <c r="A49" s="298">
        <v>47</v>
      </c>
      <c r="B49" s="298">
        <f>'TAM Projet 1'!AD53</f>
        <v>218134.23000000004</v>
      </c>
      <c r="C49" s="299" t="e">
        <f>C48+'ensemble des projets'!$C$29</f>
        <v>#REF!</v>
      </c>
      <c r="D49" s="299" t="e">
        <f t="shared" si="0"/>
        <v>#REF!</v>
      </c>
      <c r="E49" s="299" t="e">
        <f t="shared" si="1"/>
        <v>#REF!</v>
      </c>
      <c r="G49" s="298">
        <v>47</v>
      </c>
      <c r="H49" s="298">
        <f>'TAM Projet 1'!AT53</f>
        <v>187250</v>
      </c>
      <c r="I49" s="299">
        <f>I48+'TAM Projet 1'!$D$52</f>
        <v>58920.087360000056</v>
      </c>
      <c r="J49" s="299">
        <f t="shared" si="2"/>
        <v>161.13421261278773</v>
      </c>
      <c r="K49" s="299">
        <f t="shared" si="3"/>
        <v>104118.69073699196</v>
      </c>
    </row>
    <row r="50" spans="1:11" x14ac:dyDescent="0.2">
      <c r="A50" s="300" t="s">
        <v>269</v>
      </c>
      <c r="B50" s="298">
        <f>'TAM Projet 1'!AD54</f>
        <v>217703.36000000004</v>
      </c>
      <c r="C50" s="299" t="e">
        <f>C49+'ensemble des projets'!$C$29</f>
        <v>#REF!</v>
      </c>
      <c r="D50" s="299" t="e">
        <f t="shared" si="0"/>
        <v>#REF!</v>
      </c>
      <c r="E50" s="299" t="e">
        <f t="shared" si="1"/>
        <v>#REF!</v>
      </c>
      <c r="G50" s="300" t="s">
        <v>269</v>
      </c>
      <c r="H50" s="298">
        <f>'TAM Projet 1'!AT54</f>
        <v>187250</v>
      </c>
      <c r="I50" s="299">
        <f>I49+'TAM Projet 1'!$D$52</f>
        <v>60173.706240000058</v>
      </c>
      <c r="J50" s="299">
        <f t="shared" si="2"/>
        <v>163.32707990633753</v>
      </c>
      <c r="K50" s="299">
        <f t="shared" si="3"/>
        <v>105535.63669689829</v>
      </c>
    </row>
    <row r="51" spans="1:11" x14ac:dyDescent="0.2">
      <c r="A51" s="298">
        <v>49</v>
      </c>
      <c r="B51" s="298">
        <f>'TAM Projet 1'!AD55</f>
        <v>217271.82000000004</v>
      </c>
      <c r="C51" s="299" t="e">
        <f>C50+'ensemble des projets'!$C$29</f>
        <v>#REF!</v>
      </c>
      <c r="D51" s="299" t="e">
        <f t="shared" si="0"/>
        <v>#REF!</v>
      </c>
      <c r="E51" s="299" t="e">
        <f t="shared" si="1"/>
        <v>#REF!</v>
      </c>
      <c r="G51" s="298">
        <v>49</v>
      </c>
      <c r="H51" s="298">
        <f>'TAM Projet 1'!AT55</f>
        <v>187250</v>
      </c>
      <c r="I51" s="299">
        <f>I50+'TAM Projet 1'!$D$52</f>
        <v>61427.32512000006</v>
      </c>
      <c r="J51" s="299">
        <f t="shared" si="2"/>
        <v>165.52334614419235</v>
      </c>
      <c r="K51" s="299">
        <f t="shared" si="3"/>
        <v>106954.77892304248</v>
      </c>
    </row>
    <row r="52" spans="1:11" x14ac:dyDescent="0.2">
      <c r="A52" s="298">
        <v>50</v>
      </c>
      <c r="B52" s="298">
        <f>'TAM Projet 1'!AD56</f>
        <v>216839.61000000004</v>
      </c>
      <c r="C52" s="299" t="e">
        <f>C51+'ensemble des projets'!$C$29</f>
        <v>#REF!</v>
      </c>
      <c r="D52" s="299" t="e">
        <f t="shared" si="0"/>
        <v>#REF!</v>
      </c>
      <c r="E52" s="299" t="e">
        <f t="shared" si="1"/>
        <v>#REF!</v>
      </c>
      <c r="G52" s="298">
        <v>50</v>
      </c>
      <c r="H52" s="298">
        <f>'TAM Projet 1'!AT56</f>
        <v>187250</v>
      </c>
      <c r="I52" s="299">
        <f>I51+'TAM Projet 1'!$D$52</f>
        <v>62680.944000000061</v>
      </c>
      <c r="J52" s="299">
        <f t="shared" si="2"/>
        <v>167.72301659471583</v>
      </c>
      <c r="K52" s="299">
        <f t="shared" si="3"/>
        <v>108376.12081963719</v>
      </c>
    </row>
    <row r="53" spans="1:11" x14ac:dyDescent="0.2">
      <c r="A53" s="298">
        <v>51</v>
      </c>
      <c r="B53" s="298">
        <f>'TAM Projet 1'!AD57</f>
        <v>216406.73000000004</v>
      </c>
      <c r="C53" s="299" t="e">
        <f>C52+'ensemble des projets'!$C$29</f>
        <v>#REF!</v>
      </c>
      <c r="D53" s="299" t="e">
        <f t="shared" si="0"/>
        <v>#REF!</v>
      </c>
      <c r="E53" s="299" t="e">
        <f t="shared" si="1"/>
        <v>#REF!</v>
      </c>
      <c r="G53" s="298">
        <v>51</v>
      </c>
      <c r="H53" s="298">
        <f>'TAM Projet 1'!AT57</f>
        <v>187250</v>
      </c>
      <c r="I53" s="299">
        <f>I52+'TAM Projet 1'!$D$52</f>
        <v>63934.562880000063</v>
      </c>
      <c r="J53" s="299">
        <f t="shared" si="2"/>
        <v>169.92609653443762</v>
      </c>
      <c r="K53" s="299">
        <f t="shared" si="3"/>
        <v>109799.66579617163</v>
      </c>
    </row>
    <row r="54" spans="1:11" x14ac:dyDescent="0.2">
      <c r="A54" s="298">
        <v>52</v>
      </c>
      <c r="B54" s="298">
        <f>'TAM Projet 1'!AD58</f>
        <v>215973.18000000005</v>
      </c>
      <c r="C54" s="299" t="e">
        <f>C53+'ensemble des projets'!$C$29</f>
        <v>#REF!</v>
      </c>
      <c r="D54" s="299" t="e">
        <f t="shared" si="0"/>
        <v>#REF!</v>
      </c>
      <c r="E54" s="299" t="e">
        <f t="shared" si="1"/>
        <v>#REF!</v>
      </c>
      <c r="G54" s="298">
        <v>52</v>
      </c>
      <c r="H54" s="298">
        <f>'TAM Projet 1'!AT58</f>
        <v>187250</v>
      </c>
      <c r="I54" s="299">
        <f>I53+'TAM Projet 1'!$D$52</f>
        <v>65188.181760000065</v>
      </c>
      <c r="J54" s="299">
        <f t="shared" si="2"/>
        <v>172.13259124806601</v>
      </c>
      <c r="K54" s="299">
        <f t="shared" si="3"/>
        <v>111225.41726741969</v>
      </c>
    </row>
    <row r="55" spans="1:11" x14ac:dyDescent="0.2">
      <c r="A55" s="298">
        <v>53</v>
      </c>
      <c r="B55" s="298">
        <f>'TAM Projet 1'!AD59</f>
        <v>215538.96000000005</v>
      </c>
      <c r="C55" s="299" t="e">
        <f>C54+'ensemble des projets'!$C$29</f>
        <v>#REF!</v>
      </c>
      <c r="D55" s="299" t="e">
        <f t="shared" si="0"/>
        <v>#REF!</v>
      </c>
      <c r="E55" s="299" t="e">
        <f t="shared" si="1"/>
        <v>#REF!</v>
      </c>
      <c r="G55" s="298">
        <v>53</v>
      </c>
      <c r="H55" s="298">
        <f>'TAM Projet 1'!AT59</f>
        <v>187250</v>
      </c>
      <c r="I55" s="299">
        <f>I54+'TAM Projet 1'!$D$52</f>
        <v>66441.80064000006</v>
      </c>
      <c r="J55" s="299">
        <f t="shared" si="2"/>
        <v>174.34250602850051</v>
      </c>
      <c r="K55" s="299">
        <f t="shared" si="3"/>
        <v>112653.37865344818</v>
      </c>
    </row>
    <row r="56" spans="1:11" x14ac:dyDescent="0.2">
      <c r="A56" s="298">
        <v>54</v>
      </c>
      <c r="B56" s="298">
        <f>'TAM Projet 1'!AD60</f>
        <v>215104.07000000004</v>
      </c>
      <c r="C56" s="299" t="e">
        <f>C55+'ensemble des projets'!$C$29</f>
        <v>#REF!</v>
      </c>
      <c r="D56" s="299" t="e">
        <f t="shared" si="0"/>
        <v>#REF!</v>
      </c>
      <c r="E56" s="299" t="e">
        <f t="shared" si="1"/>
        <v>#REF!</v>
      </c>
      <c r="G56" s="298">
        <v>54</v>
      </c>
      <c r="H56" s="298">
        <f>'TAM Projet 1'!AT60</f>
        <v>187250</v>
      </c>
      <c r="I56" s="299">
        <f>I55+'TAM Projet 1'!$D$52</f>
        <v>67695.419520000054</v>
      </c>
      <c r="J56" s="299">
        <f t="shared" si="2"/>
        <v>176.55584617684465</v>
      </c>
      <c r="K56" s="299">
        <f t="shared" si="3"/>
        <v>114083.55337962501</v>
      </c>
    </row>
    <row r="57" spans="1:11" x14ac:dyDescent="0.2">
      <c r="A57" s="298">
        <v>55</v>
      </c>
      <c r="B57" s="298">
        <f>'TAM Projet 1'!AD61</f>
        <v>214668.50000000003</v>
      </c>
      <c r="C57" s="299" t="e">
        <f>C56+'ensemble des projets'!$C$29</f>
        <v>#REF!</v>
      </c>
      <c r="D57" s="299" t="e">
        <f t="shared" si="0"/>
        <v>#REF!</v>
      </c>
      <c r="E57" s="299" t="e">
        <f t="shared" si="1"/>
        <v>#REF!</v>
      </c>
      <c r="G57" s="298">
        <v>55</v>
      </c>
      <c r="H57" s="298">
        <f>'TAM Projet 1'!AT61</f>
        <v>187250</v>
      </c>
      <c r="I57" s="299">
        <f>I56+'TAM Projet 1'!$D$52</f>
        <v>68949.038400000049</v>
      </c>
      <c r="J57" s="299">
        <f t="shared" si="2"/>
        <v>178.77261700241874</v>
      </c>
      <c r="K57" s="299">
        <f t="shared" si="3"/>
        <v>115515.94487662743</v>
      </c>
    </row>
    <row r="58" spans="1:11" x14ac:dyDescent="0.2">
      <c r="A58" s="298">
        <v>56</v>
      </c>
      <c r="B58" s="298">
        <f>'TAM Projet 1'!AD62</f>
        <v>214232.26000000004</v>
      </c>
      <c r="C58" s="299" t="e">
        <f>C57+'ensemble des projets'!$C$29</f>
        <v>#REF!</v>
      </c>
      <c r="D58" s="299" t="e">
        <f t="shared" si="0"/>
        <v>#REF!</v>
      </c>
      <c r="E58" s="299" t="e">
        <f t="shared" si="1"/>
        <v>#REF!</v>
      </c>
      <c r="G58" s="298">
        <v>56</v>
      </c>
      <c r="H58" s="298">
        <f>'TAM Projet 1'!AT62</f>
        <v>187250</v>
      </c>
      <c r="I58" s="299">
        <f>I57+'TAM Projet 1'!$D$52</f>
        <v>70202.657280000043</v>
      </c>
      <c r="J58" s="299">
        <f t="shared" si="2"/>
        <v>180.99282382277249</v>
      </c>
      <c r="K58" s="299">
        <f t="shared" si="3"/>
        <v>116950.5565804502</v>
      </c>
    </row>
    <row r="59" spans="1:11" x14ac:dyDescent="0.2">
      <c r="A59" s="298">
        <v>57</v>
      </c>
      <c r="B59" s="298">
        <f>'TAM Projet 1'!AD63</f>
        <v>213795.34000000003</v>
      </c>
      <c r="C59" s="299" t="e">
        <f>C58+'ensemble des projets'!$C$29</f>
        <v>#REF!</v>
      </c>
      <c r="D59" s="299" t="e">
        <f t="shared" si="0"/>
        <v>#REF!</v>
      </c>
      <c r="E59" s="299" t="e">
        <f t="shared" si="1"/>
        <v>#REF!</v>
      </c>
      <c r="G59" s="298">
        <v>57</v>
      </c>
      <c r="H59" s="298">
        <f>'TAM Projet 1'!AT63</f>
        <v>187250</v>
      </c>
      <c r="I59" s="299">
        <f>I58+'TAM Projet 1'!$D$52</f>
        <v>71456.276160000038</v>
      </c>
      <c r="J59" s="299">
        <f t="shared" si="2"/>
        <v>183.21647196369778</v>
      </c>
      <c r="K59" s="299">
        <f t="shared" si="3"/>
        <v>118387.39193241388</v>
      </c>
    </row>
    <row r="60" spans="1:11" x14ac:dyDescent="0.2">
      <c r="A60" s="298">
        <v>58</v>
      </c>
      <c r="B60" s="298">
        <f>'TAM Projet 1'!AD64</f>
        <v>213357.74000000002</v>
      </c>
      <c r="C60" s="299" t="e">
        <f>C59+'ensemble des projets'!$C$29</f>
        <v>#REF!</v>
      </c>
      <c r="D60" s="299" t="e">
        <f t="shared" si="0"/>
        <v>#REF!</v>
      </c>
      <c r="E60" s="299" t="e">
        <f t="shared" si="1"/>
        <v>#REF!</v>
      </c>
      <c r="G60" s="298">
        <v>58</v>
      </c>
      <c r="H60" s="298">
        <f>'TAM Projet 1'!AT64</f>
        <v>187250</v>
      </c>
      <c r="I60" s="299">
        <f>I59+'TAM Projet 1'!$D$52</f>
        <v>72709.895040000032</v>
      </c>
      <c r="J60" s="299">
        <f t="shared" si="2"/>
        <v>185.44356675924149</v>
      </c>
      <c r="K60" s="299">
        <f t="shared" si="3"/>
        <v>119826.45437917313</v>
      </c>
    </row>
    <row r="61" spans="1:11" x14ac:dyDescent="0.2">
      <c r="A61" s="298">
        <v>59</v>
      </c>
      <c r="B61" s="298">
        <f>'TAM Projet 1'!AD65</f>
        <v>212919.46000000002</v>
      </c>
      <c r="C61" s="299" t="e">
        <f>C60+'ensemble des projets'!$C$29</f>
        <v>#REF!</v>
      </c>
      <c r="D61" s="299" t="e">
        <f t="shared" si="0"/>
        <v>#REF!</v>
      </c>
      <c r="E61" s="299" t="e">
        <f t="shared" si="1"/>
        <v>#REF!</v>
      </c>
      <c r="G61" s="298">
        <v>59</v>
      </c>
      <c r="H61" s="298">
        <f>'TAM Projet 1'!AT65</f>
        <v>187250</v>
      </c>
      <c r="I61" s="299">
        <f>I60+'TAM Projet 1'!$D$52</f>
        <v>73963.513920000027</v>
      </c>
      <c r="J61" s="299">
        <f t="shared" si="2"/>
        <v>187.67411355171834</v>
      </c>
      <c r="K61" s="299">
        <f t="shared" si="3"/>
        <v>121267.74737272484</v>
      </c>
    </row>
    <row r="62" spans="1:11" x14ac:dyDescent="0.2">
      <c r="A62" s="300" t="s">
        <v>270</v>
      </c>
      <c r="B62" s="298">
        <f>'TAM Projet 1'!AD66</f>
        <v>212480.51</v>
      </c>
      <c r="C62" s="299" t="e">
        <f>C61+'ensemble des projets'!$C$29</f>
        <v>#REF!</v>
      </c>
      <c r="D62" s="299" t="e">
        <f t="shared" si="0"/>
        <v>#REF!</v>
      </c>
      <c r="E62" s="299" t="e">
        <f t="shared" si="1"/>
        <v>#REF!</v>
      </c>
      <c r="G62" s="300" t="s">
        <v>270</v>
      </c>
      <c r="H62" s="298">
        <f>'TAM Projet 1'!AT66</f>
        <v>187250</v>
      </c>
      <c r="I62" s="299">
        <f>I61+'TAM Projet 1'!$D$52</f>
        <v>75217.132800000021</v>
      </c>
      <c r="J62" s="299">
        <f t="shared" si="2"/>
        <v>189.9081176917235</v>
      </c>
      <c r="K62" s="299">
        <f t="shared" si="3"/>
        <v>122711.27437041656</v>
      </c>
    </row>
    <row r="63" spans="1:11" x14ac:dyDescent="0.2">
      <c r="A63" s="298">
        <v>61</v>
      </c>
      <c r="B63" s="298">
        <f>'TAM Projet 1'!AD67</f>
        <v>212040.87</v>
      </c>
      <c r="C63" s="299" t="e">
        <f>C62+'ensemble des projets'!$C$29</f>
        <v>#REF!</v>
      </c>
      <c r="D63" s="299" t="e">
        <f t="shared" si="0"/>
        <v>#REF!</v>
      </c>
      <c r="E63" s="299" t="e">
        <f t="shared" si="1"/>
        <v>#REF!</v>
      </c>
      <c r="G63" s="298">
        <v>61</v>
      </c>
      <c r="H63" s="298">
        <f>'TAM Projet 1'!AT67</f>
        <v>187250</v>
      </c>
      <c r="I63" s="299">
        <f>I62+'TAM Projet 1'!$D$52</f>
        <v>76470.751680000016</v>
      </c>
      <c r="J63" s="299">
        <f t="shared" si="2"/>
        <v>192.14558453814567</v>
      </c>
      <c r="K63" s="299">
        <f t="shared" si="3"/>
        <v>124157.0388349547</v>
      </c>
    </row>
    <row r="64" spans="1:11" x14ac:dyDescent="0.2">
      <c r="A64" s="298">
        <v>62</v>
      </c>
      <c r="B64" s="298">
        <f>'TAM Projet 1'!AD68</f>
        <v>211600.55</v>
      </c>
      <c r="C64" s="299" t="e">
        <f>C63+'ensemble des projets'!$C$29</f>
        <v>#REF!</v>
      </c>
      <c r="D64" s="299" t="e">
        <f t="shared" si="0"/>
        <v>#REF!</v>
      </c>
      <c r="E64" s="299" t="e">
        <f t="shared" si="1"/>
        <v>#REF!</v>
      </c>
      <c r="G64" s="298">
        <v>62</v>
      </c>
      <c r="H64" s="298">
        <f>'TAM Projet 1'!AT68</f>
        <v>187250</v>
      </c>
      <c r="I64" s="299">
        <f>I63+'TAM Projet 1'!$D$52</f>
        <v>77724.37056000001</v>
      </c>
      <c r="J64" s="299">
        <f t="shared" si="2"/>
        <v>194.38651945817978</v>
      </c>
      <c r="K64" s="299">
        <f t="shared" si="3"/>
        <v>125605.04423441287</v>
      </c>
    </row>
    <row r="65" spans="1:11" x14ac:dyDescent="0.2">
      <c r="A65" s="298">
        <v>63</v>
      </c>
      <c r="B65" s="298">
        <f>'TAM Projet 1'!AD69</f>
        <v>211159.55</v>
      </c>
      <c r="C65" s="299" t="e">
        <f>C64+'ensemble des projets'!$C$29</f>
        <v>#REF!</v>
      </c>
      <c r="D65" s="299" t="e">
        <f t="shared" si="0"/>
        <v>#REF!</v>
      </c>
      <c r="E65" s="299" t="e">
        <f t="shared" si="1"/>
        <v>#REF!</v>
      </c>
      <c r="G65" s="298">
        <v>63</v>
      </c>
      <c r="H65" s="298">
        <f>'TAM Projet 1'!AT69</f>
        <v>187250</v>
      </c>
      <c r="I65" s="299">
        <f>I64+'TAM Projet 1'!$D$52</f>
        <v>78977.989440000005</v>
      </c>
      <c r="J65" s="299">
        <f t="shared" si="2"/>
        <v>196.63092782733992</v>
      </c>
      <c r="K65" s="299">
        <f t="shared" si="3"/>
        <v>127055.2940422402</v>
      </c>
    </row>
    <row r="66" spans="1:11" x14ac:dyDescent="0.2">
      <c r="A66" s="298">
        <v>64</v>
      </c>
      <c r="B66" s="298">
        <f>'TAM Projet 1'!AD70</f>
        <v>210717.87</v>
      </c>
      <c r="C66" s="299" t="e">
        <f>C65+'ensemble des projets'!$C$29</f>
        <v>#REF!</v>
      </c>
      <c r="D66" s="299" t="e">
        <f t="shared" si="0"/>
        <v>#REF!</v>
      </c>
      <c r="E66" s="299" t="e">
        <f t="shared" si="1"/>
        <v>#REF!</v>
      </c>
      <c r="G66" s="298">
        <v>64</v>
      </c>
      <c r="H66" s="298">
        <f>'TAM Projet 1'!AT70</f>
        <v>187250</v>
      </c>
      <c r="I66" s="299">
        <f>I65+'TAM Projet 1'!$D$52</f>
        <v>80231.608319999999</v>
      </c>
      <c r="J66" s="299">
        <f t="shared" si="2"/>
        <v>198.87881502947229</v>
      </c>
      <c r="K66" s="299">
        <f t="shared" si="3"/>
        <v>128507.79173726967</v>
      </c>
    </row>
    <row r="67" spans="1:11" x14ac:dyDescent="0.2">
      <c r="A67" s="298">
        <v>65</v>
      </c>
      <c r="B67" s="298">
        <f>'TAM Projet 1'!AD71</f>
        <v>210275.5</v>
      </c>
      <c r="C67" s="299" t="e">
        <f>C66+'ensemble des projets'!$C$29</f>
        <v>#REF!</v>
      </c>
      <c r="D67" s="299" t="e">
        <f t="shared" si="0"/>
        <v>#REF!</v>
      </c>
      <c r="E67" s="299" t="e">
        <f t="shared" si="1"/>
        <v>#REF!</v>
      </c>
      <c r="G67" s="298">
        <v>65</v>
      </c>
      <c r="H67" s="298">
        <f>'TAM Projet 1'!AT71</f>
        <v>187250</v>
      </c>
      <c r="I67" s="299">
        <f>I66+'TAM Projet 1'!$D$52</f>
        <v>81485.227199999994</v>
      </c>
      <c r="J67" s="299">
        <f t="shared" si="2"/>
        <v>201.13018645676797</v>
      </c>
      <c r="K67" s="299">
        <f t="shared" si="3"/>
        <v>129962.54080372643</v>
      </c>
    </row>
    <row r="68" spans="1:11" x14ac:dyDescent="0.2">
      <c r="A68" s="298">
        <v>66</v>
      </c>
      <c r="B68" s="298">
        <f>'TAM Projet 1'!AD72</f>
        <v>209832.45</v>
      </c>
      <c r="C68" s="299" t="e">
        <f>C67+'ensemble des projets'!$C$29</f>
        <v>#REF!</v>
      </c>
      <c r="D68" s="299" t="e">
        <f t="shared" si="0"/>
        <v>#REF!</v>
      </c>
      <c r="E68" s="299" t="e">
        <f t="shared" si="1"/>
        <v>#REF!</v>
      </c>
      <c r="G68" s="298">
        <v>66</v>
      </c>
      <c r="H68" s="298">
        <f>'TAM Projet 1'!AT72</f>
        <v>187250</v>
      </c>
      <c r="I68" s="299">
        <f>I67+'TAM Projet 1'!$D$52</f>
        <v>82738.846079999988</v>
      </c>
      <c r="J68" s="299">
        <f t="shared" si="2"/>
        <v>203.38504750977597</v>
      </c>
      <c r="K68" s="299">
        <f t="shared" si="3"/>
        <v>131419.54473123621</v>
      </c>
    </row>
    <row r="69" spans="1:11" x14ac:dyDescent="0.2">
      <c r="A69" s="298">
        <v>67</v>
      </c>
      <c r="B69" s="298">
        <f>'TAM Projet 1'!AD73</f>
        <v>209388.71000000002</v>
      </c>
      <c r="C69" s="299" t="e">
        <f>C68+'ensemble des projets'!$C$29</f>
        <v>#REF!</v>
      </c>
      <c r="D69" s="299" t="e">
        <f t="shared" ref="D69:D132" si="4">(E68+$C$3)*0.00155</f>
        <v>#REF!</v>
      </c>
      <c r="E69" s="299" t="e">
        <f t="shared" ref="E69:E132" si="5">((E68+$C$3)*0.00155+(E68+$C$3))</f>
        <v>#REF!</v>
      </c>
      <c r="G69" s="298">
        <v>67</v>
      </c>
      <c r="H69" s="298">
        <f>'TAM Projet 1'!AT73</f>
        <v>187250</v>
      </c>
      <c r="I69" s="299">
        <f>I68+'TAM Projet 1'!$D$52</f>
        <v>83992.464959999983</v>
      </c>
      <c r="J69" s="299">
        <f t="shared" ref="J69:J132" si="6">(K68+$I$3)*0.00155</f>
        <v>205.6434035974161</v>
      </c>
      <c r="K69" s="299">
        <f t="shared" ref="K69:K132" si="7">((K68+$I$3)*0.00155+(K68+$I$3))</f>
        <v>132878.80701483361</v>
      </c>
    </row>
    <row r="70" spans="1:11" x14ac:dyDescent="0.2">
      <c r="A70" s="298">
        <v>68</v>
      </c>
      <c r="B70" s="298">
        <f>'TAM Projet 1'!AD74</f>
        <v>208944.28000000003</v>
      </c>
      <c r="C70" s="299" t="e">
        <f>C69+'ensemble des projets'!$C$29</f>
        <v>#REF!</v>
      </c>
      <c r="D70" s="299" t="e">
        <f t="shared" si="4"/>
        <v>#REF!</v>
      </c>
      <c r="E70" s="299" t="e">
        <f t="shared" si="5"/>
        <v>#REF!</v>
      </c>
      <c r="G70" s="298">
        <v>68</v>
      </c>
      <c r="H70" s="298">
        <f>'TAM Projet 1'!AT74</f>
        <v>187250</v>
      </c>
      <c r="I70" s="299">
        <f>I69+'TAM Projet 1'!$D$52</f>
        <v>85246.083839999977</v>
      </c>
      <c r="J70" s="299">
        <f t="shared" si="6"/>
        <v>207.90526013699207</v>
      </c>
      <c r="K70" s="299">
        <f t="shared" si="7"/>
        <v>134340.3311549706</v>
      </c>
    </row>
    <row r="71" spans="1:11" x14ac:dyDescent="0.2">
      <c r="A71" s="298">
        <v>69</v>
      </c>
      <c r="B71" s="298">
        <f>'TAM Projet 1'!AD75</f>
        <v>208499.16000000003</v>
      </c>
      <c r="C71" s="299" t="e">
        <f>C70+'ensemble des projets'!$C$29</f>
        <v>#REF!</v>
      </c>
      <c r="D71" s="299" t="e">
        <f t="shared" si="4"/>
        <v>#REF!</v>
      </c>
      <c r="E71" s="299" t="e">
        <f t="shared" si="5"/>
        <v>#REF!</v>
      </c>
      <c r="G71" s="298">
        <v>69</v>
      </c>
      <c r="H71" s="298">
        <f>'TAM Projet 1'!AT75</f>
        <v>187250</v>
      </c>
      <c r="I71" s="299">
        <f>I70+'TAM Projet 1'!$D$52</f>
        <v>86499.702719999972</v>
      </c>
      <c r="J71" s="299">
        <f t="shared" si="6"/>
        <v>210.17062255420441</v>
      </c>
      <c r="K71" s="299">
        <f t="shared" si="7"/>
        <v>135804.12065752479</v>
      </c>
    </row>
    <row r="72" spans="1:11" x14ac:dyDescent="0.2">
      <c r="A72" s="298">
        <v>70</v>
      </c>
      <c r="B72" s="298">
        <f>'TAM Projet 1'!AD76</f>
        <v>208053.35000000003</v>
      </c>
      <c r="C72" s="299" t="e">
        <f>C71+'ensemble des projets'!$C$29</f>
        <v>#REF!</v>
      </c>
      <c r="D72" s="299" t="e">
        <f t="shared" si="4"/>
        <v>#REF!</v>
      </c>
      <c r="E72" s="299" t="e">
        <f t="shared" si="5"/>
        <v>#REF!</v>
      </c>
      <c r="G72" s="298">
        <v>70</v>
      </c>
      <c r="H72" s="298">
        <f>'TAM Projet 1'!AT76</f>
        <v>187250</v>
      </c>
      <c r="I72" s="299">
        <f>I71+'TAM Projet 1'!$D$52</f>
        <v>87753.321599999967</v>
      </c>
      <c r="J72" s="299">
        <f t="shared" si="6"/>
        <v>212.43949628316341</v>
      </c>
      <c r="K72" s="299">
        <f t="shared" si="7"/>
        <v>137270.17903380794</v>
      </c>
    </row>
    <row r="73" spans="1:11" x14ac:dyDescent="0.2">
      <c r="A73" s="298">
        <v>71</v>
      </c>
      <c r="B73" s="298">
        <f>'TAM Projet 1'!AD77</f>
        <v>207606.85000000003</v>
      </c>
      <c r="C73" s="299" t="e">
        <f>C72+'ensemble des projets'!$C$29</f>
        <v>#REF!</v>
      </c>
      <c r="D73" s="299" t="e">
        <f t="shared" si="4"/>
        <v>#REF!</v>
      </c>
      <c r="E73" s="299" t="e">
        <f t="shared" si="5"/>
        <v>#REF!</v>
      </c>
      <c r="G73" s="298">
        <v>71</v>
      </c>
      <c r="H73" s="298">
        <f>'TAM Projet 1'!AT77</f>
        <v>187250</v>
      </c>
      <c r="I73" s="299">
        <f>I72+'TAM Projet 1'!$D$52</f>
        <v>89006.940479999961</v>
      </c>
      <c r="J73" s="299">
        <f t="shared" si="6"/>
        <v>214.7118867664023</v>
      </c>
      <c r="K73" s="299">
        <f t="shared" si="7"/>
        <v>138738.50980057433</v>
      </c>
    </row>
    <row r="74" spans="1:11" x14ac:dyDescent="0.2">
      <c r="A74" s="300" t="s">
        <v>271</v>
      </c>
      <c r="B74" s="298">
        <f>'TAM Projet 1'!AD78</f>
        <v>207159.66000000003</v>
      </c>
      <c r="C74" s="299" t="e">
        <f>C73+'ensemble des projets'!$C$29</f>
        <v>#REF!</v>
      </c>
      <c r="D74" s="299" t="e">
        <f t="shared" si="4"/>
        <v>#REF!</v>
      </c>
      <c r="E74" s="299" t="e">
        <f t="shared" si="5"/>
        <v>#REF!</v>
      </c>
      <c r="G74" s="300" t="s">
        <v>271</v>
      </c>
      <c r="H74" s="298">
        <f>'TAM Projet 1'!AT78</f>
        <v>187250</v>
      </c>
      <c r="I74" s="299">
        <f>I73+'TAM Projet 1'!$D$52</f>
        <v>90260.559359999956</v>
      </c>
      <c r="J74" s="299">
        <f t="shared" si="6"/>
        <v>216.98779945489019</v>
      </c>
      <c r="K74" s="299">
        <f t="shared" si="7"/>
        <v>140209.11648002922</v>
      </c>
    </row>
    <row r="75" spans="1:11" x14ac:dyDescent="0.2">
      <c r="A75" s="298">
        <v>73</v>
      </c>
      <c r="B75" s="298">
        <f>'TAM Projet 1'!AD79</f>
        <v>206711.78000000003</v>
      </c>
      <c r="C75" s="299" t="e">
        <f>C74+'ensemble des projets'!$C$29</f>
        <v>#REF!</v>
      </c>
      <c r="D75" s="299" t="e">
        <f t="shared" si="4"/>
        <v>#REF!</v>
      </c>
      <c r="E75" s="299" t="e">
        <f t="shared" si="5"/>
        <v>#REF!</v>
      </c>
      <c r="G75" s="298">
        <v>73</v>
      </c>
      <c r="H75" s="298">
        <f>'TAM Projet 1'!AT79</f>
        <v>187250</v>
      </c>
      <c r="I75" s="299">
        <f>I74+'TAM Projet 1'!$D$52</f>
        <v>91514.17823999995</v>
      </c>
      <c r="J75" s="299">
        <f t="shared" si="6"/>
        <v>219.26723980804528</v>
      </c>
      <c r="K75" s="299">
        <f t="shared" si="7"/>
        <v>141682.00259983726</v>
      </c>
    </row>
    <row r="76" spans="1:11" x14ac:dyDescent="0.2">
      <c r="A76" s="298">
        <v>74</v>
      </c>
      <c r="B76" s="298">
        <f>'TAM Projet 1'!AD80</f>
        <v>206263.20000000004</v>
      </c>
      <c r="C76" s="299" t="e">
        <f>C75+'ensemble des projets'!$C$29</f>
        <v>#REF!</v>
      </c>
      <c r="D76" s="299" t="e">
        <f t="shared" si="4"/>
        <v>#REF!</v>
      </c>
      <c r="E76" s="299" t="e">
        <f t="shared" si="5"/>
        <v>#REF!</v>
      </c>
      <c r="G76" s="298">
        <v>74</v>
      </c>
      <c r="H76" s="298">
        <f>'TAM Projet 1'!AT80</f>
        <v>187250</v>
      </c>
      <c r="I76" s="299">
        <f>I75+'TAM Projet 1'!$D$52</f>
        <v>92767.797119999945</v>
      </c>
      <c r="J76" s="299">
        <f t="shared" si="6"/>
        <v>221.55021329374773</v>
      </c>
      <c r="K76" s="299">
        <f t="shared" si="7"/>
        <v>143157.17169313101</v>
      </c>
    </row>
    <row r="77" spans="1:11" x14ac:dyDescent="0.2">
      <c r="A77" s="298">
        <v>75</v>
      </c>
      <c r="B77" s="298">
        <f>'TAM Projet 1'!AD81</f>
        <v>205813.93000000005</v>
      </c>
      <c r="C77" s="299" t="e">
        <f>C76+'ensemble des projets'!$C$29</f>
        <v>#REF!</v>
      </c>
      <c r="D77" s="299" t="e">
        <f t="shared" si="4"/>
        <v>#REF!</v>
      </c>
      <c r="E77" s="299" t="e">
        <f t="shared" si="5"/>
        <v>#REF!</v>
      </c>
      <c r="G77" s="298">
        <v>75</v>
      </c>
      <c r="H77" s="298">
        <f>'TAM Projet 1'!AT81</f>
        <v>187250</v>
      </c>
      <c r="I77" s="299">
        <f>I76+'TAM Projet 1'!$D$52</f>
        <v>94021.415999999939</v>
      </c>
      <c r="J77" s="299">
        <f t="shared" si="6"/>
        <v>223.83672538835305</v>
      </c>
      <c r="K77" s="299">
        <f t="shared" si="7"/>
        <v>144634.62729851936</v>
      </c>
    </row>
    <row r="78" spans="1:11" x14ac:dyDescent="0.2">
      <c r="A78" s="298">
        <v>76</v>
      </c>
      <c r="B78" s="298">
        <f>'TAM Projet 1'!AD82</f>
        <v>205363.96000000005</v>
      </c>
      <c r="C78" s="299" t="e">
        <f>C77+'ensemble des projets'!$C$29</f>
        <v>#REF!</v>
      </c>
      <c r="D78" s="299" t="e">
        <f t="shared" si="4"/>
        <v>#REF!</v>
      </c>
      <c r="E78" s="299" t="e">
        <f t="shared" si="5"/>
        <v>#REF!</v>
      </c>
      <c r="G78" s="298">
        <v>76</v>
      </c>
      <c r="H78" s="298">
        <f>'TAM Projet 1'!AT82</f>
        <v>187250</v>
      </c>
      <c r="I78" s="299">
        <f>I77+'TAM Projet 1'!$D$52</f>
        <v>95275.034879999934</v>
      </c>
      <c r="J78" s="299">
        <f t="shared" si="6"/>
        <v>226.12678157670499</v>
      </c>
      <c r="K78" s="299">
        <f t="shared" si="7"/>
        <v>146114.37296009605</v>
      </c>
    </row>
    <row r="79" spans="1:11" x14ac:dyDescent="0.2">
      <c r="A79" s="298">
        <v>77</v>
      </c>
      <c r="B79" s="298">
        <f>'TAM Projet 1'!AD83</f>
        <v>204913.29000000004</v>
      </c>
      <c r="C79" s="299" t="e">
        <f>C78+'ensemble des projets'!$C$29</f>
        <v>#REF!</v>
      </c>
      <c r="D79" s="299" t="e">
        <f t="shared" si="4"/>
        <v>#REF!</v>
      </c>
      <c r="E79" s="299" t="e">
        <f t="shared" si="5"/>
        <v>#REF!</v>
      </c>
      <c r="G79" s="298">
        <v>77</v>
      </c>
      <c r="H79" s="298">
        <f>'TAM Projet 1'!AT83</f>
        <v>187250</v>
      </c>
      <c r="I79" s="299">
        <f>I78+'TAM Projet 1'!$D$52</f>
        <v>96528.653759999928</v>
      </c>
      <c r="J79" s="299">
        <f t="shared" si="6"/>
        <v>228.42038735214885</v>
      </c>
      <c r="K79" s="299">
        <f t="shared" si="7"/>
        <v>147596.41222744819</v>
      </c>
    </row>
    <row r="80" spans="1:11" x14ac:dyDescent="0.2">
      <c r="A80" s="298">
        <v>78</v>
      </c>
      <c r="B80" s="298">
        <f>'TAM Projet 1'!AD84</f>
        <v>204461.93000000005</v>
      </c>
      <c r="C80" s="299" t="e">
        <f>C79+'ensemble des projets'!$C$29</f>
        <v>#REF!</v>
      </c>
      <c r="D80" s="299" t="e">
        <f t="shared" si="4"/>
        <v>#REF!</v>
      </c>
      <c r="E80" s="299" t="e">
        <f t="shared" si="5"/>
        <v>#REF!</v>
      </c>
      <c r="G80" s="298">
        <v>78</v>
      </c>
      <c r="H80" s="298">
        <f>'TAM Projet 1'!AT84</f>
        <v>187250</v>
      </c>
      <c r="I80" s="299">
        <f>I79+'TAM Projet 1'!$D$52</f>
        <v>97782.272639999923</v>
      </c>
      <c r="J80" s="299">
        <f t="shared" si="6"/>
        <v>230.71754821654469</v>
      </c>
      <c r="K80" s="299">
        <f t="shared" si="7"/>
        <v>149080.74865566473</v>
      </c>
    </row>
    <row r="81" spans="1:11" x14ac:dyDescent="0.2">
      <c r="A81" s="298">
        <v>79</v>
      </c>
      <c r="B81" s="298">
        <f>'TAM Projet 1'!AD85</f>
        <v>204009.87000000005</v>
      </c>
      <c r="C81" s="299" t="e">
        <f>C80+'ensemble des projets'!$C$29</f>
        <v>#REF!</v>
      </c>
      <c r="D81" s="299" t="e">
        <f t="shared" si="4"/>
        <v>#REF!</v>
      </c>
      <c r="E81" s="299" t="e">
        <f t="shared" si="5"/>
        <v>#REF!</v>
      </c>
      <c r="G81" s="298">
        <v>79</v>
      </c>
      <c r="H81" s="298">
        <f>'TAM Projet 1'!AT85</f>
        <v>187250</v>
      </c>
      <c r="I81" s="299">
        <f>I80+'TAM Projet 1'!$D$52</f>
        <v>99035.891519999917</v>
      </c>
      <c r="J81" s="299">
        <f t="shared" si="6"/>
        <v>233.01826968028033</v>
      </c>
      <c r="K81" s="299">
        <f t="shared" si="7"/>
        <v>150567.38580534499</v>
      </c>
    </row>
    <row r="82" spans="1:11" x14ac:dyDescent="0.2">
      <c r="A82" s="298">
        <v>80</v>
      </c>
      <c r="B82" s="298">
        <f>'TAM Projet 1'!AD86</f>
        <v>203557.11000000004</v>
      </c>
      <c r="C82" s="299" t="e">
        <f>C81+'ensemble des projets'!$C$29</f>
        <v>#REF!</v>
      </c>
      <c r="D82" s="299" t="e">
        <f t="shared" si="4"/>
        <v>#REF!</v>
      </c>
      <c r="E82" s="299" t="e">
        <f t="shared" si="5"/>
        <v>#REF!</v>
      </c>
      <c r="G82" s="298">
        <v>80</v>
      </c>
      <c r="H82" s="298">
        <f>'TAM Projet 1'!AT86</f>
        <v>187250</v>
      </c>
      <c r="I82" s="299">
        <f>I81+'TAM Projet 1'!$D$52</f>
        <v>100289.51039999991</v>
      </c>
      <c r="J82" s="299">
        <f t="shared" si="6"/>
        <v>235.32255726228473</v>
      </c>
      <c r="K82" s="299">
        <f t="shared" si="7"/>
        <v>152056.32724260728</v>
      </c>
    </row>
    <row r="83" spans="1:11" x14ac:dyDescent="0.2">
      <c r="A83" s="298">
        <v>81</v>
      </c>
      <c r="B83" s="298">
        <f>'TAM Projet 1'!AD87</f>
        <v>203103.64000000004</v>
      </c>
      <c r="C83" s="299" t="e">
        <f>C82+'ensemble des projets'!$C$29</f>
        <v>#REF!</v>
      </c>
      <c r="D83" s="299" t="e">
        <f t="shared" si="4"/>
        <v>#REF!</v>
      </c>
      <c r="E83" s="299" t="e">
        <f t="shared" si="5"/>
        <v>#REF!</v>
      </c>
      <c r="G83" s="298">
        <v>81</v>
      </c>
      <c r="H83" s="298">
        <f>'TAM Projet 1'!AT87</f>
        <v>187250</v>
      </c>
      <c r="I83" s="299">
        <f>I82+'TAM Projet 1'!$D$52</f>
        <v>101543.12927999991</v>
      </c>
      <c r="J83" s="299">
        <f t="shared" si="6"/>
        <v>237.63041649004126</v>
      </c>
      <c r="K83" s="299">
        <f t="shared" si="7"/>
        <v>153547.57653909732</v>
      </c>
    </row>
    <row r="84" spans="1:11" x14ac:dyDescent="0.2">
      <c r="A84" s="298">
        <v>82</v>
      </c>
      <c r="B84" s="298">
        <f>'TAM Projet 1'!AD88</f>
        <v>202649.47000000003</v>
      </c>
      <c r="C84" s="299" t="e">
        <f>C83+'ensemble des projets'!$C$29</f>
        <v>#REF!</v>
      </c>
      <c r="D84" s="299" t="e">
        <f t="shared" si="4"/>
        <v>#REF!</v>
      </c>
      <c r="E84" s="299" t="e">
        <f t="shared" si="5"/>
        <v>#REF!</v>
      </c>
      <c r="G84" s="298">
        <v>82</v>
      </c>
      <c r="H84" s="298">
        <f>'TAM Projet 1'!AT88</f>
        <v>187250</v>
      </c>
      <c r="I84" s="299">
        <f>I83+'TAM Projet 1'!$D$52</f>
        <v>102796.7481599999</v>
      </c>
      <c r="J84" s="299">
        <f t="shared" si="6"/>
        <v>239.94185289960083</v>
      </c>
      <c r="K84" s="299">
        <f t="shared" si="7"/>
        <v>155041.13727199691</v>
      </c>
    </row>
    <row r="85" spans="1:11" x14ac:dyDescent="0.2">
      <c r="A85" s="298">
        <v>83</v>
      </c>
      <c r="B85" s="298">
        <f>'TAM Projet 1'!AD89</f>
        <v>202194.60000000003</v>
      </c>
      <c r="C85" s="299" t="e">
        <f>C84+'ensemble des projets'!$C$29</f>
        <v>#REF!</v>
      </c>
      <c r="D85" s="299" t="e">
        <f t="shared" si="4"/>
        <v>#REF!</v>
      </c>
      <c r="E85" s="299" t="e">
        <f t="shared" si="5"/>
        <v>#REF!</v>
      </c>
      <c r="G85" s="298">
        <v>83</v>
      </c>
      <c r="H85" s="298">
        <f>'TAM Projet 1'!AT89</f>
        <v>187250</v>
      </c>
      <c r="I85" s="299">
        <f>I84+'TAM Projet 1'!$D$52</f>
        <v>104050.3670399999</v>
      </c>
      <c r="J85" s="299">
        <f t="shared" si="6"/>
        <v>242.25687203559519</v>
      </c>
      <c r="K85" s="299">
        <f t="shared" si="7"/>
        <v>156537.01302403249</v>
      </c>
    </row>
    <row r="86" spans="1:11" x14ac:dyDescent="0.2">
      <c r="A86" s="300" t="s">
        <v>272</v>
      </c>
      <c r="B86" s="298">
        <f>'TAM Projet 1'!AD90</f>
        <v>201739.02000000005</v>
      </c>
      <c r="C86" s="299" t="e">
        <f>C85+'ensemble des projets'!$C$29</f>
        <v>#REF!</v>
      </c>
      <c r="D86" s="299" t="e">
        <f t="shared" si="4"/>
        <v>#REF!</v>
      </c>
      <c r="E86" s="299" t="e">
        <f t="shared" si="5"/>
        <v>#REF!</v>
      </c>
      <c r="G86" s="300" t="s">
        <v>272</v>
      </c>
      <c r="H86" s="298">
        <f>'TAM Projet 1'!AT90</f>
        <v>187250</v>
      </c>
      <c r="I86" s="299">
        <f>I85+'TAM Projet 1'!$D$52</f>
        <v>105303.98591999989</v>
      </c>
      <c r="J86" s="299">
        <f t="shared" si="6"/>
        <v>244.57547945125035</v>
      </c>
      <c r="K86" s="299">
        <f t="shared" si="7"/>
        <v>158035.20738348374</v>
      </c>
    </row>
    <row r="87" spans="1:11" x14ac:dyDescent="0.2">
      <c r="A87" s="298">
        <v>85</v>
      </c>
      <c r="B87" s="298">
        <f>'TAM Projet 1'!AD91</f>
        <v>201282.74000000005</v>
      </c>
      <c r="C87" s="299" t="e">
        <f>C86+'ensemble des projets'!$C$29</f>
        <v>#REF!</v>
      </c>
      <c r="D87" s="299" t="e">
        <f t="shared" si="4"/>
        <v>#REF!</v>
      </c>
      <c r="E87" s="299" t="e">
        <f t="shared" si="5"/>
        <v>#REF!</v>
      </c>
      <c r="G87" s="298">
        <v>85</v>
      </c>
      <c r="H87" s="298">
        <f>'TAM Projet 1'!AT91</f>
        <v>187250</v>
      </c>
      <c r="I87" s="299">
        <f>I86+'TAM Projet 1'!$D$52</f>
        <v>106557.60479999988</v>
      </c>
      <c r="J87" s="299">
        <f t="shared" si="6"/>
        <v>246.89768070839978</v>
      </c>
      <c r="K87" s="299">
        <f t="shared" si="7"/>
        <v>159535.72394419214</v>
      </c>
    </row>
    <row r="88" spans="1:11" x14ac:dyDescent="0.2">
      <c r="A88" s="298">
        <v>86</v>
      </c>
      <c r="B88" s="298">
        <f>'TAM Projet 1'!AD92</f>
        <v>200825.75000000006</v>
      </c>
      <c r="C88" s="299" t="e">
        <f>C87+'ensemble des projets'!$C$29</f>
        <v>#REF!</v>
      </c>
      <c r="D88" s="299" t="e">
        <f t="shared" si="4"/>
        <v>#REF!</v>
      </c>
      <c r="E88" s="299" t="e">
        <f t="shared" si="5"/>
        <v>#REF!</v>
      </c>
      <c r="G88" s="298">
        <v>86</v>
      </c>
      <c r="H88" s="298">
        <f>'TAM Projet 1'!AT92</f>
        <v>187250</v>
      </c>
      <c r="I88" s="299">
        <f>I87+'TAM Projet 1'!$D$52</f>
        <v>107811.22367999988</v>
      </c>
      <c r="J88" s="299">
        <f t="shared" si="6"/>
        <v>249.22348137749779</v>
      </c>
      <c r="K88" s="299">
        <f t="shared" si="7"/>
        <v>161038.56630556964</v>
      </c>
    </row>
    <row r="89" spans="1:11" x14ac:dyDescent="0.2">
      <c r="A89" s="298">
        <v>87</v>
      </c>
      <c r="B89" s="298">
        <f>'TAM Projet 1'!AD93</f>
        <v>200368.05000000005</v>
      </c>
      <c r="C89" s="299" t="e">
        <f>C88+'ensemble des projets'!$C$29</f>
        <v>#REF!</v>
      </c>
      <c r="D89" s="299" t="e">
        <f t="shared" si="4"/>
        <v>#REF!</v>
      </c>
      <c r="E89" s="299" t="e">
        <f t="shared" si="5"/>
        <v>#REF!</v>
      </c>
      <c r="G89" s="298">
        <v>87</v>
      </c>
      <c r="H89" s="298">
        <f>'TAM Projet 1'!AT93</f>
        <v>187250</v>
      </c>
      <c r="I89" s="299">
        <f>I88+'TAM Projet 1'!$D$52</f>
        <v>109064.84255999987</v>
      </c>
      <c r="J89" s="299">
        <f t="shared" si="6"/>
        <v>251.55288703763293</v>
      </c>
      <c r="K89" s="299">
        <f t="shared" si="7"/>
        <v>162543.73807260726</v>
      </c>
    </row>
    <row r="90" spans="1:11" x14ac:dyDescent="0.2">
      <c r="A90" s="298">
        <v>88</v>
      </c>
      <c r="B90" s="298">
        <f>'TAM Projet 1'!AD94</f>
        <v>199909.64000000004</v>
      </c>
      <c r="C90" s="299" t="e">
        <f>C89+'ensemble des projets'!$C$29</f>
        <v>#REF!</v>
      </c>
      <c r="D90" s="299" t="e">
        <f t="shared" si="4"/>
        <v>#REF!</v>
      </c>
      <c r="E90" s="299" t="e">
        <f t="shared" si="5"/>
        <v>#REF!</v>
      </c>
      <c r="G90" s="298">
        <v>88</v>
      </c>
      <c r="H90" s="298">
        <f>'TAM Projet 1'!AT94</f>
        <v>187250</v>
      </c>
      <c r="I90" s="299">
        <f>I89+'TAM Projet 1'!$D$52</f>
        <v>110318.46143999987</v>
      </c>
      <c r="J90" s="299">
        <f t="shared" si="6"/>
        <v>253.88590327654123</v>
      </c>
      <c r="K90" s="299">
        <f t="shared" si="7"/>
        <v>164051.24285588379</v>
      </c>
    </row>
    <row r="91" spans="1:11" x14ac:dyDescent="0.2">
      <c r="A91" s="298">
        <v>89</v>
      </c>
      <c r="B91" s="298">
        <f>'TAM Projet 1'!AD95</f>
        <v>199450.52000000005</v>
      </c>
      <c r="C91" s="299" t="e">
        <f>C90+'ensemble des projets'!$C$29</f>
        <v>#REF!</v>
      </c>
      <c r="D91" s="299" t="e">
        <f t="shared" si="4"/>
        <v>#REF!</v>
      </c>
      <c r="E91" s="299" t="e">
        <f t="shared" si="5"/>
        <v>#REF!</v>
      </c>
      <c r="G91" s="298">
        <v>89</v>
      </c>
      <c r="H91" s="298">
        <f>'TAM Projet 1'!AT95</f>
        <v>187250</v>
      </c>
      <c r="I91" s="299">
        <f>I90+'TAM Projet 1'!$D$52</f>
        <v>111572.08031999986</v>
      </c>
      <c r="J91" s="299">
        <f t="shared" si="6"/>
        <v>256.22253569061985</v>
      </c>
      <c r="K91" s="299">
        <f t="shared" si="7"/>
        <v>165561.08427157439</v>
      </c>
    </row>
    <row r="92" spans="1:11" x14ac:dyDescent="0.2">
      <c r="A92" s="298">
        <v>90</v>
      </c>
      <c r="B92" s="298">
        <f>'TAM Projet 1'!AD96</f>
        <v>198990.69000000006</v>
      </c>
      <c r="C92" s="299" t="e">
        <f>C91+'ensemble des projets'!$C$29</f>
        <v>#REF!</v>
      </c>
      <c r="D92" s="299" t="e">
        <f t="shared" si="4"/>
        <v>#REF!</v>
      </c>
      <c r="E92" s="299" t="e">
        <f t="shared" si="5"/>
        <v>#REF!</v>
      </c>
      <c r="G92" s="298">
        <v>90</v>
      </c>
      <c r="H92" s="298">
        <f>'TAM Projet 1'!AT96</f>
        <v>187250</v>
      </c>
      <c r="I92" s="299">
        <f>I91+'TAM Projet 1'!$D$52</f>
        <v>112825.69919999986</v>
      </c>
      <c r="J92" s="299">
        <f t="shared" si="6"/>
        <v>258.56278988494029</v>
      </c>
      <c r="K92" s="299">
        <f t="shared" si="7"/>
        <v>167073.26594145934</v>
      </c>
    </row>
    <row r="93" spans="1:11" x14ac:dyDescent="0.2">
      <c r="A93" s="298">
        <v>91</v>
      </c>
      <c r="B93" s="298">
        <f>'TAM Projet 1'!AD97</f>
        <v>198530.15000000005</v>
      </c>
      <c r="C93" s="299" t="e">
        <f>C92+'ensemble des projets'!$C$29</f>
        <v>#REF!</v>
      </c>
      <c r="D93" s="299" t="e">
        <f t="shared" si="4"/>
        <v>#REF!</v>
      </c>
      <c r="E93" s="299" t="e">
        <f t="shared" si="5"/>
        <v>#REF!</v>
      </c>
      <c r="G93" s="298">
        <v>91</v>
      </c>
      <c r="H93" s="298">
        <f>'TAM Projet 1'!AT97</f>
        <v>187250</v>
      </c>
      <c r="I93" s="299">
        <f>I92+'TAM Projet 1'!$D$52</f>
        <v>114079.31807999985</v>
      </c>
      <c r="J93" s="299">
        <f t="shared" si="6"/>
        <v>260.90667147326195</v>
      </c>
      <c r="K93" s="299">
        <f t="shared" si="7"/>
        <v>168587.79149293259</v>
      </c>
    </row>
    <row r="94" spans="1:11" x14ac:dyDescent="0.2">
      <c r="A94" s="298">
        <v>92</v>
      </c>
      <c r="B94" s="298">
        <f>'TAM Projet 1'!AD98</f>
        <v>198068.89000000004</v>
      </c>
      <c r="C94" s="299" t="e">
        <f>C93+'ensemble des projets'!$C$29</f>
        <v>#REF!</v>
      </c>
      <c r="D94" s="299" t="e">
        <f t="shared" si="4"/>
        <v>#REF!</v>
      </c>
      <c r="E94" s="299" t="e">
        <f t="shared" si="5"/>
        <v>#REF!</v>
      </c>
      <c r="G94" s="298">
        <v>92</v>
      </c>
      <c r="H94" s="298">
        <f>'TAM Projet 1'!AT98</f>
        <v>187250</v>
      </c>
      <c r="I94" s="299">
        <f>I93+'TAM Projet 1'!$D$52</f>
        <v>115332.93695999985</v>
      </c>
      <c r="J94" s="299">
        <f t="shared" si="6"/>
        <v>263.25418607804551</v>
      </c>
      <c r="K94" s="299">
        <f t="shared" si="7"/>
        <v>170104.66455901062</v>
      </c>
    </row>
    <row r="95" spans="1:11" x14ac:dyDescent="0.2">
      <c r="A95" s="298">
        <v>93</v>
      </c>
      <c r="B95" s="298">
        <f>'TAM Projet 1'!AD99</f>
        <v>197606.92000000004</v>
      </c>
      <c r="C95" s="299" t="e">
        <f>C94+'ensemble des projets'!$C$29</f>
        <v>#REF!</v>
      </c>
      <c r="D95" s="299" t="e">
        <f t="shared" si="4"/>
        <v>#REF!</v>
      </c>
      <c r="E95" s="299" t="e">
        <f t="shared" si="5"/>
        <v>#REF!</v>
      </c>
      <c r="G95" s="298">
        <v>93</v>
      </c>
      <c r="H95" s="298">
        <f>'TAM Projet 1'!AT99</f>
        <v>187250</v>
      </c>
      <c r="I95" s="299">
        <f>I94+'TAM Projet 1'!$D$52</f>
        <v>116586.55583999984</v>
      </c>
      <c r="J95" s="299">
        <f t="shared" si="6"/>
        <v>265.60533933046645</v>
      </c>
      <c r="K95" s="299">
        <f t="shared" si="7"/>
        <v>171623.88877834109</v>
      </c>
    </row>
    <row r="96" spans="1:11" x14ac:dyDescent="0.2">
      <c r="A96" s="298">
        <v>94</v>
      </c>
      <c r="B96" s="298">
        <f>'TAM Projet 1'!AD100</f>
        <v>197144.23000000004</v>
      </c>
      <c r="C96" s="299" t="e">
        <f>C95+'ensemble des projets'!$C$29</f>
        <v>#REF!</v>
      </c>
      <c r="D96" s="299" t="e">
        <f t="shared" si="4"/>
        <v>#REF!</v>
      </c>
      <c r="E96" s="299" t="e">
        <f t="shared" si="5"/>
        <v>#REF!</v>
      </c>
      <c r="G96" s="298">
        <v>94</v>
      </c>
      <c r="H96" s="298">
        <f>'TAM Projet 1'!AT100</f>
        <v>187250</v>
      </c>
      <c r="I96" s="299">
        <f>I95+'TAM Projet 1'!$D$52</f>
        <v>117840.17471999984</v>
      </c>
      <c r="J96" s="299">
        <f t="shared" si="6"/>
        <v>267.9601368704287</v>
      </c>
      <c r="K96" s="299">
        <f t="shared" si="7"/>
        <v>173145.4677952115</v>
      </c>
    </row>
    <row r="97" spans="1:11" x14ac:dyDescent="0.2">
      <c r="A97" s="298">
        <v>95</v>
      </c>
      <c r="B97" s="298">
        <f>'TAM Projet 1'!AD101</f>
        <v>196680.82000000004</v>
      </c>
      <c r="C97" s="299" t="e">
        <f>C96+'ensemble des projets'!$C$29</f>
        <v>#REF!</v>
      </c>
      <c r="D97" s="299" t="e">
        <f t="shared" si="4"/>
        <v>#REF!</v>
      </c>
      <c r="E97" s="299" t="e">
        <f t="shared" si="5"/>
        <v>#REF!</v>
      </c>
      <c r="G97" s="298">
        <v>95</v>
      </c>
      <c r="H97" s="298">
        <f>'TAM Projet 1'!AT101</f>
        <v>187250</v>
      </c>
      <c r="I97" s="299">
        <f>I96+'TAM Projet 1'!$D$52</f>
        <v>119093.79359999983</v>
      </c>
      <c r="J97" s="299">
        <f t="shared" si="6"/>
        <v>270.31858434657784</v>
      </c>
      <c r="K97" s="299">
        <f t="shared" si="7"/>
        <v>174669.40525955809</v>
      </c>
    </row>
    <row r="98" spans="1:11" x14ac:dyDescent="0.2">
      <c r="A98" s="300" t="s">
        <v>273</v>
      </c>
      <c r="B98" s="298">
        <f>'TAM Projet 1'!AD102</f>
        <v>196216.70000000004</v>
      </c>
      <c r="C98" s="299" t="e">
        <f>C97+'ensemble des projets'!$C$29</f>
        <v>#REF!</v>
      </c>
      <c r="D98" s="299" t="e">
        <f t="shared" si="4"/>
        <v>#REF!</v>
      </c>
      <c r="E98" s="299" t="e">
        <f t="shared" si="5"/>
        <v>#REF!</v>
      </c>
      <c r="G98" s="300" t="s">
        <v>273</v>
      </c>
      <c r="H98" s="298">
        <f>'TAM Projet 1'!AT102</f>
        <v>187250</v>
      </c>
      <c r="I98" s="299">
        <f>I97+'TAM Projet 1'!$D$52</f>
        <v>120347.41247999982</v>
      </c>
      <c r="J98" s="299">
        <f t="shared" si="6"/>
        <v>272.68068741631504</v>
      </c>
      <c r="K98" s="299">
        <f t="shared" si="7"/>
        <v>176195.7048269744</v>
      </c>
    </row>
    <row r="99" spans="1:11" x14ac:dyDescent="0.2">
      <c r="A99" s="298">
        <v>97</v>
      </c>
      <c r="B99" s="298">
        <f>'TAM Projet 1'!AD103</f>
        <v>195751.86000000004</v>
      </c>
      <c r="C99" s="299" t="e">
        <f>C98+'ensemble des projets'!$C$29</f>
        <v>#REF!</v>
      </c>
      <c r="D99" s="299" t="e">
        <f t="shared" si="4"/>
        <v>#REF!</v>
      </c>
      <c r="E99" s="299" t="e">
        <f t="shared" si="5"/>
        <v>#REF!</v>
      </c>
      <c r="G99" s="298">
        <v>97</v>
      </c>
      <c r="H99" s="298">
        <f>'TAM Projet 1'!AT103</f>
        <v>187250</v>
      </c>
      <c r="I99" s="299">
        <f>I98+'TAM Projet 1'!$D$52</f>
        <v>121601.03135999982</v>
      </c>
      <c r="J99" s="299">
        <f t="shared" si="6"/>
        <v>275.04645174581032</v>
      </c>
      <c r="K99" s="299">
        <f t="shared" si="7"/>
        <v>177724.37015872021</v>
      </c>
    </row>
    <row r="100" spans="1:11" x14ac:dyDescent="0.2">
      <c r="A100" s="298">
        <v>98</v>
      </c>
      <c r="B100" s="298">
        <f>'TAM Projet 1'!AD104</f>
        <v>195286.30000000005</v>
      </c>
      <c r="C100" s="299" t="e">
        <f>C99+'ensemble des projets'!$C$29</f>
        <v>#REF!</v>
      </c>
      <c r="D100" s="299" t="e">
        <f t="shared" si="4"/>
        <v>#REF!</v>
      </c>
      <c r="E100" s="299" t="e">
        <f t="shared" si="5"/>
        <v>#REF!</v>
      </c>
      <c r="G100" s="298">
        <v>98</v>
      </c>
      <c r="H100" s="298">
        <f>'TAM Projet 1'!AT104</f>
        <v>187250</v>
      </c>
      <c r="I100" s="299">
        <f>I99+'TAM Projet 1'!$D$52</f>
        <v>122854.65023999981</v>
      </c>
      <c r="J100" s="299">
        <f t="shared" si="6"/>
        <v>277.41588301001633</v>
      </c>
      <c r="K100" s="299">
        <f t="shared" si="7"/>
        <v>179255.40492173022</v>
      </c>
    </row>
    <row r="101" spans="1:11" x14ac:dyDescent="0.2">
      <c r="A101" s="298">
        <v>99</v>
      </c>
      <c r="B101" s="298">
        <f>'TAM Projet 1'!AD105</f>
        <v>194820.01000000004</v>
      </c>
      <c r="C101" s="299" t="e">
        <f>C100+'ensemble des projets'!$C$29</f>
        <v>#REF!</v>
      </c>
      <c r="D101" s="299" t="e">
        <f t="shared" si="4"/>
        <v>#REF!</v>
      </c>
      <c r="E101" s="299" t="e">
        <f t="shared" si="5"/>
        <v>#REF!</v>
      </c>
      <c r="G101" s="298">
        <v>99</v>
      </c>
      <c r="H101" s="298">
        <f>'TAM Projet 1'!AT105</f>
        <v>187250</v>
      </c>
      <c r="I101" s="299">
        <f>I100+'TAM Projet 1'!$D$52</f>
        <v>124108.26911999981</v>
      </c>
      <c r="J101" s="299">
        <f t="shared" si="6"/>
        <v>279.78898689268181</v>
      </c>
      <c r="K101" s="299">
        <f t="shared" si="7"/>
        <v>180788.81278862289</v>
      </c>
    </row>
    <row r="102" spans="1:11" x14ac:dyDescent="0.2">
      <c r="A102" s="298">
        <v>100</v>
      </c>
      <c r="B102" s="298">
        <f>'TAM Projet 1'!AD106</f>
        <v>194353.00000000003</v>
      </c>
      <c r="C102" s="299" t="e">
        <f>C101+'ensemble des projets'!$C$29</f>
        <v>#REF!</v>
      </c>
      <c r="D102" s="299" t="e">
        <f t="shared" si="4"/>
        <v>#REF!</v>
      </c>
      <c r="E102" s="299" t="e">
        <f t="shared" si="5"/>
        <v>#REF!</v>
      </c>
      <c r="G102" s="298">
        <v>100</v>
      </c>
      <c r="H102" s="298">
        <f>'TAM Projet 1'!AT106</f>
        <v>187250</v>
      </c>
      <c r="I102" s="299">
        <f>I101+'TAM Projet 1'!$D$52</f>
        <v>125361.8879999998</v>
      </c>
      <c r="J102" s="299">
        <f t="shared" si="6"/>
        <v>282.16576908636546</v>
      </c>
      <c r="K102" s="299">
        <f t="shared" si="7"/>
        <v>182324.59743770925</v>
      </c>
    </row>
    <row r="103" spans="1:11" x14ac:dyDescent="0.2">
      <c r="A103" s="298">
        <v>101</v>
      </c>
      <c r="B103" s="298">
        <f>'TAM Projet 1'!AD107</f>
        <v>193885.27000000002</v>
      </c>
      <c r="C103" s="299" t="e">
        <f>C102+'ensemble des projets'!$C$29</f>
        <v>#REF!</v>
      </c>
      <c r="D103" s="299" t="e">
        <f t="shared" si="4"/>
        <v>#REF!</v>
      </c>
      <c r="E103" s="299" t="e">
        <f t="shared" si="5"/>
        <v>#REF!</v>
      </c>
      <c r="G103" s="298">
        <v>101</v>
      </c>
      <c r="H103" s="298">
        <f>'TAM Projet 1'!AT107</f>
        <v>187250</v>
      </c>
      <c r="I103" s="299">
        <f>I102+'TAM Projet 1'!$D$52</f>
        <v>126615.5068799998</v>
      </c>
      <c r="J103" s="299">
        <f t="shared" si="6"/>
        <v>284.5462352924493</v>
      </c>
      <c r="K103" s="299">
        <f t="shared" si="7"/>
        <v>183862.7625530017</v>
      </c>
    </row>
    <row r="104" spans="1:11" x14ac:dyDescent="0.2">
      <c r="A104" s="298">
        <v>102</v>
      </c>
      <c r="B104" s="298">
        <f>'TAM Projet 1'!AD108</f>
        <v>193416.81000000003</v>
      </c>
      <c r="C104" s="299" t="e">
        <f>C103+'ensemble des projets'!$C$29</f>
        <v>#REF!</v>
      </c>
      <c r="D104" s="299" t="e">
        <f t="shared" si="4"/>
        <v>#REF!</v>
      </c>
      <c r="E104" s="299" t="e">
        <f t="shared" si="5"/>
        <v>#REF!</v>
      </c>
      <c r="G104" s="298">
        <v>102</v>
      </c>
      <c r="H104" s="298">
        <f>'TAM Projet 1'!AT108</f>
        <v>187250</v>
      </c>
      <c r="I104" s="299">
        <f>I103+'TAM Projet 1'!$D$52</f>
        <v>127869.12575999979</v>
      </c>
      <c r="J104" s="299">
        <f t="shared" si="6"/>
        <v>286.9303912211526</v>
      </c>
      <c r="K104" s="299">
        <f t="shared" si="7"/>
        <v>185403.31182422285</v>
      </c>
    </row>
    <row r="105" spans="1:11" x14ac:dyDescent="0.2">
      <c r="A105" s="298">
        <v>103</v>
      </c>
      <c r="B105" s="298">
        <f>'TAM Projet 1'!AD109</f>
        <v>192947.63000000003</v>
      </c>
      <c r="C105" s="299" t="e">
        <f>C104+'ensemble des projets'!$C$29</f>
        <v>#REF!</v>
      </c>
      <c r="D105" s="299" t="e">
        <f t="shared" si="4"/>
        <v>#REF!</v>
      </c>
      <c r="E105" s="299" t="e">
        <f t="shared" si="5"/>
        <v>#REF!</v>
      </c>
      <c r="G105" s="298">
        <v>103</v>
      </c>
      <c r="H105" s="298">
        <f>'TAM Projet 1'!AT109</f>
        <v>187250</v>
      </c>
      <c r="I105" s="299">
        <f>I104+'TAM Projet 1'!$D$52</f>
        <v>129122.74463999979</v>
      </c>
      <c r="J105" s="299">
        <f t="shared" si="6"/>
        <v>289.31824259154541</v>
      </c>
      <c r="K105" s="299">
        <f t="shared" si="7"/>
        <v>186946.24894681439</v>
      </c>
    </row>
    <row r="106" spans="1:11" x14ac:dyDescent="0.2">
      <c r="A106" s="298">
        <v>104</v>
      </c>
      <c r="B106" s="298">
        <f>'TAM Projet 1'!AD110</f>
        <v>192477.72000000003</v>
      </c>
      <c r="C106" s="299" t="e">
        <f>C105+'ensemble des projets'!$C$29</f>
        <v>#REF!</v>
      </c>
      <c r="D106" s="299" t="e">
        <f t="shared" si="4"/>
        <v>#REF!</v>
      </c>
      <c r="E106" s="299" t="e">
        <f t="shared" si="5"/>
        <v>#REF!</v>
      </c>
      <c r="G106" s="298">
        <v>104</v>
      </c>
      <c r="H106" s="298">
        <f>'TAM Projet 1'!AT110</f>
        <v>187250</v>
      </c>
      <c r="I106" s="299">
        <f>I105+'TAM Projet 1'!$D$52</f>
        <v>130376.36351999978</v>
      </c>
      <c r="J106" s="299">
        <f t="shared" si="6"/>
        <v>291.70979513156226</v>
      </c>
      <c r="K106" s="299">
        <f t="shared" si="7"/>
        <v>188491.57762194594</v>
      </c>
    </row>
    <row r="107" spans="1:11" x14ac:dyDescent="0.2">
      <c r="A107" s="298">
        <v>105</v>
      </c>
      <c r="B107" s="298">
        <f>'TAM Projet 1'!AD111</f>
        <v>192007.08000000002</v>
      </c>
      <c r="C107" s="299" t="e">
        <f>C106+'ensemble des projets'!$C$29</f>
        <v>#REF!</v>
      </c>
      <c r="D107" s="299" t="e">
        <f t="shared" si="4"/>
        <v>#REF!</v>
      </c>
      <c r="E107" s="299" t="e">
        <f t="shared" si="5"/>
        <v>#REF!</v>
      </c>
      <c r="G107" s="298">
        <v>105</v>
      </c>
      <c r="H107" s="298">
        <f>'TAM Projet 1'!AT111</f>
        <v>187250</v>
      </c>
      <c r="I107" s="299">
        <f>I106+'TAM Projet 1'!$D$52</f>
        <v>131629.98239999978</v>
      </c>
      <c r="J107" s="299">
        <f t="shared" si="6"/>
        <v>294.10505457801617</v>
      </c>
      <c r="K107" s="299">
        <f t="shared" si="7"/>
        <v>190039.30155652395</v>
      </c>
    </row>
    <row r="108" spans="1:11" x14ac:dyDescent="0.2">
      <c r="A108" s="298">
        <v>106</v>
      </c>
      <c r="B108" s="298">
        <f>'TAM Projet 1'!AD112</f>
        <v>191535.71000000002</v>
      </c>
      <c r="C108" s="299" t="e">
        <f>C107+'ensemble des projets'!$C$29</f>
        <v>#REF!</v>
      </c>
      <c r="D108" s="299" t="e">
        <f t="shared" si="4"/>
        <v>#REF!</v>
      </c>
      <c r="E108" s="299" t="e">
        <f t="shared" si="5"/>
        <v>#REF!</v>
      </c>
      <c r="G108" s="298">
        <v>106</v>
      </c>
      <c r="H108" s="298">
        <f>'TAM Projet 1'!AT112</f>
        <v>187250</v>
      </c>
      <c r="I108" s="299">
        <f>I107+'TAM Projet 1'!$D$52</f>
        <v>132883.60127999977</v>
      </c>
      <c r="J108" s="299">
        <f t="shared" si="6"/>
        <v>296.50402667661211</v>
      </c>
      <c r="K108" s="299">
        <f t="shared" si="7"/>
        <v>191589.42446320056</v>
      </c>
    </row>
    <row r="109" spans="1:11" x14ac:dyDescent="0.2">
      <c r="A109" s="298">
        <v>107</v>
      </c>
      <c r="B109" s="298">
        <f>'TAM Projet 1'!AD113</f>
        <v>191063.61000000002</v>
      </c>
      <c r="C109" s="299" t="e">
        <f>C108+'ensemble des projets'!$C$29</f>
        <v>#REF!</v>
      </c>
      <c r="D109" s="299" t="e">
        <f t="shared" si="4"/>
        <v>#REF!</v>
      </c>
      <c r="E109" s="299" t="e">
        <f t="shared" si="5"/>
        <v>#REF!</v>
      </c>
      <c r="G109" s="298">
        <v>107</v>
      </c>
      <c r="H109" s="298">
        <f>'TAM Projet 1'!AT113</f>
        <v>187250</v>
      </c>
      <c r="I109" s="299">
        <f>I108+'TAM Projet 1'!$D$52</f>
        <v>134137.22015999976</v>
      </c>
      <c r="J109" s="299">
        <f t="shared" si="6"/>
        <v>298.90671718196086</v>
      </c>
      <c r="K109" s="299">
        <f t="shared" si="7"/>
        <v>193141.95006038251</v>
      </c>
    </row>
    <row r="110" spans="1:11" x14ac:dyDescent="0.2">
      <c r="A110" s="300" t="s">
        <v>274</v>
      </c>
      <c r="B110" s="298">
        <f>'TAM Projet 1'!AD114</f>
        <v>190590.78000000003</v>
      </c>
      <c r="C110" s="299" t="e">
        <f>C109+'ensemble des projets'!$C$29</f>
        <v>#REF!</v>
      </c>
      <c r="D110" s="299" t="e">
        <f t="shared" si="4"/>
        <v>#REF!</v>
      </c>
      <c r="E110" s="299" t="e">
        <f t="shared" si="5"/>
        <v>#REF!</v>
      </c>
      <c r="G110" s="300" t="s">
        <v>274</v>
      </c>
      <c r="H110" s="298">
        <f>'TAM Projet 1'!AT114</f>
        <v>187250</v>
      </c>
      <c r="I110" s="299">
        <f>I109+'TAM Projet 1'!$D$52</f>
        <v>135390.83903999976</v>
      </c>
      <c r="J110" s="299">
        <f t="shared" si="6"/>
        <v>301.31313185759285</v>
      </c>
      <c r="K110" s="299">
        <f t="shared" si="7"/>
        <v>194696.88207224011</v>
      </c>
    </row>
    <row r="111" spans="1:11" x14ac:dyDescent="0.2">
      <c r="A111" s="298">
        <v>109</v>
      </c>
      <c r="B111" s="298">
        <f>'TAM Projet 1'!AD115</f>
        <v>190117.22000000003</v>
      </c>
      <c r="C111" s="299" t="e">
        <f>C110+'ensemble des projets'!$C$29</f>
        <v>#REF!</v>
      </c>
      <c r="D111" s="299" t="e">
        <f t="shared" si="4"/>
        <v>#REF!</v>
      </c>
      <c r="E111" s="299" t="e">
        <f t="shared" si="5"/>
        <v>#REF!</v>
      </c>
      <c r="G111" s="298">
        <v>109</v>
      </c>
      <c r="H111" s="298">
        <f>'TAM Projet 1'!AT115</f>
        <v>187250</v>
      </c>
      <c r="I111" s="299">
        <f>I110+'TAM Projet 1'!$D$52</f>
        <v>136644.45791999975</v>
      </c>
      <c r="J111" s="299">
        <f t="shared" si="6"/>
        <v>303.72327647597217</v>
      </c>
      <c r="K111" s="299">
        <f t="shared" si="7"/>
        <v>196254.22422871608</v>
      </c>
    </row>
    <row r="112" spans="1:11" x14ac:dyDescent="0.2">
      <c r="A112" s="298">
        <v>110</v>
      </c>
      <c r="B112" s="298">
        <f>'TAM Projet 1'!AD116</f>
        <v>189642.92000000004</v>
      </c>
      <c r="C112" s="299" t="e">
        <f>C111+'ensemble des projets'!$C$29</f>
        <v>#REF!</v>
      </c>
      <c r="D112" s="299" t="e">
        <f t="shared" si="4"/>
        <v>#REF!</v>
      </c>
      <c r="E112" s="299" t="e">
        <f t="shared" si="5"/>
        <v>#REF!</v>
      </c>
      <c r="G112" s="298">
        <v>110</v>
      </c>
      <c r="H112" s="298">
        <f>'TAM Projet 1'!AT116</f>
        <v>187250</v>
      </c>
      <c r="I112" s="299">
        <f>I111+'TAM Projet 1'!$D$52</f>
        <v>137898.07679999975</v>
      </c>
      <c r="J112" s="299">
        <f t="shared" si="6"/>
        <v>306.13715681850988</v>
      </c>
      <c r="K112" s="299">
        <f t="shared" si="7"/>
        <v>197813.98026553457</v>
      </c>
    </row>
    <row r="113" spans="1:11" x14ac:dyDescent="0.2">
      <c r="A113" s="298">
        <v>111</v>
      </c>
      <c r="B113" s="298">
        <f>'TAM Projet 1'!AD117</f>
        <v>189167.89000000004</v>
      </c>
      <c r="C113" s="299" t="e">
        <f>C112+'ensemble des projets'!$C$29</f>
        <v>#REF!</v>
      </c>
      <c r="D113" s="299" t="e">
        <f t="shared" si="4"/>
        <v>#REF!</v>
      </c>
      <c r="E113" s="299" t="e">
        <f t="shared" si="5"/>
        <v>#REF!</v>
      </c>
      <c r="G113" s="298">
        <v>111</v>
      </c>
      <c r="H113" s="298">
        <f>'TAM Projet 1'!AT117</f>
        <v>187250</v>
      </c>
      <c r="I113" s="299">
        <f>I112+'TAM Projet 1'!$D$52</f>
        <v>139151.69567999974</v>
      </c>
      <c r="J113" s="299">
        <f t="shared" si="6"/>
        <v>308.55477867557858</v>
      </c>
      <c r="K113" s="299">
        <f t="shared" si="7"/>
        <v>199376.15392421014</v>
      </c>
    </row>
    <row r="114" spans="1:11" x14ac:dyDescent="0.2">
      <c r="A114" s="298">
        <v>112</v>
      </c>
      <c r="B114" s="298">
        <f>'TAM Projet 1'!AD118</f>
        <v>188692.12000000005</v>
      </c>
      <c r="C114" s="299" t="e">
        <f>C113+'ensemble des projets'!$C$29</f>
        <v>#REF!</v>
      </c>
      <c r="D114" s="299" t="e">
        <f t="shared" si="4"/>
        <v>#REF!</v>
      </c>
      <c r="E114" s="299" t="e">
        <f t="shared" si="5"/>
        <v>#REF!</v>
      </c>
      <c r="G114" s="298">
        <v>112</v>
      </c>
      <c r="H114" s="298">
        <f>'TAM Projet 1'!AT118</f>
        <v>187250</v>
      </c>
      <c r="I114" s="299">
        <f>I113+'TAM Projet 1'!$D$52</f>
        <v>140405.31455999974</v>
      </c>
      <c r="J114" s="299">
        <f t="shared" si="6"/>
        <v>310.97614784652569</v>
      </c>
      <c r="K114" s="299">
        <f t="shared" si="7"/>
        <v>200940.74895205666</v>
      </c>
    </row>
    <row r="115" spans="1:11" x14ac:dyDescent="0.2">
      <c r="A115" s="298">
        <v>113</v>
      </c>
      <c r="B115" s="298">
        <f>'TAM Projet 1'!AD119</f>
        <v>188215.61000000004</v>
      </c>
      <c r="C115" s="299" t="e">
        <f>C114+'ensemble des projets'!$C$29</f>
        <v>#REF!</v>
      </c>
      <c r="D115" s="299" t="e">
        <f t="shared" si="4"/>
        <v>#REF!</v>
      </c>
      <c r="E115" s="299" t="e">
        <f t="shared" si="5"/>
        <v>#REF!</v>
      </c>
      <c r="G115" s="298">
        <v>113</v>
      </c>
      <c r="H115" s="298">
        <f>'TAM Projet 1'!AT119</f>
        <v>187250</v>
      </c>
      <c r="I115" s="299">
        <f>I114+'TAM Projet 1'!$D$52</f>
        <v>141658.93343999973</v>
      </c>
      <c r="J115" s="299">
        <f t="shared" si="6"/>
        <v>313.40127013968782</v>
      </c>
      <c r="K115" s="299">
        <f t="shared" si="7"/>
        <v>202507.76910219635</v>
      </c>
    </row>
    <row r="116" spans="1:11" x14ac:dyDescent="0.2">
      <c r="A116" s="298">
        <v>114</v>
      </c>
      <c r="B116" s="298">
        <f>'TAM Projet 1'!AD120</f>
        <v>187738.36000000004</v>
      </c>
      <c r="C116" s="299" t="e">
        <f>C115+'ensemble des projets'!$C$29</f>
        <v>#REF!</v>
      </c>
      <c r="D116" s="299" t="e">
        <f t="shared" si="4"/>
        <v>#REF!</v>
      </c>
      <c r="E116" s="299" t="e">
        <f t="shared" si="5"/>
        <v>#REF!</v>
      </c>
      <c r="G116" s="298">
        <v>114</v>
      </c>
      <c r="H116" s="298">
        <f>'TAM Projet 1'!AT120</f>
        <v>187250</v>
      </c>
      <c r="I116" s="299">
        <f>I115+'TAM Projet 1'!$D$52</f>
        <v>142912.55231999973</v>
      </c>
      <c r="J116" s="299">
        <f t="shared" si="6"/>
        <v>315.83015137240432</v>
      </c>
      <c r="K116" s="299">
        <f t="shared" si="7"/>
        <v>204077.21813356876</v>
      </c>
    </row>
    <row r="117" spans="1:11" x14ac:dyDescent="0.2">
      <c r="A117" s="298">
        <v>115</v>
      </c>
      <c r="B117" s="298">
        <f>'TAM Projet 1'!AD121</f>
        <v>187260.37000000005</v>
      </c>
      <c r="C117" s="299" t="e">
        <f>C116+'ensemble des projets'!$C$29</f>
        <v>#REF!</v>
      </c>
      <c r="D117" s="299" t="e">
        <f t="shared" si="4"/>
        <v>#REF!</v>
      </c>
      <c r="E117" s="299" t="e">
        <f t="shared" si="5"/>
        <v>#REF!</v>
      </c>
      <c r="G117" s="298">
        <v>115</v>
      </c>
      <c r="H117" s="298">
        <f>'TAM Projet 1'!AT121</f>
        <v>187250</v>
      </c>
      <c r="I117" s="299">
        <f>I116+'TAM Projet 1'!$D$52</f>
        <v>144166.17119999972</v>
      </c>
      <c r="J117" s="299">
        <f t="shared" si="6"/>
        <v>318.26279737103158</v>
      </c>
      <c r="K117" s="299">
        <f t="shared" si="7"/>
        <v>205649.09981093978</v>
      </c>
    </row>
    <row r="118" spans="1:11" x14ac:dyDescent="0.2">
      <c r="A118" s="298">
        <v>116</v>
      </c>
      <c r="B118" s="298">
        <f>'TAM Projet 1'!AD122</f>
        <v>186781.64000000004</v>
      </c>
      <c r="C118" s="299" t="e">
        <f>C117+'ensemble des projets'!$C$29</f>
        <v>#REF!</v>
      </c>
      <c r="D118" s="299" t="e">
        <f t="shared" si="4"/>
        <v>#REF!</v>
      </c>
      <c r="E118" s="299" t="e">
        <f t="shared" si="5"/>
        <v>#REF!</v>
      </c>
      <c r="G118" s="298">
        <v>116</v>
      </c>
      <c r="H118" s="298">
        <f>'TAM Projet 1'!AT122</f>
        <v>187250</v>
      </c>
      <c r="I118" s="299">
        <f>I117+'TAM Projet 1'!$D$52</f>
        <v>145419.79007999972</v>
      </c>
      <c r="J118" s="299">
        <f t="shared" si="6"/>
        <v>320.69921397095663</v>
      </c>
      <c r="K118" s="299">
        <f t="shared" si="7"/>
        <v>207223.41790491072</v>
      </c>
    </row>
    <row r="119" spans="1:11" x14ac:dyDescent="0.2">
      <c r="A119" s="298">
        <v>117</v>
      </c>
      <c r="B119" s="298">
        <f>'TAM Projet 1'!AD123</f>
        <v>186302.17000000004</v>
      </c>
      <c r="C119" s="299" t="e">
        <f>C118+'ensemble des projets'!$C$29</f>
        <v>#REF!</v>
      </c>
      <c r="D119" s="299" t="e">
        <f t="shared" si="4"/>
        <v>#REF!</v>
      </c>
      <c r="E119" s="299" t="e">
        <f t="shared" si="5"/>
        <v>#REF!</v>
      </c>
      <c r="G119" s="298">
        <v>117</v>
      </c>
      <c r="H119" s="298">
        <f>'TAM Projet 1'!AT123</f>
        <v>187250</v>
      </c>
      <c r="I119" s="299">
        <f>I118+'TAM Projet 1'!$D$52</f>
        <v>146673.40895999971</v>
      </c>
      <c r="J119" s="299">
        <f t="shared" si="6"/>
        <v>323.13940701661159</v>
      </c>
      <c r="K119" s="299">
        <f t="shared" si="7"/>
        <v>208800.17619192731</v>
      </c>
    </row>
    <row r="120" spans="1:11" x14ac:dyDescent="0.2">
      <c r="A120" s="298">
        <v>118</v>
      </c>
      <c r="B120" s="298">
        <f>'TAM Projet 1'!AD124</f>
        <v>185821.96000000005</v>
      </c>
      <c r="C120" s="299" t="e">
        <f>C119+'ensemble des projets'!$C$29</f>
        <v>#REF!</v>
      </c>
      <c r="D120" s="299" t="e">
        <f t="shared" si="4"/>
        <v>#REF!</v>
      </c>
      <c r="E120" s="299" t="e">
        <f t="shared" si="5"/>
        <v>#REF!</v>
      </c>
      <c r="G120" s="298">
        <v>118</v>
      </c>
      <c r="H120" s="298">
        <f>'TAM Projet 1'!AT124</f>
        <v>187250</v>
      </c>
      <c r="I120" s="299">
        <f>I119+'TAM Projet 1'!$D$52</f>
        <v>147927.0278399997</v>
      </c>
      <c r="J120" s="299">
        <f t="shared" si="6"/>
        <v>325.58338236148734</v>
      </c>
      <c r="K120" s="299">
        <f t="shared" si="7"/>
        <v>210379.37845428879</v>
      </c>
    </row>
    <row r="121" spans="1:11" x14ac:dyDescent="0.2">
      <c r="A121" s="298">
        <v>119</v>
      </c>
      <c r="B121" s="298">
        <f>'TAM Projet 1'!AD125</f>
        <v>185341.00000000006</v>
      </c>
      <c r="C121" s="299" t="e">
        <f>C120+'ensemble des projets'!$C$29</f>
        <v>#REF!</v>
      </c>
      <c r="D121" s="299" t="e">
        <f t="shared" si="4"/>
        <v>#REF!</v>
      </c>
      <c r="E121" s="299" t="e">
        <f t="shared" si="5"/>
        <v>#REF!</v>
      </c>
      <c r="G121" s="298">
        <v>119</v>
      </c>
      <c r="H121" s="298">
        <f>'TAM Projet 1'!AT125</f>
        <v>187250</v>
      </c>
      <c r="I121" s="299">
        <f>I120+'TAM Projet 1'!$D$52</f>
        <v>149180.6467199997</v>
      </c>
      <c r="J121" s="299">
        <f t="shared" si="6"/>
        <v>328.03114586814758</v>
      </c>
      <c r="K121" s="299">
        <f t="shared" si="7"/>
        <v>211961.02848015694</v>
      </c>
    </row>
    <row r="122" spans="1:11" x14ac:dyDescent="0.2">
      <c r="A122" s="300" t="s">
        <v>275</v>
      </c>
      <c r="B122" s="298">
        <f>'TAM Projet 1'!AD126</f>
        <v>184859.30000000005</v>
      </c>
      <c r="C122" s="299" t="e">
        <f>C121+'ensemble des projets'!$C$29</f>
        <v>#REF!</v>
      </c>
      <c r="D122" s="299" t="e">
        <f t="shared" si="4"/>
        <v>#REF!</v>
      </c>
      <c r="E122" s="299" t="e">
        <f t="shared" si="5"/>
        <v>#REF!</v>
      </c>
      <c r="G122" s="300" t="s">
        <v>275</v>
      </c>
      <c r="H122" s="298">
        <f>'TAM Projet 1'!AT126</f>
        <v>187250</v>
      </c>
      <c r="I122" s="299">
        <f>I121+'TAM Projet 1'!$D$52</f>
        <v>150434.26559999969</v>
      </c>
      <c r="J122" s="299">
        <f t="shared" si="6"/>
        <v>330.48270340824325</v>
      </c>
      <c r="K122" s="299">
        <f t="shared" si="7"/>
        <v>213545.13006356519</v>
      </c>
    </row>
    <row r="123" spans="1:11" x14ac:dyDescent="0.2">
      <c r="A123" s="298">
        <v>121</v>
      </c>
      <c r="B123" s="298">
        <f>'TAM Projet 1'!AD127</f>
        <v>184376.85000000003</v>
      </c>
      <c r="C123" s="299" t="e">
        <f>C122+'ensemble des projets'!$C$29</f>
        <v>#REF!</v>
      </c>
      <c r="D123" s="299" t="e">
        <f t="shared" si="4"/>
        <v>#REF!</v>
      </c>
      <c r="E123" s="299" t="e">
        <f t="shared" si="5"/>
        <v>#REF!</v>
      </c>
      <c r="G123" s="298">
        <v>121</v>
      </c>
      <c r="H123" s="298">
        <f>'TAM Projet 1'!AT127</f>
        <v>187250</v>
      </c>
      <c r="I123" s="299">
        <f>I122+'TAM Projet 1'!$D$52</f>
        <v>151687.88447999969</v>
      </c>
      <c r="J123" s="299">
        <f t="shared" si="6"/>
        <v>332.93806086252602</v>
      </c>
      <c r="K123" s="299">
        <f t="shared" si="7"/>
        <v>215131.68700442772</v>
      </c>
    </row>
    <row r="124" spans="1:11" x14ac:dyDescent="0.2">
      <c r="A124" s="298">
        <v>122</v>
      </c>
      <c r="B124" s="298">
        <f>'TAM Projet 1'!AD128</f>
        <v>183893.65000000002</v>
      </c>
      <c r="C124" s="299" t="e">
        <f>C123+'ensemble des projets'!$C$29</f>
        <v>#REF!</v>
      </c>
      <c r="D124" s="299" t="e">
        <f t="shared" si="4"/>
        <v>#REF!</v>
      </c>
      <c r="E124" s="299" t="e">
        <f t="shared" si="5"/>
        <v>#REF!</v>
      </c>
      <c r="G124" s="298">
        <v>122</v>
      </c>
      <c r="H124" s="298">
        <f>'TAM Projet 1'!AT128</f>
        <v>187250</v>
      </c>
      <c r="I124" s="299">
        <f>I123+'TAM Projet 1'!$D$52</f>
        <v>152941.50335999968</v>
      </c>
      <c r="J124" s="299">
        <f t="shared" si="6"/>
        <v>335.39722412086292</v>
      </c>
      <c r="K124" s="299">
        <f t="shared" si="7"/>
        <v>216720.70310854857</v>
      </c>
    </row>
    <row r="125" spans="1:11" x14ac:dyDescent="0.2">
      <c r="A125" s="298">
        <v>123</v>
      </c>
      <c r="B125" s="298">
        <f>'TAM Projet 1'!AD129</f>
        <v>183409.71000000002</v>
      </c>
      <c r="C125" s="299" t="e">
        <f>C124+'ensemble des projets'!$C$29</f>
        <v>#REF!</v>
      </c>
      <c r="D125" s="299" t="e">
        <f t="shared" si="4"/>
        <v>#REF!</v>
      </c>
      <c r="E125" s="299" t="e">
        <f t="shared" si="5"/>
        <v>#REF!</v>
      </c>
      <c r="G125" s="298">
        <v>123</v>
      </c>
      <c r="H125" s="298">
        <f>'TAM Projet 1'!AT129</f>
        <v>187250</v>
      </c>
      <c r="I125" s="299">
        <f>I124+'TAM Projet 1'!$D$52</f>
        <v>154195.12223999968</v>
      </c>
      <c r="J125" s="299">
        <f t="shared" si="6"/>
        <v>337.86019908225023</v>
      </c>
      <c r="K125" s="299">
        <f t="shared" si="7"/>
        <v>218312.18218763082</v>
      </c>
    </row>
    <row r="126" spans="1:11" x14ac:dyDescent="0.2">
      <c r="A126" s="298">
        <v>124</v>
      </c>
      <c r="B126" s="298">
        <f>'TAM Projet 1'!AD130</f>
        <v>182925.02000000002</v>
      </c>
      <c r="C126" s="299" t="e">
        <f>C125+'ensemble des projets'!$C$29</f>
        <v>#REF!</v>
      </c>
      <c r="D126" s="299" t="e">
        <f t="shared" si="4"/>
        <v>#REF!</v>
      </c>
      <c r="E126" s="299" t="e">
        <f t="shared" si="5"/>
        <v>#REF!</v>
      </c>
      <c r="G126" s="298">
        <v>124</v>
      </c>
      <c r="H126" s="298">
        <f>'TAM Projet 1'!AT130</f>
        <v>187250</v>
      </c>
      <c r="I126" s="299">
        <f>I125+'TAM Projet 1'!$D$52</f>
        <v>155448.74111999967</v>
      </c>
      <c r="J126" s="299">
        <f t="shared" si="6"/>
        <v>340.32699165482774</v>
      </c>
      <c r="K126" s="299">
        <f t="shared" si="7"/>
        <v>219906.12805928563</v>
      </c>
    </row>
    <row r="127" spans="1:11" x14ac:dyDescent="0.2">
      <c r="A127" s="298">
        <v>125</v>
      </c>
      <c r="B127" s="298">
        <f>'TAM Projet 1'!AD131</f>
        <v>182439.57</v>
      </c>
      <c r="C127" s="299" t="e">
        <f>C126+'ensemble des projets'!$C$29</f>
        <v>#REF!</v>
      </c>
      <c r="D127" s="299" t="e">
        <f t="shared" si="4"/>
        <v>#REF!</v>
      </c>
      <c r="E127" s="299" t="e">
        <f t="shared" si="5"/>
        <v>#REF!</v>
      </c>
      <c r="G127" s="298">
        <v>125</v>
      </c>
      <c r="H127" s="298">
        <f>'TAM Projet 1'!AT131</f>
        <v>187250</v>
      </c>
      <c r="I127" s="299">
        <f>I126+'TAM Projet 1'!$D$52</f>
        <v>156702.35999999967</v>
      </c>
      <c r="J127" s="299">
        <f t="shared" si="6"/>
        <v>342.79760775589273</v>
      </c>
      <c r="K127" s="299">
        <f t="shared" si="7"/>
        <v>221502.54454704153</v>
      </c>
    </row>
    <row r="128" spans="1:11" x14ac:dyDescent="0.2">
      <c r="A128" s="298">
        <v>126</v>
      </c>
      <c r="B128" s="298">
        <f>'TAM Projet 1'!AD132</f>
        <v>181953.37</v>
      </c>
      <c r="C128" s="299" t="e">
        <f>C127+'ensemble des projets'!$C$29</f>
        <v>#REF!</v>
      </c>
      <c r="D128" s="299" t="e">
        <f t="shared" si="4"/>
        <v>#REF!</v>
      </c>
      <c r="E128" s="299" t="e">
        <f t="shared" si="5"/>
        <v>#REF!</v>
      </c>
      <c r="G128" s="298">
        <v>126</v>
      </c>
      <c r="H128" s="298">
        <f>'TAM Projet 1'!AT132</f>
        <v>187250</v>
      </c>
      <c r="I128" s="299">
        <f>I127+'TAM Projet 1'!$D$52</f>
        <v>157955.97887999966</v>
      </c>
      <c r="J128" s="299">
        <f t="shared" si="6"/>
        <v>345.27205331191436</v>
      </c>
      <c r="K128" s="299">
        <f t="shared" si="7"/>
        <v>223101.43548035345</v>
      </c>
    </row>
    <row r="129" spans="1:11" x14ac:dyDescent="0.2">
      <c r="A129" s="298">
        <v>127</v>
      </c>
      <c r="B129" s="298">
        <f>'TAM Projet 1'!AD133</f>
        <v>181466.41999999998</v>
      </c>
      <c r="C129" s="299" t="e">
        <f>C128+'ensemble des projets'!$C$29</f>
        <v>#REF!</v>
      </c>
      <c r="D129" s="299" t="e">
        <f t="shared" si="4"/>
        <v>#REF!</v>
      </c>
      <c r="E129" s="299" t="e">
        <f t="shared" si="5"/>
        <v>#REF!</v>
      </c>
      <c r="G129" s="298">
        <v>127</v>
      </c>
      <c r="H129" s="298">
        <f>'TAM Projet 1'!AT133</f>
        <v>187250</v>
      </c>
      <c r="I129" s="299">
        <f>I128+'TAM Projet 1'!$D$52</f>
        <v>159209.59775999965</v>
      </c>
      <c r="J129" s="299">
        <f t="shared" si="6"/>
        <v>347.75033425854781</v>
      </c>
      <c r="K129" s="299">
        <f t="shared" si="7"/>
        <v>224702.80469461199</v>
      </c>
    </row>
    <row r="130" spans="1:11" x14ac:dyDescent="0.2">
      <c r="A130" s="298">
        <v>128</v>
      </c>
      <c r="B130" s="298">
        <f>'TAM Projet 1'!AD134</f>
        <v>180978.71</v>
      </c>
      <c r="C130" s="299" t="e">
        <f>C129+'ensemble des projets'!$C$29</f>
        <v>#REF!</v>
      </c>
      <c r="D130" s="299" t="e">
        <f t="shared" si="4"/>
        <v>#REF!</v>
      </c>
      <c r="E130" s="299" t="e">
        <f t="shared" si="5"/>
        <v>#REF!</v>
      </c>
      <c r="G130" s="298">
        <v>128</v>
      </c>
      <c r="H130" s="298">
        <f>'TAM Projet 1'!AT134</f>
        <v>187250</v>
      </c>
      <c r="I130" s="299">
        <f>I129+'TAM Projet 1'!$D$52</f>
        <v>160463.21663999965</v>
      </c>
      <c r="J130" s="299">
        <f t="shared" si="6"/>
        <v>350.23245654064857</v>
      </c>
      <c r="K130" s="299">
        <f t="shared" si="7"/>
        <v>226306.65603115264</v>
      </c>
    </row>
    <row r="131" spans="1:11" x14ac:dyDescent="0.2">
      <c r="A131" s="298">
        <v>129</v>
      </c>
      <c r="B131" s="298">
        <f>'TAM Projet 1'!AD135</f>
        <v>180490.25</v>
      </c>
      <c r="C131" s="299" t="e">
        <f>C130+'ensemble des projets'!$C$29</f>
        <v>#REF!</v>
      </c>
      <c r="D131" s="299" t="e">
        <f t="shared" si="4"/>
        <v>#REF!</v>
      </c>
      <c r="E131" s="299" t="e">
        <f t="shared" si="5"/>
        <v>#REF!</v>
      </c>
      <c r="G131" s="298">
        <v>129</v>
      </c>
      <c r="H131" s="298">
        <f>'TAM Projet 1'!AT135</f>
        <v>187250</v>
      </c>
      <c r="I131" s="299">
        <f>I130+'TAM Projet 1'!$D$52</f>
        <v>161716.83551999964</v>
      </c>
      <c r="J131" s="299">
        <f t="shared" si="6"/>
        <v>352.71842611228658</v>
      </c>
      <c r="K131" s="299">
        <f t="shared" si="7"/>
        <v>227912.99333726492</v>
      </c>
    </row>
    <row r="132" spans="1:11" x14ac:dyDescent="0.2">
      <c r="A132" s="298">
        <v>130</v>
      </c>
      <c r="B132" s="298">
        <f>'TAM Projet 1'!AD136</f>
        <v>180001.03</v>
      </c>
      <c r="C132" s="299" t="e">
        <f>C131+'ensemble des projets'!$C$29</f>
        <v>#REF!</v>
      </c>
      <c r="D132" s="299" t="e">
        <f t="shared" si="4"/>
        <v>#REF!</v>
      </c>
      <c r="E132" s="299" t="e">
        <f t="shared" si="5"/>
        <v>#REF!</v>
      </c>
      <c r="G132" s="298">
        <v>130</v>
      </c>
      <c r="H132" s="298">
        <f>'TAM Projet 1'!AT136</f>
        <v>187250</v>
      </c>
      <c r="I132" s="299">
        <f>I131+'TAM Projet 1'!$D$52</f>
        <v>162970.45439999964</v>
      </c>
      <c r="J132" s="299">
        <f t="shared" si="6"/>
        <v>355.20824893676064</v>
      </c>
      <c r="K132" s="299">
        <f t="shared" si="7"/>
        <v>229521.82046620169</v>
      </c>
    </row>
    <row r="133" spans="1:11" x14ac:dyDescent="0.2">
      <c r="A133" s="298">
        <v>131</v>
      </c>
      <c r="B133" s="298">
        <f>'TAM Projet 1'!AD137</f>
        <v>179511.05</v>
      </c>
      <c r="C133" s="299" t="e">
        <f>C132+'ensemble des projets'!$C$29</f>
        <v>#REF!</v>
      </c>
      <c r="D133" s="299" t="e">
        <f t="shared" ref="D133:D185" si="8">(E132+$C$3)*0.00155</f>
        <v>#REF!</v>
      </c>
      <c r="E133" s="299" t="e">
        <f t="shared" ref="E133:E185" si="9">((E132+$C$3)*0.00155+(E132+$C$3))</f>
        <v>#REF!</v>
      </c>
      <c r="G133" s="298">
        <v>131</v>
      </c>
      <c r="H133" s="298">
        <f>'TAM Projet 1'!AT137</f>
        <v>187250</v>
      </c>
      <c r="I133" s="299">
        <f>I132+'TAM Projet 1'!$D$52</f>
        <v>164224.07327999963</v>
      </c>
      <c r="J133" s="299">
        <f t="shared" ref="J133:J161" si="10">(K132+$I$3)*0.00155</f>
        <v>357.70193098661258</v>
      </c>
      <c r="K133" s="299">
        <f t="shared" ref="K133:K161" si="11">((K132+$I$3)*0.00155+(K132+$I$3))</f>
        <v>231133.14127718829</v>
      </c>
    </row>
    <row r="134" spans="1:11" x14ac:dyDescent="0.2">
      <c r="A134" s="300" t="s">
        <v>276</v>
      </c>
      <c r="B134" s="298">
        <f>'TAM Projet 1'!AD138</f>
        <v>179020.31</v>
      </c>
      <c r="C134" s="299" t="e">
        <f>C133+'ensemble des projets'!$C$29</f>
        <v>#REF!</v>
      </c>
      <c r="D134" s="299" t="e">
        <f t="shared" si="8"/>
        <v>#REF!</v>
      </c>
      <c r="E134" s="299" t="e">
        <f t="shared" si="9"/>
        <v>#REF!</v>
      </c>
      <c r="G134" s="300" t="s">
        <v>276</v>
      </c>
      <c r="H134" s="298">
        <f>'TAM Projet 1'!AT138</f>
        <v>187250</v>
      </c>
      <c r="I134" s="299">
        <f>I133+'TAM Projet 1'!$D$52</f>
        <v>165477.69215999963</v>
      </c>
      <c r="J134" s="299">
        <f t="shared" si="10"/>
        <v>360.19947824364181</v>
      </c>
      <c r="K134" s="299">
        <f t="shared" si="11"/>
        <v>232746.95963543194</v>
      </c>
    </row>
    <row r="135" spans="1:11" x14ac:dyDescent="0.2">
      <c r="A135" s="298">
        <v>133</v>
      </c>
      <c r="B135" s="298">
        <f>'TAM Projet 1'!AD139</f>
        <v>178528.81</v>
      </c>
      <c r="C135" s="299" t="e">
        <f>C134+'ensemble des projets'!$C$29</f>
        <v>#REF!</v>
      </c>
      <c r="D135" s="299" t="e">
        <f t="shared" si="8"/>
        <v>#REF!</v>
      </c>
      <c r="E135" s="299" t="e">
        <f t="shared" si="9"/>
        <v>#REF!</v>
      </c>
      <c r="G135" s="298">
        <v>133</v>
      </c>
      <c r="H135" s="298">
        <f>'TAM Projet 1'!AT139</f>
        <v>187250</v>
      </c>
      <c r="I135" s="299">
        <f>I134+'TAM Projet 1'!$D$52</f>
        <v>166731.31103999962</v>
      </c>
      <c r="J135" s="299">
        <f t="shared" si="10"/>
        <v>362.70089669891951</v>
      </c>
      <c r="K135" s="299">
        <f t="shared" si="11"/>
        <v>234363.27941213085</v>
      </c>
    </row>
    <row r="136" spans="1:11" x14ac:dyDescent="0.2">
      <c r="A136" s="298">
        <v>134</v>
      </c>
      <c r="B136" s="298">
        <f>'TAM Projet 1'!AD140</f>
        <v>178036.55</v>
      </c>
      <c r="C136" s="299" t="e">
        <f>C135+'ensemble des projets'!$C$29</f>
        <v>#REF!</v>
      </c>
      <c r="D136" s="299" t="e">
        <f t="shared" si="8"/>
        <v>#REF!</v>
      </c>
      <c r="E136" s="299" t="e">
        <f t="shared" si="9"/>
        <v>#REF!</v>
      </c>
      <c r="G136" s="298">
        <v>134</v>
      </c>
      <c r="H136" s="298">
        <f>'TAM Projet 1'!AT140</f>
        <v>187250</v>
      </c>
      <c r="I136" s="299">
        <f>I135+'TAM Projet 1'!$D$52</f>
        <v>167984.92991999962</v>
      </c>
      <c r="J136" s="299">
        <f t="shared" si="10"/>
        <v>365.20619235280282</v>
      </c>
      <c r="K136" s="299">
        <f t="shared" si="11"/>
        <v>235982.10448448366</v>
      </c>
    </row>
    <row r="137" spans="1:11" x14ac:dyDescent="0.2">
      <c r="A137" s="298">
        <v>135</v>
      </c>
      <c r="B137" s="298">
        <f>'TAM Projet 1'!AD141</f>
        <v>177543.53</v>
      </c>
      <c r="C137" s="299" t="e">
        <f>C136+'ensemble des projets'!$C$29</f>
        <v>#REF!</v>
      </c>
      <c r="D137" s="299" t="e">
        <f t="shared" si="8"/>
        <v>#REF!</v>
      </c>
      <c r="E137" s="299" t="e">
        <f t="shared" si="9"/>
        <v>#REF!</v>
      </c>
      <c r="G137" s="298">
        <v>135</v>
      </c>
      <c r="H137" s="298">
        <f>'TAM Projet 1'!AT141</f>
        <v>187250</v>
      </c>
      <c r="I137" s="299">
        <f>I136+'TAM Projet 1'!$D$52</f>
        <v>169238.54879999961</v>
      </c>
      <c r="J137" s="299">
        <f t="shared" si="10"/>
        <v>367.71537121494964</v>
      </c>
      <c r="K137" s="299">
        <f t="shared" si="11"/>
        <v>237603.43873569861</v>
      </c>
    </row>
    <row r="138" spans="1:11" x14ac:dyDescent="0.2">
      <c r="A138" s="298">
        <v>136</v>
      </c>
      <c r="B138" s="298">
        <f>'TAM Projet 1'!AD142</f>
        <v>177049.74</v>
      </c>
      <c r="C138" s="299" t="e">
        <f>C137+'ensemble des projets'!$C$29</f>
        <v>#REF!</v>
      </c>
      <c r="D138" s="299" t="e">
        <f t="shared" si="8"/>
        <v>#REF!</v>
      </c>
      <c r="E138" s="299" t="e">
        <f t="shared" si="9"/>
        <v>#REF!</v>
      </c>
      <c r="G138" s="298">
        <v>136</v>
      </c>
      <c r="H138" s="298">
        <f>'TAM Projet 1'!AT142</f>
        <v>187250</v>
      </c>
      <c r="I138" s="299">
        <f>I137+'TAM Projet 1'!$D$52</f>
        <v>170492.16767999961</v>
      </c>
      <c r="J138" s="299">
        <f t="shared" si="10"/>
        <v>370.22843930433282</v>
      </c>
      <c r="K138" s="299">
        <f t="shared" si="11"/>
        <v>239227.28605500294</v>
      </c>
    </row>
    <row r="139" spans="1:11" x14ac:dyDescent="0.2">
      <c r="A139" s="298">
        <v>137</v>
      </c>
      <c r="B139" s="298">
        <f>'TAM Projet 1'!AD143</f>
        <v>176555.19</v>
      </c>
      <c r="C139" s="299" t="e">
        <f>C138+'ensemble des projets'!$C$29</f>
        <v>#REF!</v>
      </c>
      <c r="D139" s="299" t="e">
        <f t="shared" si="8"/>
        <v>#REF!</v>
      </c>
      <c r="E139" s="299" t="e">
        <f t="shared" si="9"/>
        <v>#REF!</v>
      </c>
      <c r="G139" s="298">
        <v>137</v>
      </c>
      <c r="H139" s="298">
        <f>'TAM Projet 1'!AT143</f>
        <v>187250</v>
      </c>
      <c r="I139" s="299">
        <f>I138+'TAM Projet 1'!$D$52</f>
        <v>171745.7865599996</v>
      </c>
      <c r="J139" s="299">
        <f t="shared" si="10"/>
        <v>372.74540264925452</v>
      </c>
      <c r="K139" s="299">
        <f t="shared" si="11"/>
        <v>240853.65033765219</v>
      </c>
    </row>
    <row r="140" spans="1:11" x14ac:dyDescent="0.2">
      <c r="A140" s="298">
        <v>138</v>
      </c>
      <c r="B140" s="298">
        <f>'TAM Projet 1'!AD144</f>
        <v>176059.87</v>
      </c>
      <c r="C140" s="299" t="e">
        <f>C139+'ensemble des projets'!$C$29</f>
        <v>#REF!</v>
      </c>
      <c r="D140" s="299" t="e">
        <f t="shared" si="8"/>
        <v>#REF!</v>
      </c>
      <c r="E140" s="299" t="e">
        <f t="shared" si="9"/>
        <v>#REF!</v>
      </c>
      <c r="G140" s="298">
        <v>138</v>
      </c>
      <c r="H140" s="298">
        <f>'TAM Projet 1'!AT144</f>
        <v>187250</v>
      </c>
      <c r="I140" s="299">
        <f>I139+'TAM Projet 1'!$D$52</f>
        <v>172999.40543999959</v>
      </c>
      <c r="J140" s="299">
        <f t="shared" si="10"/>
        <v>375.26626728736085</v>
      </c>
      <c r="K140" s="299">
        <f t="shared" si="11"/>
        <v>242482.53548493955</v>
      </c>
    </row>
    <row r="141" spans="1:11" x14ac:dyDescent="0.2">
      <c r="A141" s="298">
        <v>139</v>
      </c>
      <c r="B141" s="298">
        <f>'TAM Projet 1'!AD145</f>
        <v>175563.78</v>
      </c>
      <c r="C141" s="299" t="e">
        <f>C140+'ensemble des projets'!$C$29</f>
        <v>#REF!</v>
      </c>
      <c r="D141" s="299" t="e">
        <f t="shared" si="8"/>
        <v>#REF!</v>
      </c>
      <c r="E141" s="299" t="e">
        <f t="shared" si="9"/>
        <v>#REF!</v>
      </c>
      <c r="G141" s="298">
        <v>139</v>
      </c>
      <c r="H141" s="298">
        <f>'TAM Projet 1'!AT145</f>
        <v>187250</v>
      </c>
      <c r="I141" s="299">
        <f>I140+'TAM Projet 1'!$D$52</f>
        <v>174253.02431999959</v>
      </c>
      <c r="J141" s="299">
        <f t="shared" si="10"/>
        <v>377.79103926565631</v>
      </c>
      <c r="K141" s="299">
        <f t="shared" si="11"/>
        <v>244113.94540420521</v>
      </c>
    </row>
    <row r="142" spans="1:11" x14ac:dyDescent="0.2">
      <c r="A142" s="298">
        <v>140</v>
      </c>
      <c r="B142" s="298">
        <f>'TAM Projet 1'!AD146</f>
        <v>175066.92</v>
      </c>
      <c r="C142" s="299" t="e">
        <f>C141+'ensemble des projets'!$C$29</f>
        <v>#REF!</v>
      </c>
      <c r="D142" s="299" t="e">
        <f t="shared" si="8"/>
        <v>#REF!</v>
      </c>
      <c r="E142" s="299" t="e">
        <f t="shared" si="9"/>
        <v>#REF!</v>
      </c>
      <c r="G142" s="298">
        <v>140</v>
      </c>
      <c r="H142" s="298">
        <f>'TAM Projet 1'!AT146</f>
        <v>187250</v>
      </c>
      <c r="I142" s="299">
        <f>I141+'TAM Projet 1'!$D$52</f>
        <v>175506.64319999958</v>
      </c>
      <c r="J142" s="299">
        <f t="shared" si="10"/>
        <v>380.31972464051807</v>
      </c>
      <c r="K142" s="299">
        <f t="shared" si="11"/>
        <v>245747.88400884572</v>
      </c>
    </row>
    <row r="143" spans="1:11" x14ac:dyDescent="0.2">
      <c r="A143" s="298">
        <v>141</v>
      </c>
      <c r="B143" s="298">
        <f>'TAM Projet 1'!AD147</f>
        <v>174569.29</v>
      </c>
      <c r="C143" s="299" t="e">
        <f>C142+'ensemble des projets'!$C$29</f>
        <v>#REF!</v>
      </c>
      <c r="D143" s="299" t="e">
        <f t="shared" si="8"/>
        <v>#REF!</v>
      </c>
      <c r="E143" s="299" t="e">
        <f t="shared" si="9"/>
        <v>#REF!</v>
      </c>
      <c r="G143" s="298">
        <v>141</v>
      </c>
      <c r="H143" s="298">
        <f>'TAM Projet 1'!AT147</f>
        <v>187250</v>
      </c>
      <c r="I143" s="299">
        <f>I142+'TAM Projet 1'!$D$52</f>
        <v>176760.26207999958</v>
      </c>
      <c r="J143" s="299">
        <f t="shared" si="10"/>
        <v>382.85232947771084</v>
      </c>
      <c r="K143" s="299">
        <f t="shared" si="11"/>
        <v>247384.35521832341</v>
      </c>
    </row>
    <row r="144" spans="1:11" x14ac:dyDescent="0.2">
      <c r="A144" s="298">
        <v>142</v>
      </c>
      <c r="B144" s="298">
        <f>'TAM Projet 1'!AD148</f>
        <v>174070.89</v>
      </c>
      <c r="C144" s="299" t="e">
        <f>C143+'ensemble des projets'!$C$29</f>
        <v>#REF!</v>
      </c>
      <c r="D144" s="299" t="e">
        <f t="shared" si="8"/>
        <v>#REF!</v>
      </c>
      <c r="E144" s="299" t="e">
        <f t="shared" si="9"/>
        <v>#REF!</v>
      </c>
      <c r="G144" s="298">
        <v>142</v>
      </c>
      <c r="H144" s="298">
        <f>'TAM Projet 1'!AT148</f>
        <v>187250</v>
      </c>
      <c r="I144" s="299">
        <f>I143+'TAM Projet 1'!$D$52</f>
        <v>178013.88095999957</v>
      </c>
      <c r="J144" s="299">
        <f t="shared" si="10"/>
        <v>385.38885985240125</v>
      </c>
      <c r="K144" s="299">
        <f t="shared" si="11"/>
        <v>249023.3629581758</v>
      </c>
    </row>
    <row r="145" spans="1:11" x14ac:dyDescent="0.2">
      <c r="A145" s="298">
        <v>143</v>
      </c>
      <c r="B145" s="298">
        <f>'TAM Projet 1'!AD149</f>
        <v>173571.72</v>
      </c>
      <c r="C145" s="299" t="e">
        <f>C144+'ensemble des projets'!$C$29</f>
        <v>#REF!</v>
      </c>
      <c r="D145" s="299" t="e">
        <f t="shared" si="8"/>
        <v>#REF!</v>
      </c>
      <c r="E145" s="299" t="e">
        <f t="shared" si="9"/>
        <v>#REF!</v>
      </c>
      <c r="G145" s="298">
        <v>143</v>
      </c>
      <c r="H145" s="298">
        <f>'TAM Projet 1'!AT149</f>
        <v>187250</v>
      </c>
      <c r="I145" s="299">
        <f>I144+'TAM Projet 1'!$D$52</f>
        <v>179267.49983999957</v>
      </c>
      <c r="J145" s="299">
        <f t="shared" si="10"/>
        <v>387.92932184917248</v>
      </c>
      <c r="K145" s="299">
        <f t="shared" si="11"/>
        <v>250664.91116002496</v>
      </c>
    </row>
    <row r="146" spans="1:11" x14ac:dyDescent="0.2">
      <c r="A146" s="300" t="s">
        <v>277</v>
      </c>
      <c r="B146" s="298">
        <f>'TAM Projet 1'!AD150</f>
        <v>173071.78</v>
      </c>
      <c r="C146" s="299" t="e">
        <f>C145+'ensemble des projets'!$C$29</f>
        <v>#REF!</v>
      </c>
      <c r="D146" s="299" t="e">
        <f t="shared" si="8"/>
        <v>#REF!</v>
      </c>
      <c r="E146" s="299" t="e">
        <f t="shared" si="9"/>
        <v>#REF!</v>
      </c>
      <c r="G146" s="300" t="s">
        <v>277</v>
      </c>
      <c r="H146" s="298">
        <f>'TAM Projet 1'!AT150</f>
        <v>187250</v>
      </c>
      <c r="I146" s="299">
        <f>I145+'TAM Projet 1'!$D$52</f>
        <v>180521.11871999956</v>
      </c>
      <c r="J146" s="299">
        <f t="shared" si="10"/>
        <v>390.47372156203869</v>
      </c>
      <c r="K146" s="299">
        <f t="shared" si="11"/>
        <v>252309.003761587</v>
      </c>
    </row>
    <row r="147" spans="1:11" x14ac:dyDescent="0.2">
      <c r="A147" s="298">
        <v>145</v>
      </c>
      <c r="B147" s="298">
        <f>'TAM Projet 1'!AD151</f>
        <v>172571.06</v>
      </c>
      <c r="C147" s="299" t="e">
        <f>C146+'ensemble des projets'!$C$29</f>
        <v>#REF!</v>
      </c>
      <c r="D147" s="299" t="e">
        <f t="shared" si="8"/>
        <v>#REF!</v>
      </c>
      <c r="E147" s="299" t="e">
        <f t="shared" si="9"/>
        <v>#REF!</v>
      </c>
      <c r="G147" s="298">
        <v>145</v>
      </c>
      <c r="H147" s="298">
        <f>'TAM Projet 1'!AT151</f>
        <v>187250</v>
      </c>
      <c r="I147" s="299">
        <f>I146+'TAM Projet 1'!$D$52</f>
        <v>181774.73759999956</v>
      </c>
      <c r="J147" s="299">
        <f t="shared" si="10"/>
        <v>393.02206509445983</v>
      </c>
      <c r="K147" s="299">
        <f t="shared" si="11"/>
        <v>253955.64470668146</v>
      </c>
    </row>
    <row r="148" spans="1:11" x14ac:dyDescent="0.2">
      <c r="A148" s="298">
        <v>146</v>
      </c>
      <c r="B148" s="298">
        <f>'TAM Projet 1'!AD152</f>
        <v>172069.57</v>
      </c>
      <c r="C148" s="299" t="e">
        <f>C147+'ensemble des projets'!$C$29</f>
        <v>#REF!</v>
      </c>
      <c r="D148" s="299" t="e">
        <f t="shared" si="8"/>
        <v>#REF!</v>
      </c>
      <c r="E148" s="299" t="e">
        <f t="shared" si="9"/>
        <v>#REF!</v>
      </c>
      <c r="G148" s="298">
        <v>146</v>
      </c>
      <c r="H148" s="298">
        <f>'TAM Projet 1'!AT152</f>
        <v>187250</v>
      </c>
      <c r="I148" s="299">
        <f>I147+'TAM Projet 1'!$D$52</f>
        <v>183028.35647999955</v>
      </c>
      <c r="J148" s="299">
        <f t="shared" si="10"/>
        <v>395.57435855935626</v>
      </c>
      <c r="K148" s="299">
        <f t="shared" si="11"/>
        <v>255604.83794524081</v>
      </c>
    </row>
    <row r="149" spans="1:11" x14ac:dyDescent="0.2">
      <c r="A149" s="298">
        <v>147</v>
      </c>
      <c r="B149" s="298">
        <f>'TAM Projet 1'!AD153</f>
        <v>171567.30000000002</v>
      </c>
      <c r="C149" s="299" t="e">
        <f>C148+'ensemble des projets'!$C$29</f>
        <v>#REF!</v>
      </c>
      <c r="D149" s="299" t="e">
        <f t="shared" si="8"/>
        <v>#REF!</v>
      </c>
      <c r="E149" s="299" t="e">
        <f t="shared" si="9"/>
        <v>#REF!</v>
      </c>
      <c r="G149" s="298">
        <v>147</v>
      </c>
      <c r="H149" s="298">
        <f>'TAM Projet 1'!AT153</f>
        <v>187250</v>
      </c>
      <c r="I149" s="299">
        <f>I148+'TAM Projet 1'!$D$52</f>
        <v>184281.97535999955</v>
      </c>
      <c r="J149" s="299">
        <f t="shared" si="10"/>
        <v>398.13060807912325</v>
      </c>
      <c r="K149" s="299">
        <f t="shared" si="11"/>
        <v>257256.58743331992</v>
      </c>
    </row>
    <row r="150" spans="1:11" x14ac:dyDescent="0.2">
      <c r="A150" s="298">
        <v>148</v>
      </c>
      <c r="B150" s="298">
        <f>'TAM Projet 1'!AD154</f>
        <v>171064.25000000003</v>
      </c>
      <c r="C150" s="299" t="e">
        <f>C149+'ensemble des projets'!$C$29</f>
        <v>#REF!</v>
      </c>
      <c r="D150" s="299" t="e">
        <f t="shared" si="8"/>
        <v>#REF!</v>
      </c>
      <c r="E150" s="299" t="e">
        <f t="shared" si="9"/>
        <v>#REF!</v>
      </c>
      <c r="G150" s="298">
        <v>148</v>
      </c>
      <c r="H150" s="298">
        <f>'TAM Projet 1'!AT154</f>
        <v>187250</v>
      </c>
      <c r="I150" s="299">
        <f>I149+'TAM Projet 1'!$D$52</f>
        <v>185535.59423999954</v>
      </c>
      <c r="J150" s="299">
        <f t="shared" si="10"/>
        <v>400.69081978564583</v>
      </c>
      <c r="K150" s="299">
        <f t="shared" si="11"/>
        <v>258910.89713310555</v>
      </c>
    </row>
    <row r="151" spans="1:11" x14ac:dyDescent="0.2">
      <c r="A151" s="298">
        <v>149</v>
      </c>
      <c r="B151" s="298">
        <f>'TAM Projet 1'!AD155</f>
        <v>170560.42000000004</v>
      </c>
      <c r="C151" s="299" t="e">
        <f>C150+'ensemble des projets'!$C$29</f>
        <v>#REF!</v>
      </c>
      <c r="D151" s="299" t="e">
        <f t="shared" si="8"/>
        <v>#REF!</v>
      </c>
      <c r="E151" s="299" t="e">
        <f t="shared" si="9"/>
        <v>#REF!</v>
      </c>
      <c r="G151" s="298">
        <v>149</v>
      </c>
      <c r="H151" s="298">
        <f>'TAM Projet 1'!AT155</f>
        <v>187250</v>
      </c>
      <c r="I151" s="299">
        <f>I150+'TAM Projet 1'!$D$52</f>
        <v>186789.21311999953</v>
      </c>
      <c r="J151" s="299">
        <f t="shared" si="10"/>
        <v>403.25499982031357</v>
      </c>
      <c r="K151" s="299">
        <f t="shared" si="11"/>
        <v>260567.77101292586</v>
      </c>
    </row>
    <row r="152" spans="1:11" x14ac:dyDescent="0.2">
      <c r="A152" s="298">
        <v>150</v>
      </c>
      <c r="B152" s="298">
        <f>'TAM Projet 1'!AD156</f>
        <v>170055.81000000006</v>
      </c>
      <c r="C152" s="299" t="e">
        <f>C151+'ensemble des projets'!$C$29</f>
        <v>#REF!</v>
      </c>
      <c r="D152" s="299" t="e">
        <f t="shared" si="8"/>
        <v>#REF!</v>
      </c>
      <c r="E152" s="299" t="e">
        <f t="shared" si="9"/>
        <v>#REF!</v>
      </c>
      <c r="G152" s="298">
        <v>150</v>
      </c>
      <c r="H152" s="298">
        <f>'TAM Projet 1'!AT156</f>
        <v>187250</v>
      </c>
      <c r="I152" s="299">
        <f>I151+'TAM Projet 1'!$D$52</f>
        <v>188042.83199999953</v>
      </c>
      <c r="J152" s="299">
        <f t="shared" si="10"/>
        <v>405.82315433403505</v>
      </c>
      <c r="K152" s="299">
        <f t="shared" si="11"/>
        <v>262227.21304725989</v>
      </c>
    </row>
    <row r="153" spans="1:11" x14ac:dyDescent="0.2">
      <c r="A153" s="298">
        <v>151</v>
      </c>
      <c r="B153" s="298">
        <f>'TAM Projet 1'!AD157</f>
        <v>169550.42000000004</v>
      </c>
      <c r="C153" s="299" t="e">
        <f>C152+'ensemble des projets'!$C$29</f>
        <v>#REF!</v>
      </c>
      <c r="D153" s="299" t="e">
        <f t="shared" si="8"/>
        <v>#REF!</v>
      </c>
      <c r="E153" s="299" t="e">
        <f t="shared" si="9"/>
        <v>#REF!</v>
      </c>
      <c r="G153" s="298">
        <v>151</v>
      </c>
      <c r="H153" s="298">
        <f>'TAM Projet 1'!AT157</f>
        <v>187250</v>
      </c>
      <c r="I153" s="299">
        <f>I152+'TAM Projet 1'!$D$52</f>
        <v>189296.45087999952</v>
      </c>
      <c r="J153" s="299">
        <f t="shared" si="10"/>
        <v>408.39528948725285</v>
      </c>
      <c r="K153" s="299">
        <f t="shared" si="11"/>
        <v>263889.22721674718</v>
      </c>
    </row>
    <row r="154" spans="1:11" x14ac:dyDescent="0.2">
      <c r="A154" s="298">
        <v>152</v>
      </c>
      <c r="B154" s="298">
        <f>'TAM Projet 1'!AD158</f>
        <v>169044.24000000005</v>
      </c>
      <c r="C154" s="299" t="e">
        <f>C153+'ensemble des projets'!$C$29</f>
        <v>#REF!</v>
      </c>
      <c r="D154" s="299" t="e">
        <f t="shared" si="8"/>
        <v>#REF!</v>
      </c>
      <c r="E154" s="299" t="e">
        <f t="shared" si="9"/>
        <v>#REF!</v>
      </c>
      <c r="G154" s="298">
        <v>152</v>
      </c>
      <c r="H154" s="298">
        <f>'TAM Projet 1'!AT158</f>
        <v>187250</v>
      </c>
      <c r="I154" s="299">
        <f>I153+'TAM Projet 1'!$D$52</f>
        <v>190550.06975999952</v>
      </c>
      <c r="J154" s="299">
        <f t="shared" si="10"/>
        <v>410.97141144995817</v>
      </c>
      <c r="K154" s="299">
        <f t="shared" si="11"/>
        <v>265553.81750819716</v>
      </c>
    </row>
    <row r="155" spans="1:11" x14ac:dyDescent="0.2">
      <c r="A155" s="298">
        <v>153</v>
      </c>
      <c r="B155" s="298">
        <f>'TAM Projet 1'!AD159</f>
        <v>168537.28000000006</v>
      </c>
      <c r="C155" s="299" t="e">
        <f>C154+'ensemble des projets'!$C$29</f>
        <v>#REF!</v>
      </c>
      <c r="D155" s="299" t="e">
        <f t="shared" si="8"/>
        <v>#REF!</v>
      </c>
      <c r="E155" s="299" t="e">
        <f t="shared" si="9"/>
        <v>#REF!</v>
      </c>
      <c r="G155" s="298">
        <v>153</v>
      </c>
      <c r="H155" s="298">
        <f>'TAM Projet 1'!AT159</f>
        <v>187250</v>
      </c>
      <c r="I155" s="299">
        <f>I154+'TAM Projet 1'!$D$52</f>
        <v>191803.68863999951</v>
      </c>
      <c r="J155" s="299">
        <f t="shared" si="10"/>
        <v>413.55152640170559</v>
      </c>
      <c r="K155" s="299">
        <f t="shared" si="11"/>
        <v>267220.9879145989</v>
      </c>
    </row>
    <row r="156" spans="1:11" x14ac:dyDescent="0.2">
      <c r="A156" s="298">
        <v>154</v>
      </c>
      <c r="B156" s="298">
        <f>'TAM Projet 1'!AD160</f>
        <v>168029.53000000006</v>
      </c>
      <c r="C156" s="299" t="e">
        <f>C155+'ensemble des projets'!$C$29</f>
        <v>#REF!</v>
      </c>
      <c r="D156" s="299" t="e">
        <f t="shared" si="8"/>
        <v>#REF!</v>
      </c>
      <c r="E156" s="299" t="e">
        <f t="shared" si="9"/>
        <v>#REF!</v>
      </c>
      <c r="G156" s="298">
        <v>154</v>
      </c>
      <c r="H156" s="298">
        <f>'TAM Projet 1'!AT160</f>
        <v>187250</v>
      </c>
      <c r="I156" s="299">
        <f>I155+'TAM Projet 1'!$D$52</f>
        <v>193057.30751999951</v>
      </c>
      <c r="J156" s="299">
        <f t="shared" si="10"/>
        <v>416.13564053162833</v>
      </c>
      <c r="K156" s="299">
        <f t="shared" si="11"/>
        <v>268890.74243513052</v>
      </c>
    </row>
    <row r="157" spans="1:11" x14ac:dyDescent="0.2">
      <c r="A157" s="298">
        <v>155</v>
      </c>
      <c r="B157" s="298">
        <f>'TAM Projet 1'!AD161</f>
        <v>167521.00000000006</v>
      </c>
      <c r="C157" s="299" t="e">
        <f>C156+'ensemble des projets'!$C$29</f>
        <v>#REF!</v>
      </c>
      <c r="D157" s="299" t="e">
        <f t="shared" si="8"/>
        <v>#REF!</v>
      </c>
      <c r="E157" s="299" t="e">
        <f t="shared" si="9"/>
        <v>#REF!</v>
      </c>
      <c r="G157" s="298">
        <v>155</v>
      </c>
      <c r="H157" s="298">
        <f>'TAM Projet 1'!AT161</f>
        <v>187250</v>
      </c>
      <c r="I157" s="299">
        <f>I156+'TAM Projet 1'!$D$52</f>
        <v>194310.9263999995</v>
      </c>
      <c r="J157" s="299">
        <f t="shared" si="10"/>
        <v>418.72376003845233</v>
      </c>
      <c r="K157" s="299">
        <f t="shared" si="11"/>
        <v>270563.08507516899</v>
      </c>
    </row>
    <row r="158" spans="1:11" x14ac:dyDescent="0.2">
      <c r="A158" s="300" t="s">
        <v>278</v>
      </c>
      <c r="B158" s="298">
        <f>'TAM Projet 1'!AD162</f>
        <v>167011.68000000005</v>
      </c>
      <c r="C158" s="299" t="e">
        <f>C157+'ensemble des projets'!$C$29</f>
        <v>#REF!</v>
      </c>
      <c r="D158" s="299" t="e">
        <f t="shared" si="8"/>
        <v>#REF!</v>
      </c>
      <c r="E158" s="299" t="e">
        <f t="shared" si="9"/>
        <v>#REF!</v>
      </c>
      <c r="G158" s="300" t="s">
        <v>278</v>
      </c>
      <c r="H158" s="298">
        <f>'TAM Projet 1'!AT162</f>
        <v>187250</v>
      </c>
      <c r="I158" s="299">
        <f>I157+'TAM Projet 1'!$D$52</f>
        <v>195564.5452799995</v>
      </c>
      <c r="J158" s="299">
        <f t="shared" si="10"/>
        <v>421.31589113051194</v>
      </c>
      <c r="K158" s="299">
        <f t="shared" si="11"/>
        <v>272238.01984629955</v>
      </c>
    </row>
    <row r="159" spans="1:11" x14ac:dyDescent="0.2">
      <c r="A159" s="298">
        <v>157</v>
      </c>
      <c r="B159" s="298">
        <f>'TAM Projet 1'!AD163</f>
        <v>166501.57000000007</v>
      </c>
      <c r="C159" s="299" t="e">
        <f>C158+'ensemble des projets'!$C$29</f>
        <v>#REF!</v>
      </c>
      <c r="D159" s="299" t="e">
        <f t="shared" si="8"/>
        <v>#REF!</v>
      </c>
      <c r="E159" s="299" t="e">
        <f t="shared" si="9"/>
        <v>#REF!</v>
      </c>
      <c r="G159" s="298">
        <v>157</v>
      </c>
      <c r="H159" s="298">
        <f>'TAM Projet 1'!AT163</f>
        <v>187250</v>
      </c>
      <c r="I159" s="299">
        <f>I158+'TAM Projet 1'!$D$52</f>
        <v>196818.16415999949</v>
      </c>
      <c r="J159" s="299">
        <f t="shared" si="10"/>
        <v>423.91204002576433</v>
      </c>
      <c r="K159" s="299">
        <f t="shared" si="11"/>
        <v>273915.55076632532</v>
      </c>
    </row>
    <row r="160" spans="1:11" x14ac:dyDescent="0.2">
      <c r="A160" s="298">
        <v>158</v>
      </c>
      <c r="B160" s="298">
        <f>'TAM Projet 1'!AD164</f>
        <v>165990.67000000007</v>
      </c>
      <c r="C160" s="299" t="e">
        <f>C159+'ensemble des projets'!$C$29</f>
        <v>#REF!</v>
      </c>
      <c r="D160" s="299" t="e">
        <f t="shared" si="8"/>
        <v>#REF!</v>
      </c>
      <c r="E160" s="299" t="e">
        <f t="shared" si="9"/>
        <v>#REF!</v>
      </c>
      <c r="G160" s="298">
        <v>158</v>
      </c>
      <c r="H160" s="298">
        <f>'TAM Projet 1'!AT164</f>
        <v>187250</v>
      </c>
      <c r="I160" s="299">
        <f>I159+'TAM Projet 1'!$D$52</f>
        <v>198071.78303999949</v>
      </c>
      <c r="J160" s="299">
        <f t="shared" si="10"/>
        <v>426.51221295180426</v>
      </c>
      <c r="K160" s="299">
        <f t="shared" si="11"/>
        <v>275595.68185927713</v>
      </c>
    </row>
    <row r="161" spans="1:11" x14ac:dyDescent="0.2">
      <c r="A161" s="298">
        <v>159</v>
      </c>
      <c r="B161" s="298">
        <f>'TAM Projet 1'!AD165</f>
        <v>165478.98000000007</v>
      </c>
      <c r="C161" s="299" t="e">
        <f>C160+'ensemble des projets'!$C$29</f>
        <v>#REF!</v>
      </c>
      <c r="D161" s="299" t="e">
        <f t="shared" si="8"/>
        <v>#REF!</v>
      </c>
      <c r="E161" s="299" t="e">
        <f t="shared" si="9"/>
        <v>#REF!</v>
      </c>
      <c r="G161" s="298">
        <v>159</v>
      </c>
      <c r="H161" s="298">
        <f>'TAM Projet 1'!AT165</f>
        <v>187250</v>
      </c>
      <c r="I161" s="299">
        <f>I160+'TAM Projet 1'!$D$52</f>
        <v>199325.40191999948</v>
      </c>
      <c r="J161" s="299">
        <f t="shared" si="10"/>
        <v>429.11641614587955</v>
      </c>
      <c r="K161" s="299">
        <f t="shared" si="11"/>
        <v>277278.41715542303</v>
      </c>
    </row>
    <row r="162" spans="1:11" x14ac:dyDescent="0.2">
      <c r="A162" s="298">
        <v>160</v>
      </c>
      <c r="B162" s="298">
        <f>'TAM Projet 1'!AD166</f>
        <v>164966.49000000008</v>
      </c>
      <c r="C162" s="299" t="e">
        <f>C161+'ensemble des projets'!$C$29</f>
        <v>#REF!</v>
      </c>
      <c r="D162" s="299" t="e">
        <f t="shared" si="8"/>
        <v>#REF!</v>
      </c>
      <c r="E162" s="299" t="e">
        <f t="shared" si="9"/>
        <v>#REF!</v>
      </c>
    </row>
    <row r="163" spans="1:11" x14ac:dyDescent="0.2">
      <c r="A163" s="298">
        <v>161</v>
      </c>
      <c r="B163" s="298">
        <f>'TAM Projet 1'!AD167</f>
        <v>164453.21000000008</v>
      </c>
      <c r="C163" s="299" t="e">
        <f>C162+'ensemble des projets'!$C$29</f>
        <v>#REF!</v>
      </c>
      <c r="D163" s="299" t="e">
        <f t="shared" si="8"/>
        <v>#REF!</v>
      </c>
      <c r="E163" s="299" t="e">
        <f t="shared" si="9"/>
        <v>#REF!</v>
      </c>
    </row>
    <row r="164" spans="1:11" x14ac:dyDescent="0.2">
      <c r="A164" s="298">
        <v>162</v>
      </c>
      <c r="B164" s="298">
        <f>'TAM Projet 1'!AD168</f>
        <v>163939.13000000009</v>
      </c>
      <c r="C164" s="299" t="e">
        <f>C163+'ensemble des projets'!$C$29</f>
        <v>#REF!</v>
      </c>
      <c r="D164" s="299" t="e">
        <f t="shared" si="8"/>
        <v>#REF!</v>
      </c>
      <c r="E164" s="299" t="e">
        <f t="shared" si="9"/>
        <v>#REF!</v>
      </c>
    </row>
    <row r="165" spans="1:11" x14ac:dyDescent="0.2">
      <c r="A165" s="298">
        <v>163</v>
      </c>
      <c r="B165" s="298">
        <f>'TAM Projet 1'!AD169</f>
        <v>163424.2600000001</v>
      </c>
      <c r="C165" s="299" t="e">
        <f>C164+'ensemble des projets'!$C$29</f>
        <v>#REF!</v>
      </c>
      <c r="D165" s="299" t="e">
        <f t="shared" si="8"/>
        <v>#REF!</v>
      </c>
      <c r="E165" s="299" t="e">
        <f t="shared" si="9"/>
        <v>#REF!</v>
      </c>
    </row>
    <row r="166" spans="1:11" x14ac:dyDescent="0.2">
      <c r="A166" s="298">
        <v>164</v>
      </c>
      <c r="B166" s="298">
        <f>'TAM Projet 1'!AD170</f>
        <v>162908.59000000008</v>
      </c>
      <c r="C166" s="299" t="e">
        <f>C165+'ensemble des projets'!$C$29</f>
        <v>#REF!</v>
      </c>
      <c r="D166" s="299" t="e">
        <f t="shared" si="8"/>
        <v>#REF!</v>
      </c>
      <c r="E166" s="299" t="e">
        <f t="shared" si="9"/>
        <v>#REF!</v>
      </c>
    </row>
    <row r="167" spans="1:11" x14ac:dyDescent="0.2">
      <c r="A167" s="298">
        <v>165</v>
      </c>
      <c r="B167" s="298">
        <f>'TAM Projet 1'!AD171</f>
        <v>162392.12000000008</v>
      </c>
      <c r="C167" s="299" t="e">
        <f>C166+'ensemble des projets'!$C$29</f>
        <v>#REF!</v>
      </c>
      <c r="D167" s="299" t="e">
        <f t="shared" si="8"/>
        <v>#REF!</v>
      </c>
      <c r="E167" s="299" t="e">
        <f t="shared" si="9"/>
        <v>#REF!</v>
      </c>
    </row>
    <row r="168" spans="1:11" x14ac:dyDescent="0.2">
      <c r="A168" s="298">
        <v>166</v>
      </c>
      <c r="B168" s="298">
        <f>'TAM Projet 1'!AD172</f>
        <v>161874.85000000009</v>
      </c>
      <c r="C168" s="299" t="e">
        <f>C167+'ensemble des projets'!$C$29</f>
        <v>#REF!</v>
      </c>
      <c r="D168" s="299" t="e">
        <f t="shared" si="8"/>
        <v>#REF!</v>
      </c>
      <c r="E168" s="299" t="e">
        <f t="shared" si="9"/>
        <v>#REF!</v>
      </c>
    </row>
    <row r="169" spans="1:11" x14ac:dyDescent="0.2">
      <c r="A169" s="298">
        <v>167</v>
      </c>
      <c r="B169" s="298">
        <f>'TAM Projet 1'!AD173</f>
        <v>161356.78000000009</v>
      </c>
      <c r="C169" s="299" t="e">
        <f>C168+'ensemble des projets'!$C$29</f>
        <v>#REF!</v>
      </c>
      <c r="D169" s="299" t="e">
        <f t="shared" si="8"/>
        <v>#REF!</v>
      </c>
      <c r="E169" s="299" t="e">
        <f t="shared" si="9"/>
        <v>#REF!</v>
      </c>
    </row>
    <row r="170" spans="1:11" x14ac:dyDescent="0.2">
      <c r="A170" s="298">
        <v>168</v>
      </c>
      <c r="B170" s="298">
        <f>'TAM Projet 1'!AD174</f>
        <v>160837.90000000008</v>
      </c>
      <c r="C170" s="299" t="e">
        <f>C169+'ensemble des projets'!$C$29</f>
        <v>#REF!</v>
      </c>
      <c r="D170" s="299" t="e">
        <f t="shared" si="8"/>
        <v>#REF!</v>
      </c>
      <c r="E170" s="299" t="e">
        <f t="shared" si="9"/>
        <v>#REF!</v>
      </c>
    </row>
    <row r="171" spans="1:11" x14ac:dyDescent="0.2">
      <c r="A171" s="298">
        <v>169</v>
      </c>
      <c r="B171" s="298">
        <f>'TAM Projet 1'!AD175</f>
        <v>160318.22000000009</v>
      </c>
      <c r="C171" s="299" t="e">
        <f>C170+'ensemble des projets'!$C$29</f>
        <v>#REF!</v>
      </c>
      <c r="D171" s="299" t="e">
        <f t="shared" si="8"/>
        <v>#REF!</v>
      </c>
      <c r="E171" s="299" t="e">
        <f t="shared" si="9"/>
        <v>#REF!</v>
      </c>
    </row>
    <row r="172" spans="1:11" x14ac:dyDescent="0.2">
      <c r="A172" s="298">
        <v>170</v>
      </c>
      <c r="B172" s="298">
        <f>'TAM Projet 1'!AD176</f>
        <v>159797.7300000001</v>
      </c>
      <c r="C172" s="299" t="e">
        <f>C171+'ensemble des projets'!$C$29</f>
        <v>#REF!</v>
      </c>
      <c r="D172" s="299" t="e">
        <f t="shared" si="8"/>
        <v>#REF!</v>
      </c>
      <c r="E172" s="299" t="e">
        <f t="shared" si="9"/>
        <v>#REF!</v>
      </c>
    </row>
    <row r="173" spans="1:11" x14ac:dyDescent="0.2">
      <c r="A173" s="298">
        <v>171</v>
      </c>
      <c r="B173" s="298">
        <f>'TAM Projet 1'!AD177</f>
        <v>159276.44000000009</v>
      </c>
      <c r="C173" s="299" t="e">
        <f>C172+'ensemble des projets'!$C$29</f>
        <v>#REF!</v>
      </c>
      <c r="D173" s="299" t="e">
        <f t="shared" si="8"/>
        <v>#REF!</v>
      </c>
      <c r="E173" s="299" t="e">
        <f t="shared" si="9"/>
        <v>#REF!</v>
      </c>
    </row>
    <row r="174" spans="1:11" x14ac:dyDescent="0.2">
      <c r="A174" s="298">
        <v>172</v>
      </c>
      <c r="B174" s="298">
        <f>'TAM Projet 1'!AD178</f>
        <v>158754.34000000008</v>
      </c>
      <c r="C174" s="299" t="e">
        <f>C173+'ensemble des projets'!$C$29</f>
        <v>#REF!</v>
      </c>
      <c r="D174" s="299" t="e">
        <f t="shared" si="8"/>
        <v>#REF!</v>
      </c>
      <c r="E174" s="299" t="e">
        <f t="shared" si="9"/>
        <v>#REF!</v>
      </c>
    </row>
    <row r="175" spans="1:11" x14ac:dyDescent="0.2">
      <c r="A175" s="298">
        <v>173</v>
      </c>
      <c r="B175" s="298">
        <f>'TAM Projet 1'!AD179</f>
        <v>158231.43000000008</v>
      </c>
      <c r="C175" s="299" t="e">
        <f>C174+'ensemble des projets'!$C$29</f>
        <v>#REF!</v>
      </c>
      <c r="D175" s="299" t="e">
        <f t="shared" si="8"/>
        <v>#REF!</v>
      </c>
      <c r="E175" s="299" t="e">
        <f t="shared" si="9"/>
        <v>#REF!</v>
      </c>
    </row>
    <row r="176" spans="1:11" x14ac:dyDescent="0.2">
      <c r="A176" s="298">
        <v>174</v>
      </c>
      <c r="B176" s="298">
        <f>'TAM Projet 1'!AD180</f>
        <v>157707.71000000008</v>
      </c>
      <c r="C176" s="299" t="e">
        <f>C175+'ensemble des projets'!$C$29</f>
        <v>#REF!</v>
      </c>
      <c r="D176" s="299" t="e">
        <f t="shared" si="8"/>
        <v>#REF!</v>
      </c>
      <c r="E176" s="299" t="e">
        <f t="shared" si="9"/>
        <v>#REF!</v>
      </c>
    </row>
    <row r="177" spans="1:5" x14ac:dyDescent="0.2">
      <c r="A177" s="298">
        <v>175</v>
      </c>
      <c r="B177" s="298">
        <f>'TAM Projet 1'!AD181</f>
        <v>157183.18000000008</v>
      </c>
      <c r="C177" s="299" t="e">
        <f>C176+'ensemble des projets'!$C$29</f>
        <v>#REF!</v>
      </c>
      <c r="D177" s="299" t="e">
        <f t="shared" si="8"/>
        <v>#REF!</v>
      </c>
      <c r="E177" s="299" t="e">
        <f t="shared" si="9"/>
        <v>#REF!</v>
      </c>
    </row>
    <row r="178" spans="1:5" x14ac:dyDescent="0.2">
      <c r="A178" s="298">
        <v>176</v>
      </c>
      <c r="B178" s="298">
        <f>'TAM Projet 1'!AD182</f>
        <v>156657.83000000007</v>
      </c>
      <c r="C178" s="299" t="e">
        <f>C177+'ensemble des projets'!$C$29</f>
        <v>#REF!</v>
      </c>
      <c r="D178" s="299" t="e">
        <f t="shared" si="8"/>
        <v>#REF!</v>
      </c>
      <c r="E178" s="299" t="e">
        <f t="shared" si="9"/>
        <v>#REF!</v>
      </c>
    </row>
    <row r="179" spans="1:5" x14ac:dyDescent="0.2">
      <c r="A179" s="298">
        <v>177</v>
      </c>
      <c r="B179" s="298">
        <f>'TAM Projet 1'!AD183</f>
        <v>156131.67000000007</v>
      </c>
      <c r="C179" s="299" t="e">
        <f>C178+'ensemble des projets'!$C$29</f>
        <v>#REF!</v>
      </c>
      <c r="D179" s="299" t="e">
        <f t="shared" si="8"/>
        <v>#REF!</v>
      </c>
      <c r="E179" s="299" t="e">
        <f t="shared" si="9"/>
        <v>#REF!</v>
      </c>
    </row>
    <row r="180" spans="1:5" x14ac:dyDescent="0.2">
      <c r="A180" s="298">
        <v>178</v>
      </c>
      <c r="B180" s="298">
        <f>'TAM Projet 1'!AD184</f>
        <v>155604.69000000006</v>
      </c>
      <c r="C180" s="299" t="e">
        <f>C179+'ensemble des projets'!$C$29</f>
        <v>#REF!</v>
      </c>
      <c r="D180" s="299" t="e">
        <f t="shared" si="8"/>
        <v>#REF!</v>
      </c>
      <c r="E180" s="299" t="e">
        <f t="shared" si="9"/>
        <v>#REF!</v>
      </c>
    </row>
    <row r="181" spans="1:5" x14ac:dyDescent="0.2">
      <c r="A181" s="298">
        <v>179</v>
      </c>
      <c r="B181" s="298">
        <f>'TAM Projet 1'!AD185</f>
        <v>155076.90000000005</v>
      </c>
      <c r="C181" s="299" t="e">
        <f>C180+'ensemble des projets'!$C$29</f>
        <v>#REF!</v>
      </c>
      <c r="D181" s="299" t="e">
        <f t="shared" si="8"/>
        <v>#REF!</v>
      </c>
      <c r="E181" s="299" t="e">
        <f t="shared" si="9"/>
        <v>#REF!</v>
      </c>
    </row>
    <row r="182" spans="1:5" x14ac:dyDescent="0.2">
      <c r="A182" s="298">
        <v>180</v>
      </c>
      <c r="B182" s="298">
        <f>'TAM Projet 1'!AD186</f>
        <v>154548.29000000007</v>
      </c>
      <c r="C182" s="299" t="e">
        <f>C181+'ensemble des projets'!$C$29</f>
        <v>#REF!</v>
      </c>
      <c r="D182" s="299" t="e">
        <f t="shared" si="8"/>
        <v>#REF!</v>
      </c>
      <c r="E182" s="299" t="e">
        <f t="shared" si="9"/>
        <v>#REF!</v>
      </c>
    </row>
    <row r="183" spans="1:5" x14ac:dyDescent="0.2">
      <c r="A183" s="298">
        <v>181</v>
      </c>
      <c r="B183" s="298">
        <f>'TAM Projet 1'!AD187</f>
        <v>154018.86000000007</v>
      </c>
      <c r="C183" s="299" t="e">
        <f>C182+'ensemble des projets'!$C$29</f>
        <v>#REF!</v>
      </c>
      <c r="D183" s="299" t="e">
        <f t="shared" si="8"/>
        <v>#REF!</v>
      </c>
      <c r="E183" s="299" t="e">
        <f t="shared" si="9"/>
        <v>#REF!</v>
      </c>
    </row>
    <row r="184" spans="1:5" x14ac:dyDescent="0.2">
      <c r="A184" s="298">
        <v>182</v>
      </c>
      <c r="B184" s="298">
        <f>'TAM Projet 1'!AD188</f>
        <v>153488.61000000007</v>
      </c>
      <c r="C184" s="299" t="e">
        <f>C183+'ensemble des projets'!$C$29</f>
        <v>#REF!</v>
      </c>
      <c r="D184" s="299" t="e">
        <f t="shared" si="8"/>
        <v>#REF!</v>
      </c>
      <c r="E184" s="299" t="e">
        <f t="shared" si="9"/>
        <v>#REF!</v>
      </c>
    </row>
    <row r="185" spans="1:5" x14ac:dyDescent="0.2">
      <c r="A185" s="298">
        <v>183</v>
      </c>
      <c r="B185" s="298">
        <f>'TAM Projet 1'!AD189</f>
        <v>152957.54000000007</v>
      </c>
      <c r="C185" s="299" t="e">
        <f>C184+'ensemble des projets'!$C$29</f>
        <v>#REF!</v>
      </c>
      <c r="D185" s="299" t="e">
        <f t="shared" si="8"/>
        <v>#REF!</v>
      </c>
      <c r="E185" s="299" t="e">
        <f t="shared" si="9"/>
        <v>#REF!</v>
      </c>
    </row>
  </sheetData>
  <mergeCells count="1">
    <mergeCell ref="B1:E1"/>
  </mergeCells>
  <conditionalFormatting sqref="C3">
    <cfRule type="cellIs" dxfId="24" priority="10" operator="greaterThan">
      <formula>B3</formula>
    </cfRule>
  </conditionalFormatting>
  <conditionalFormatting sqref="C4:C185">
    <cfRule type="cellIs" dxfId="23" priority="9" operator="greaterThan">
      <formula>B4</formula>
    </cfRule>
  </conditionalFormatting>
  <conditionalFormatting sqref="E3">
    <cfRule type="cellIs" dxfId="22" priority="7" operator="greaterThan">
      <formula>B3</formula>
    </cfRule>
  </conditionalFormatting>
  <conditionalFormatting sqref="E4:E185">
    <cfRule type="cellIs" dxfId="21" priority="6" operator="greaterThan">
      <formula>B4</formula>
    </cfRule>
  </conditionalFormatting>
  <conditionalFormatting sqref="I3">
    <cfRule type="cellIs" dxfId="20" priority="5" operator="greaterThan">
      <formula>H3</formula>
    </cfRule>
  </conditionalFormatting>
  <conditionalFormatting sqref="I4:I161">
    <cfRule type="cellIs" dxfId="19" priority="4" operator="greaterThan">
      <formula>H4</formula>
    </cfRule>
  </conditionalFormatting>
  <conditionalFormatting sqref="K3">
    <cfRule type="cellIs" dxfId="18" priority="2" operator="greaterThan">
      <formula>H3</formula>
    </cfRule>
  </conditionalFormatting>
  <conditionalFormatting sqref="K4:K161">
    <cfRule type="cellIs" dxfId="17" priority="1" operator="greaterThan">
      <formula>H4</formula>
    </cfRule>
  </conditionalFormatting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pageSetUpPr autoPageBreaks="0"/>
  </sheetPr>
  <dimension ref="A1:K51"/>
  <sheetViews>
    <sheetView showGridLines="0" workbookViewId="0">
      <selection activeCell="D12" sqref="D12:D13"/>
    </sheetView>
  </sheetViews>
  <sheetFormatPr baseColWidth="10" defaultRowHeight="15" x14ac:dyDescent="0.3"/>
  <cols>
    <col min="1" max="1" width="11.140625" style="231" customWidth="1"/>
    <col min="2" max="2" width="13.28515625" style="231" customWidth="1"/>
    <col min="3" max="3" width="15.7109375" style="231" customWidth="1"/>
    <col min="4" max="4" width="11.5703125" style="231" bestFit="1" customWidth="1"/>
    <col min="5" max="5" width="11.85546875" style="231" bestFit="1" customWidth="1"/>
    <col min="6" max="6" width="12" style="231" customWidth="1"/>
    <col min="7" max="7" width="10.42578125" style="231" customWidth="1"/>
    <col min="8" max="8" width="10.7109375" style="231" hidden="1" customWidth="1"/>
    <col min="9" max="9" width="10.7109375" style="231" customWidth="1"/>
    <col min="10" max="10" width="13.7109375" style="231" customWidth="1"/>
    <col min="11" max="16384" width="11.42578125" style="231"/>
  </cols>
  <sheetData>
    <row r="1" spans="1:11" ht="24.75" thickTop="1" thickBot="1" x14ac:dyDescent="0.4">
      <c r="B1" s="232" t="s">
        <v>110</v>
      </c>
      <c r="C1" s="233"/>
      <c r="D1" s="233"/>
      <c r="E1" s="233"/>
      <c r="F1" s="234"/>
    </row>
    <row r="2" spans="1:11" ht="25.5" customHeight="1" thickTop="1" x14ac:dyDescent="0.3">
      <c r="A2" s="235" t="s">
        <v>111</v>
      </c>
    </row>
    <row r="3" spans="1:11" ht="18.75" x14ac:dyDescent="0.3">
      <c r="A3" s="236" t="s">
        <v>112</v>
      </c>
      <c r="B3" s="237"/>
      <c r="C3" s="238"/>
      <c r="D3" s="239"/>
      <c r="E3" s="240" t="s">
        <v>113</v>
      </c>
      <c r="F3" s="241"/>
      <c r="G3" s="242">
        <v>12</v>
      </c>
    </row>
    <row r="4" spans="1:11" ht="19.5" x14ac:dyDescent="0.35">
      <c r="A4" s="243" t="s">
        <v>114</v>
      </c>
      <c r="B4" s="244"/>
      <c r="C4" s="245">
        <f>'TAM Projet 1 (2)'!N3</f>
        <v>187250</v>
      </c>
      <c r="D4" s="246"/>
      <c r="E4" s="247" t="s">
        <v>115</v>
      </c>
      <c r="F4" s="248"/>
      <c r="G4" s="249">
        <f>(100/_d1t)/100</f>
        <v>8.3333333333333343E-2</v>
      </c>
    </row>
    <row r="5" spans="1:11" ht="18" x14ac:dyDescent="0.35">
      <c r="A5" s="250" t="s">
        <v>116</v>
      </c>
      <c r="B5" s="251"/>
      <c r="C5" s="252" t="s">
        <v>117</v>
      </c>
      <c r="D5" s="253">
        <v>1</v>
      </c>
    </row>
    <row r="6" spans="1:11" ht="18" x14ac:dyDescent="0.35">
      <c r="A6" s="254"/>
      <c r="B6" s="255"/>
      <c r="C6" s="252" t="s">
        <v>118</v>
      </c>
      <c r="D6" s="253">
        <v>1</v>
      </c>
    </row>
    <row r="7" spans="1:11" ht="18" x14ac:dyDescent="0.35">
      <c r="A7" s="256"/>
      <c r="B7" s="257"/>
      <c r="C7" s="258" t="s">
        <v>119</v>
      </c>
      <c r="D7" s="259">
        <v>2000</v>
      </c>
    </row>
    <row r="8" spans="1:11" x14ac:dyDescent="0.3">
      <c r="G8" s="260"/>
      <c r="H8" s="260">
        <f>LOOKUP(_m1t,_mois1,_cumul1)</f>
        <v>0</v>
      </c>
    </row>
    <row r="9" spans="1:11" ht="15.75" thickBot="1" x14ac:dyDescent="0.35">
      <c r="G9" s="261"/>
      <c r="H9" s="261"/>
    </row>
    <row r="10" spans="1:11" ht="18.75" thickBot="1" x14ac:dyDescent="0.4">
      <c r="B10" s="262" t="s">
        <v>120</v>
      </c>
      <c r="C10" s="262" t="s">
        <v>121</v>
      </c>
      <c r="D10" s="262" t="s">
        <v>122</v>
      </c>
      <c r="E10" s="262" t="s">
        <v>123</v>
      </c>
      <c r="F10" s="262" t="s">
        <v>124</v>
      </c>
      <c r="G10" s="261"/>
      <c r="H10" s="261"/>
    </row>
    <row r="11" spans="1:11" x14ac:dyDescent="0.3">
      <c r="B11" s="263">
        <f>_a1t</f>
        <v>2000</v>
      </c>
      <c r="C11" s="264">
        <f>_vo1t</f>
        <v>187250</v>
      </c>
      <c r="D11" s="264">
        <v>6250</v>
      </c>
      <c r="E11" s="264">
        <f>D11</f>
        <v>6250</v>
      </c>
      <c r="F11" s="264">
        <f t="shared" ref="F11:F29" si="0">IF(_nbr1t&lt;1,"",C11-E11)</f>
        <v>181000</v>
      </c>
      <c r="G11" s="261"/>
      <c r="H11" s="261">
        <f>IF(AND(_j1t=1,_m1t=1),_d1t,_d1t+1)</f>
        <v>12</v>
      </c>
    </row>
    <row r="12" spans="1:11" x14ac:dyDescent="0.3">
      <c r="B12" s="263">
        <f t="shared" ref="B12:B29" si="1">IF(_nbr1t&lt;1,"",B11+1)</f>
        <v>2001</v>
      </c>
      <c r="C12" s="265">
        <f t="shared" ref="C12:C29" si="2">IF(_nbr1t&lt;1,"",_vo1t)</f>
        <v>187250</v>
      </c>
      <c r="D12" s="265">
        <f t="shared" ref="D12:D29" si="3">IF(_nbr1t&lt;1,"",IF(_d1t&lt;$H$11,IF(_nbr1t=1,_ann1t-_an1t,_vo1t*_t1t),_vo1t*_t1t))</f>
        <v>15604.166666666668</v>
      </c>
      <c r="E12" s="265">
        <f t="shared" ref="E12:E29" si="4">IF(_nbr1t&lt;1,"",E11+D12)</f>
        <v>21854.166666666668</v>
      </c>
      <c r="F12" s="265">
        <f t="shared" si="0"/>
        <v>165395.83333333334</v>
      </c>
      <c r="G12" s="261"/>
      <c r="H12" s="261">
        <f t="shared" ref="H12:H29" si="5">H11-1</f>
        <v>11</v>
      </c>
      <c r="J12" s="266" t="s">
        <v>125</v>
      </c>
      <c r="K12" s="266" t="s">
        <v>126</v>
      </c>
    </row>
    <row r="13" spans="1:11" x14ac:dyDescent="0.3">
      <c r="B13" s="263">
        <f t="shared" si="1"/>
        <v>2002</v>
      </c>
      <c r="C13" s="265">
        <f t="shared" si="2"/>
        <v>187250</v>
      </c>
      <c r="D13" s="265">
        <f t="shared" si="3"/>
        <v>15604.166666666668</v>
      </c>
      <c r="E13" s="265">
        <f t="shared" si="4"/>
        <v>37458.333333333336</v>
      </c>
      <c r="F13" s="265">
        <f t="shared" si="0"/>
        <v>149791.66666666666</v>
      </c>
      <c r="G13" s="261"/>
      <c r="H13" s="261">
        <f t="shared" si="5"/>
        <v>10</v>
      </c>
      <c r="J13" s="266" t="s">
        <v>39</v>
      </c>
      <c r="K13" s="266" t="s">
        <v>127</v>
      </c>
    </row>
    <row r="14" spans="1:11" x14ac:dyDescent="0.3">
      <c r="B14" s="263">
        <f t="shared" si="1"/>
        <v>2003</v>
      </c>
      <c r="C14" s="265">
        <f t="shared" si="2"/>
        <v>187250</v>
      </c>
      <c r="D14" s="265">
        <f t="shared" si="3"/>
        <v>15604.166666666668</v>
      </c>
      <c r="E14" s="265">
        <f t="shared" si="4"/>
        <v>53062.5</v>
      </c>
      <c r="F14" s="265">
        <f t="shared" si="0"/>
        <v>134187.5</v>
      </c>
      <c r="G14" s="261"/>
      <c r="H14" s="261">
        <f t="shared" si="5"/>
        <v>9</v>
      </c>
      <c r="J14" s="266" t="s">
        <v>128</v>
      </c>
      <c r="K14" s="266" t="s">
        <v>129</v>
      </c>
    </row>
    <row r="15" spans="1:11" x14ac:dyDescent="0.3">
      <c r="B15" s="263">
        <f t="shared" si="1"/>
        <v>2004</v>
      </c>
      <c r="C15" s="265">
        <f t="shared" si="2"/>
        <v>187250</v>
      </c>
      <c r="D15" s="265">
        <f t="shared" si="3"/>
        <v>15604.166666666668</v>
      </c>
      <c r="E15" s="265">
        <f t="shared" si="4"/>
        <v>68666.666666666672</v>
      </c>
      <c r="F15" s="265">
        <f t="shared" si="0"/>
        <v>118583.33333333333</v>
      </c>
      <c r="G15" s="261"/>
      <c r="H15" s="261">
        <f t="shared" si="5"/>
        <v>8</v>
      </c>
      <c r="J15" s="266" t="s">
        <v>130</v>
      </c>
      <c r="K15" s="266" t="s">
        <v>131</v>
      </c>
    </row>
    <row r="16" spans="1:11" x14ac:dyDescent="0.3">
      <c r="B16" s="263">
        <f t="shared" si="1"/>
        <v>2005</v>
      </c>
      <c r="C16" s="265">
        <f t="shared" si="2"/>
        <v>187250</v>
      </c>
      <c r="D16" s="265">
        <f t="shared" si="3"/>
        <v>15604.166666666668</v>
      </c>
      <c r="E16" s="265">
        <f t="shared" si="4"/>
        <v>84270.833333333343</v>
      </c>
      <c r="F16" s="265">
        <f t="shared" si="0"/>
        <v>102979.16666666666</v>
      </c>
      <c r="G16" s="261"/>
      <c r="H16" s="261">
        <f t="shared" si="5"/>
        <v>7</v>
      </c>
      <c r="J16" s="266" t="s">
        <v>132</v>
      </c>
      <c r="K16" s="266" t="s">
        <v>133</v>
      </c>
    </row>
    <row r="17" spans="2:11" x14ac:dyDescent="0.3">
      <c r="B17" s="263">
        <f t="shared" si="1"/>
        <v>2006</v>
      </c>
      <c r="C17" s="265">
        <f t="shared" si="2"/>
        <v>187250</v>
      </c>
      <c r="D17" s="265">
        <f t="shared" si="3"/>
        <v>15604.166666666668</v>
      </c>
      <c r="E17" s="265">
        <f t="shared" si="4"/>
        <v>99875.000000000015</v>
      </c>
      <c r="F17" s="265">
        <f t="shared" si="0"/>
        <v>87374.999999999985</v>
      </c>
      <c r="G17" s="261"/>
      <c r="H17" s="261">
        <f t="shared" si="5"/>
        <v>6</v>
      </c>
      <c r="J17" s="266" t="s">
        <v>134</v>
      </c>
      <c r="K17" s="266" t="s">
        <v>135</v>
      </c>
    </row>
    <row r="18" spans="2:11" x14ac:dyDescent="0.3">
      <c r="B18" s="263">
        <f t="shared" si="1"/>
        <v>2007</v>
      </c>
      <c r="C18" s="265">
        <f t="shared" si="2"/>
        <v>187250</v>
      </c>
      <c r="D18" s="265">
        <f t="shared" si="3"/>
        <v>15604.166666666668</v>
      </c>
      <c r="E18" s="265">
        <f t="shared" si="4"/>
        <v>115479.16666666669</v>
      </c>
      <c r="F18" s="265">
        <f t="shared" si="0"/>
        <v>71770.833333333314</v>
      </c>
      <c r="G18" s="261"/>
      <c r="H18" s="261">
        <f t="shared" si="5"/>
        <v>5</v>
      </c>
      <c r="J18" s="266" t="s">
        <v>136</v>
      </c>
      <c r="K18" s="266" t="s">
        <v>137</v>
      </c>
    </row>
    <row r="19" spans="2:11" x14ac:dyDescent="0.3">
      <c r="B19" s="263">
        <f t="shared" si="1"/>
        <v>2008</v>
      </c>
      <c r="C19" s="265">
        <f t="shared" si="2"/>
        <v>187250</v>
      </c>
      <c r="D19" s="265">
        <f t="shared" si="3"/>
        <v>15604.166666666668</v>
      </c>
      <c r="E19" s="265">
        <f t="shared" si="4"/>
        <v>131083.33333333334</v>
      </c>
      <c r="F19" s="265">
        <f t="shared" si="0"/>
        <v>56166.666666666657</v>
      </c>
      <c r="G19" s="261"/>
      <c r="H19" s="261">
        <f t="shared" si="5"/>
        <v>4</v>
      </c>
      <c r="J19" s="266" t="s">
        <v>138</v>
      </c>
      <c r="K19" s="266" t="s">
        <v>139</v>
      </c>
    </row>
    <row r="20" spans="2:11" x14ac:dyDescent="0.3">
      <c r="B20" s="263">
        <f t="shared" si="1"/>
        <v>2009</v>
      </c>
      <c r="C20" s="265">
        <f t="shared" si="2"/>
        <v>187250</v>
      </c>
      <c r="D20" s="265">
        <f t="shared" si="3"/>
        <v>15604.166666666668</v>
      </c>
      <c r="E20" s="265">
        <f t="shared" si="4"/>
        <v>146687.5</v>
      </c>
      <c r="F20" s="265">
        <f t="shared" si="0"/>
        <v>40562.5</v>
      </c>
      <c r="G20" s="261"/>
      <c r="H20" s="261">
        <f t="shared" si="5"/>
        <v>3</v>
      </c>
      <c r="J20" s="266" t="s">
        <v>140</v>
      </c>
      <c r="K20" s="266" t="s">
        <v>141</v>
      </c>
    </row>
    <row r="21" spans="2:11" x14ac:dyDescent="0.3">
      <c r="B21" s="263">
        <f t="shared" si="1"/>
        <v>2010</v>
      </c>
      <c r="C21" s="265">
        <f t="shared" si="2"/>
        <v>187250</v>
      </c>
      <c r="D21" s="265">
        <f t="shared" si="3"/>
        <v>15604.166666666668</v>
      </c>
      <c r="E21" s="265">
        <f t="shared" si="4"/>
        <v>162291.66666666666</v>
      </c>
      <c r="F21" s="265">
        <f t="shared" si="0"/>
        <v>24958.333333333343</v>
      </c>
      <c r="G21" s="261"/>
      <c r="H21" s="261">
        <f t="shared" si="5"/>
        <v>2</v>
      </c>
      <c r="J21" s="266" t="s">
        <v>142</v>
      </c>
      <c r="K21" s="266" t="s">
        <v>143</v>
      </c>
    </row>
    <row r="22" spans="2:11" x14ac:dyDescent="0.3">
      <c r="B22" s="263">
        <f t="shared" si="1"/>
        <v>2011</v>
      </c>
      <c r="C22" s="265">
        <f t="shared" si="2"/>
        <v>187250</v>
      </c>
      <c r="D22" s="265">
        <f t="shared" si="3"/>
        <v>15604.166666666668</v>
      </c>
      <c r="E22" s="265">
        <f t="shared" si="4"/>
        <v>177895.83333333331</v>
      </c>
      <c r="F22" s="265">
        <f t="shared" si="0"/>
        <v>9354.1666666666861</v>
      </c>
      <c r="G22" s="261"/>
      <c r="H22" s="261">
        <f t="shared" si="5"/>
        <v>1</v>
      </c>
      <c r="J22" s="266" t="s">
        <v>144</v>
      </c>
      <c r="K22" s="266" t="s">
        <v>145</v>
      </c>
    </row>
    <row r="23" spans="2:11" x14ac:dyDescent="0.3">
      <c r="B23" s="263" t="str">
        <f t="shared" si="1"/>
        <v/>
      </c>
      <c r="C23" s="265" t="str">
        <f t="shared" si="2"/>
        <v/>
      </c>
      <c r="D23" s="265" t="str">
        <f t="shared" si="3"/>
        <v/>
      </c>
      <c r="E23" s="265" t="str">
        <f t="shared" si="4"/>
        <v/>
      </c>
      <c r="F23" s="265" t="str">
        <f t="shared" si="0"/>
        <v/>
      </c>
      <c r="G23" s="261"/>
      <c r="H23" s="261">
        <f t="shared" si="5"/>
        <v>0</v>
      </c>
      <c r="J23" s="266" t="s">
        <v>146</v>
      </c>
      <c r="K23" s="266" t="s">
        <v>147</v>
      </c>
    </row>
    <row r="24" spans="2:11" x14ac:dyDescent="0.3">
      <c r="B24" s="263" t="str">
        <f t="shared" si="1"/>
        <v/>
      </c>
      <c r="C24" s="265" t="str">
        <f t="shared" si="2"/>
        <v/>
      </c>
      <c r="D24" s="265" t="str">
        <f t="shared" si="3"/>
        <v/>
      </c>
      <c r="E24" s="265" t="str">
        <f t="shared" si="4"/>
        <v/>
      </c>
      <c r="F24" s="265" t="str">
        <f t="shared" si="0"/>
        <v/>
      </c>
      <c r="G24" s="261"/>
      <c r="H24" s="261">
        <f t="shared" si="5"/>
        <v>-1</v>
      </c>
    </row>
    <row r="25" spans="2:11" x14ac:dyDescent="0.3">
      <c r="B25" s="263" t="str">
        <f t="shared" si="1"/>
        <v/>
      </c>
      <c r="C25" s="265" t="str">
        <f t="shared" si="2"/>
        <v/>
      </c>
      <c r="D25" s="265" t="str">
        <f t="shared" si="3"/>
        <v/>
      </c>
      <c r="E25" s="265" t="str">
        <f t="shared" si="4"/>
        <v/>
      </c>
      <c r="F25" s="265" t="str">
        <f t="shared" si="0"/>
        <v/>
      </c>
      <c r="G25" s="261"/>
      <c r="H25" s="261">
        <f t="shared" si="5"/>
        <v>-2</v>
      </c>
    </row>
    <row r="26" spans="2:11" x14ac:dyDescent="0.3">
      <c r="B26" s="263" t="str">
        <f t="shared" si="1"/>
        <v/>
      </c>
      <c r="C26" s="265" t="str">
        <f t="shared" si="2"/>
        <v/>
      </c>
      <c r="D26" s="265" t="str">
        <f t="shared" si="3"/>
        <v/>
      </c>
      <c r="E26" s="265" t="str">
        <f t="shared" si="4"/>
        <v/>
      </c>
      <c r="F26" s="265" t="str">
        <f t="shared" si="0"/>
        <v/>
      </c>
      <c r="G26" s="261"/>
      <c r="H26" s="261">
        <f t="shared" si="5"/>
        <v>-3</v>
      </c>
    </row>
    <row r="27" spans="2:11" x14ac:dyDescent="0.3">
      <c r="B27" s="263" t="str">
        <f t="shared" si="1"/>
        <v/>
      </c>
      <c r="C27" s="265" t="str">
        <f t="shared" si="2"/>
        <v/>
      </c>
      <c r="D27" s="265" t="str">
        <f t="shared" si="3"/>
        <v/>
      </c>
      <c r="E27" s="265" t="str">
        <f t="shared" si="4"/>
        <v/>
      </c>
      <c r="F27" s="265" t="str">
        <f t="shared" si="0"/>
        <v/>
      </c>
      <c r="G27" s="261"/>
      <c r="H27" s="261">
        <f t="shared" si="5"/>
        <v>-4</v>
      </c>
    </row>
    <row r="28" spans="2:11" x14ac:dyDescent="0.3">
      <c r="B28" s="263" t="str">
        <f t="shared" si="1"/>
        <v/>
      </c>
      <c r="C28" s="265" t="str">
        <f t="shared" si="2"/>
        <v/>
      </c>
      <c r="D28" s="265" t="str">
        <f t="shared" si="3"/>
        <v/>
      </c>
      <c r="E28" s="265" t="str">
        <f t="shared" si="4"/>
        <v/>
      </c>
      <c r="F28" s="265" t="str">
        <f t="shared" si="0"/>
        <v/>
      </c>
      <c r="G28" s="261"/>
      <c r="H28" s="261">
        <f t="shared" si="5"/>
        <v>-5</v>
      </c>
    </row>
    <row r="29" spans="2:11" ht="15.75" thickBot="1" x14ac:dyDescent="0.35">
      <c r="B29" s="267" t="str">
        <f t="shared" si="1"/>
        <v/>
      </c>
      <c r="C29" s="268" t="str">
        <f t="shared" si="2"/>
        <v/>
      </c>
      <c r="D29" s="268" t="str">
        <f t="shared" si="3"/>
        <v/>
      </c>
      <c r="E29" s="268" t="str">
        <f t="shared" si="4"/>
        <v/>
      </c>
      <c r="F29" s="268" t="str">
        <f t="shared" si="0"/>
        <v/>
      </c>
      <c r="G29" s="261"/>
      <c r="H29" s="261">
        <f t="shared" si="5"/>
        <v>-6</v>
      </c>
    </row>
    <row r="30" spans="2:11" x14ac:dyDescent="0.3">
      <c r="B30" s="269"/>
      <c r="C30" s="269"/>
      <c r="D30" s="269"/>
      <c r="E30" s="269"/>
      <c r="F30" s="269"/>
    </row>
    <row r="40" spans="3:4" x14ac:dyDescent="0.3">
      <c r="C40" s="231">
        <v>1</v>
      </c>
      <c r="D40" s="231">
        <v>0</v>
      </c>
    </row>
    <row r="41" spans="3:4" x14ac:dyDescent="0.3">
      <c r="C41" s="231">
        <v>2</v>
      </c>
      <c r="D41" s="231">
        <v>31</v>
      </c>
    </row>
    <row r="42" spans="3:4" x14ac:dyDescent="0.3">
      <c r="C42" s="231">
        <v>3</v>
      </c>
      <c r="D42" s="231">
        <v>59</v>
      </c>
    </row>
    <row r="43" spans="3:4" x14ac:dyDescent="0.3">
      <c r="C43" s="231">
        <v>4</v>
      </c>
      <c r="D43" s="231">
        <v>90</v>
      </c>
    </row>
    <row r="44" spans="3:4" x14ac:dyDescent="0.3">
      <c r="C44" s="231">
        <v>5</v>
      </c>
      <c r="D44" s="231">
        <v>120</v>
      </c>
    </row>
    <row r="45" spans="3:4" x14ac:dyDescent="0.3">
      <c r="C45" s="231">
        <v>6</v>
      </c>
      <c r="D45" s="231">
        <v>151</v>
      </c>
    </row>
    <row r="46" spans="3:4" x14ac:dyDescent="0.3">
      <c r="C46" s="231">
        <v>7</v>
      </c>
      <c r="D46" s="231">
        <v>181</v>
      </c>
    </row>
    <row r="47" spans="3:4" x14ac:dyDescent="0.3">
      <c r="C47" s="231">
        <v>8</v>
      </c>
      <c r="D47" s="231">
        <v>212</v>
      </c>
    </row>
    <row r="48" spans="3:4" x14ac:dyDescent="0.3">
      <c r="C48" s="231">
        <v>9</v>
      </c>
      <c r="D48" s="231">
        <v>243</v>
      </c>
    </row>
    <row r="49" spans="3:4" x14ac:dyDescent="0.3">
      <c r="C49" s="231">
        <v>10</v>
      </c>
      <c r="D49" s="231">
        <v>273</v>
      </c>
    </row>
    <row r="50" spans="3:4" x14ac:dyDescent="0.3">
      <c r="C50" s="231">
        <v>11</v>
      </c>
      <c r="D50" s="231">
        <v>304</v>
      </c>
    </row>
    <row r="51" spans="3:4" x14ac:dyDescent="0.3">
      <c r="C51" s="231">
        <v>12</v>
      </c>
      <c r="D51" s="231">
        <v>334</v>
      </c>
    </row>
  </sheetData>
  <printOptions gridLinesSet="0"/>
  <pageMargins left="0.7" right="0.7" top="0.75" bottom="0.75" header="0.4921259845" footer="0.4921259845"/>
  <pageSetup paperSize="9" orientation="portrait" horizontalDpi="360" verticalDpi="360"/>
  <headerFooter>
    <oddHeader>&amp;F</oddHeader>
    <oddFooter>Page &amp;P</oddFooter>
  </headerFooter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>
    <pageSetUpPr autoPageBreaks="0"/>
  </sheetPr>
  <dimension ref="A1:L32"/>
  <sheetViews>
    <sheetView showGridLines="0" workbookViewId="0">
      <selection activeCell="C4" sqref="C4"/>
    </sheetView>
  </sheetViews>
  <sheetFormatPr baseColWidth="10" defaultRowHeight="15" x14ac:dyDescent="0.3"/>
  <cols>
    <col min="1" max="1" width="11.140625" style="231" customWidth="1"/>
    <col min="2" max="2" width="13.140625" style="231" customWidth="1"/>
    <col min="3" max="3" width="17.140625" style="231" customWidth="1"/>
    <col min="4" max="5" width="11.42578125" style="231"/>
    <col min="6" max="6" width="14" style="231" customWidth="1"/>
    <col min="7" max="7" width="9.85546875" style="231" customWidth="1"/>
    <col min="8" max="8" width="3.42578125" style="231" hidden="1" customWidth="1"/>
    <col min="9" max="9" width="10.7109375" style="231" hidden="1" customWidth="1"/>
    <col min="10" max="16384" width="11.42578125" style="231"/>
  </cols>
  <sheetData>
    <row r="1" spans="1:12" ht="24.75" thickTop="1" thickBot="1" x14ac:dyDescent="0.4">
      <c r="B1" s="232" t="s">
        <v>148</v>
      </c>
      <c r="C1" s="233"/>
      <c r="D1" s="233"/>
      <c r="E1" s="233"/>
      <c r="F1" s="234"/>
      <c r="G1" s="270"/>
    </row>
    <row r="2" spans="1:12" ht="26.25" customHeight="1" thickTop="1" x14ac:dyDescent="0.3">
      <c r="A2" s="235" t="s">
        <v>111</v>
      </c>
      <c r="B2" s="270"/>
      <c r="C2" s="270"/>
      <c r="D2" s="270"/>
      <c r="E2" s="270"/>
      <c r="F2" s="270"/>
      <c r="G2" s="270"/>
    </row>
    <row r="3" spans="1:12" ht="18.75" x14ac:dyDescent="0.3">
      <c r="A3" s="236" t="s">
        <v>112</v>
      </c>
      <c r="B3" s="237"/>
      <c r="C3" s="238"/>
      <c r="D3" s="239"/>
      <c r="E3" s="240" t="s">
        <v>113</v>
      </c>
      <c r="F3" s="241"/>
      <c r="G3" s="242">
        <v>20</v>
      </c>
    </row>
    <row r="4" spans="1:12" ht="19.5" x14ac:dyDescent="0.35">
      <c r="A4" s="243" t="s">
        <v>114</v>
      </c>
      <c r="B4" s="244"/>
      <c r="C4" s="245">
        <f>'TAM Projet 1 (2)'!N3</f>
        <v>187250</v>
      </c>
      <c r="D4" s="246"/>
      <c r="E4" s="247" t="s">
        <v>115</v>
      </c>
      <c r="F4" s="248"/>
      <c r="G4" s="249">
        <f>IF(OR(_duree1t=3,_duree1t=4),((100/_duree1t)/100)*1.5,IF(OR(_duree1t=5,_duree1t=6),((100/_duree1t)/100)*2,((100/_duree1t)/100)*2.5))</f>
        <v>0.125</v>
      </c>
    </row>
    <row r="5" spans="1:12" ht="18" x14ac:dyDescent="0.35">
      <c r="A5" s="250" t="s">
        <v>149</v>
      </c>
      <c r="B5" s="251"/>
      <c r="C5" s="252" t="s">
        <v>117</v>
      </c>
      <c r="D5" s="253">
        <v>1</v>
      </c>
      <c r="E5" s="270"/>
      <c r="F5" s="270"/>
      <c r="G5" s="270"/>
    </row>
    <row r="6" spans="1:12" ht="18" x14ac:dyDescent="0.35">
      <c r="A6" s="254"/>
      <c r="B6" s="255"/>
      <c r="C6" s="252" t="s">
        <v>118</v>
      </c>
      <c r="D6" s="253">
        <v>1</v>
      </c>
      <c r="E6" s="270"/>
      <c r="F6" s="270"/>
      <c r="G6" s="270"/>
    </row>
    <row r="7" spans="1:12" ht="18" x14ac:dyDescent="0.35">
      <c r="A7" s="256"/>
      <c r="B7" s="257"/>
      <c r="C7" s="258" t="s">
        <v>119</v>
      </c>
      <c r="D7" s="259">
        <v>2000</v>
      </c>
      <c r="E7" s="270"/>
      <c r="F7" s="270"/>
      <c r="G7" s="270"/>
    </row>
    <row r="8" spans="1:12" x14ac:dyDescent="0.3">
      <c r="B8" s="270"/>
      <c r="C8" s="270"/>
      <c r="D8" s="270"/>
      <c r="E8" s="270"/>
      <c r="F8" s="270"/>
      <c r="G8" s="260"/>
      <c r="H8" s="260"/>
    </row>
    <row r="9" spans="1:12" ht="15.75" thickBot="1" x14ac:dyDescent="0.35">
      <c r="B9" s="270"/>
      <c r="C9" s="270"/>
      <c r="D9" s="270"/>
      <c r="E9" s="270"/>
      <c r="F9" s="270"/>
      <c r="G9" s="260"/>
      <c r="H9" s="261"/>
    </row>
    <row r="10" spans="1:12" ht="18.75" thickBot="1" x14ac:dyDescent="0.4">
      <c r="B10" s="262" t="s">
        <v>120</v>
      </c>
      <c r="C10" s="262" t="s">
        <v>150</v>
      </c>
      <c r="D10" s="262" t="s">
        <v>122</v>
      </c>
      <c r="E10" s="262" t="s">
        <v>123</v>
      </c>
      <c r="F10" s="262" t="s">
        <v>151</v>
      </c>
      <c r="G10" s="260"/>
      <c r="H10" s="261"/>
      <c r="I10" s="271"/>
    </row>
    <row r="11" spans="1:12" x14ac:dyDescent="0.3">
      <c r="B11" s="272">
        <f>_anneedebut1</f>
        <v>2000</v>
      </c>
      <c r="C11" s="273">
        <f>_vncdebut1</f>
        <v>187250</v>
      </c>
      <c r="D11" s="275">
        <f>C11*_tauxdeg1</f>
        <v>23406.25</v>
      </c>
      <c r="E11" s="273">
        <f>D11</f>
        <v>23406.25</v>
      </c>
      <c r="F11" s="273">
        <f>C11-E11</f>
        <v>163843.75</v>
      </c>
      <c r="G11" s="260"/>
      <c r="H11" s="261">
        <f>_duree1t</f>
        <v>20</v>
      </c>
      <c r="I11" s="271">
        <f>(100/H11)/100</f>
        <v>0.05</v>
      </c>
    </row>
    <row r="12" spans="1:12" x14ac:dyDescent="0.3">
      <c r="B12" s="274">
        <f>IF(_lignes1&lt;1,"",B11+1)</f>
        <v>2001</v>
      </c>
      <c r="C12" s="275">
        <f>IF(_lignes1&lt;1,"",F11)</f>
        <v>163843.75</v>
      </c>
      <c r="D12" s="275">
        <f>C12*_tauxdeg1</f>
        <v>20480.46875</v>
      </c>
      <c r="E12" s="275">
        <f>IF(_lignes1&lt;1,"",E11+D12)</f>
        <v>43886.71875</v>
      </c>
      <c r="F12" s="275">
        <f>IF(_lignes1&lt;1,"",C12-D12)</f>
        <v>143363.28125</v>
      </c>
      <c r="G12" s="260"/>
      <c r="H12" s="261">
        <f>H11-1</f>
        <v>19</v>
      </c>
      <c r="I12" s="271">
        <f t="shared" ref="I12:I27" si="0">(100/H12)/100</f>
        <v>5.2631578947368425E-2</v>
      </c>
      <c r="K12" s="266" t="s">
        <v>152</v>
      </c>
      <c r="L12" s="266" t="s">
        <v>153</v>
      </c>
    </row>
    <row r="13" spans="1:12" x14ac:dyDescent="0.3">
      <c r="B13" s="274">
        <f t="shared" ref="B13:B28" si="1">IF(_lignes1&lt;1,"",B12+1)</f>
        <v>2002</v>
      </c>
      <c r="C13" s="275">
        <f t="shared" ref="C13:C28" si="2">IF(_lignes1&lt;1,"",F12)</f>
        <v>143363.28125</v>
      </c>
      <c r="D13" s="275">
        <f>IF(_lignes1&lt;1,"",IF(_tauxlin1&gt;_tauxdeg1,C13*_tauxlin1,C13*_tauxdeg1))</f>
        <v>17920.41015625</v>
      </c>
      <c r="E13" s="275">
        <f t="shared" ref="E13:E28" si="3">IF(_lignes1&lt;1,"",E12+D13)</f>
        <v>61807.12890625</v>
      </c>
      <c r="F13" s="275">
        <f t="shared" ref="F13:F28" si="4">IF(_lignes1&lt;1,"",C13-D13)</f>
        <v>125442.87109375</v>
      </c>
      <c r="G13" s="260"/>
      <c r="H13" s="261">
        <f t="shared" ref="H13:H28" si="5">H12-1</f>
        <v>18</v>
      </c>
      <c r="I13" s="271">
        <f t="shared" si="0"/>
        <v>5.5555555555555552E-2</v>
      </c>
      <c r="K13" s="266" t="s">
        <v>154</v>
      </c>
      <c r="L13" s="266" t="s">
        <v>155</v>
      </c>
    </row>
    <row r="14" spans="1:12" x14ac:dyDescent="0.3">
      <c r="B14" s="274">
        <f t="shared" si="1"/>
        <v>2003</v>
      </c>
      <c r="C14" s="275">
        <f t="shared" si="2"/>
        <v>125442.87109375</v>
      </c>
      <c r="D14" s="275">
        <f t="shared" ref="D14:D29" si="6">IF(_lignes1&lt;1,"",IF(_tauxlin1&gt;_tauxdeg1,C14*_tauxlin1,C14*_tauxdeg1))</f>
        <v>15680.35888671875</v>
      </c>
      <c r="E14" s="275">
        <f t="shared" si="3"/>
        <v>77487.48779296875</v>
      </c>
      <c r="F14" s="275">
        <f t="shared" si="4"/>
        <v>109762.51220703125</v>
      </c>
      <c r="G14" s="260"/>
      <c r="H14" s="261">
        <f t="shared" si="5"/>
        <v>17</v>
      </c>
      <c r="I14" s="271">
        <f t="shared" si="0"/>
        <v>5.8823529411764712E-2</v>
      </c>
      <c r="K14" s="266" t="s">
        <v>156</v>
      </c>
      <c r="L14" s="266" t="s">
        <v>157</v>
      </c>
    </row>
    <row r="15" spans="1:12" x14ac:dyDescent="0.3">
      <c r="B15" s="274">
        <f t="shared" si="1"/>
        <v>2004</v>
      </c>
      <c r="C15" s="275">
        <f t="shared" si="2"/>
        <v>109762.51220703125</v>
      </c>
      <c r="D15" s="275">
        <f t="shared" si="6"/>
        <v>13720.314025878906</v>
      </c>
      <c r="E15" s="275">
        <f t="shared" si="3"/>
        <v>91207.801818847656</v>
      </c>
      <c r="F15" s="275">
        <f t="shared" si="4"/>
        <v>96042.198181152344</v>
      </c>
      <c r="G15" s="260"/>
      <c r="H15" s="261">
        <f t="shared" si="5"/>
        <v>16</v>
      </c>
      <c r="I15" s="271">
        <f t="shared" si="0"/>
        <v>6.25E-2</v>
      </c>
      <c r="K15" s="266" t="s">
        <v>158</v>
      </c>
      <c r="L15" s="266" t="s">
        <v>159</v>
      </c>
    </row>
    <row r="16" spans="1:12" x14ac:dyDescent="0.3">
      <c r="B16" s="274">
        <f t="shared" si="1"/>
        <v>2005</v>
      </c>
      <c r="C16" s="275">
        <f t="shared" si="2"/>
        <v>96042.198181152344</v>
      </c>
      <c r="D16" s="275">
        <f t="shared" si="6"/>
        <v>12005.274772644043</v>
      </c>
      <c r="E16" s="275">
        <f t="shared" si="3"/>
        <v>103213.0765914917</v>
      </c>
      <c r="F16" s="275">
        <f t="shared" si="4"/>
        <v>84036.923408508301</v>
      </c>
      <c r="G16" s="260"/>
      <c r="H16" s="261">
        <f t="shared" si="5"/>
        <v>15</v>
      </c>
      <c r="I16" s="271">
        <f t="shared" si="0"/>
        <v>6.6666666666666666E-2</v>
      </c>
      <c r="K16" s="266" t="s">
        <v>160</v>
      </c>
      <c r="L16" s="266" t="s">
        <v>161</v>
      </c>
    </row>
    <row r="17" spans="2:12" x14ac:dyDescent="0.3">
      <c r="B17" s="274">
        <f t="shared" si="1"/>
        <v>2006</v>
      </c>
      <c r="C17" s="275">
        <f t="shared" si="2"/>
        <v>84036.923408508301</v>
      </c>
      <c r="D17" s="275">
        <f t="shared" si="6"/>
        <v>10504.615426063538</v>
      </c>
      <c r="E17" s="275">
        <f t="shared" si="3"/>
        <v>113717.69201755524</v>
      </c>
      <c r="F17" s="275">
        <f t="shared" si="4"/>
        <v>73532.307982444763</v>
      </c>
      <c r="G17" s="260"/>
      <c r="H17" s="261">
        <f t="shared" si="5"/>
        <v>14</v>
      </c>
      <c r="I17" s="271">
        <f t="shared" si="0"/>
        <v>7.1428571428571438E-2</v>
      </c>
      <c r="K17" s="266" t="s">
        <v>162</v>
      </c>
      <c r="L17" s="266" t="s">
        <v>163</v>
      </c>
    </row>
    <row r="18" spans="2:12" x14ac:dyDescent="0.3">
      <c r="B18" s="274">
        <f t="shared" si="1"/>
        <v>2007</v>
      </c>
      <c r="C18" s="275">
        <f t="shared" si="2"/>
        <v>73532.307982444763</v>
      </c>
      <c r="D18" s="275">
        <f t="shared" si="6"/>
        <v>9191.5384978055954</v>
      </c>
      <c r="E18" s="275">
        <f t="shared" si="3"/>
        <v>122909.23051536083</v>
      </c>
      <c r="F18" s="275">
        <f t="shared" si="4"/>
        <v>64340.769484639168</v>
      </c>
      <c r="G18" s="260"/>
      <c r="H18" s="261">
        <f t="shared" si="5"/>
        <v>13</v>
      </c>
      <c r="I18" s="271">
        <f t="shared" si="0"/>
        <v>7.6923076923076927E-2</v>
      </c>
      <c r="K18" s="266" t="s">
        <v>164</v>
      </c>
      <c r="L18" s="266" t="s">
        <v>165</v>
      </c>
    </row>
    <row r="19" spans="2:12" x14ac:dyDescent="0.3">
      <c r="B19" s="274">
        <f t="shared" si="1"/>
        <v>2008</v>
      </c>
      <c r="C19" s="275">
        <f t="shared" si="2"/>
        <v>64340.769484639168</v>
      </c>
      <c r="D19" s="275">
        <f t="shared" si="6"/>
        <v>8042.596185579896</v>
      </c>
      <c r="E19" s="275">
        <f t="shared" si="3"/>
        <v>130951.82670094073</v>
      </c>
      <c r="F19" s="275">
        <f t="shared" si="4"/>
        <v>56298.173299059272</v>
      </c>
      <c r="G19" s="260"/>
      <c r="H19" s="261">
        <f t="shared" si="5"/>
        <v>12</v>
      </c>
      <c r="I19" s="271">
        <f t="shared" si="0"/>
        <v>8.3333333333333343E-2</v>
      </c>
    </row>
    <row r="20" spans="2:12" x14ac:dyDescent="0.3">
      <c r="B20" s="274">
        <f t="shared" si="1"/>
        <v>2009</v>
      </c>
      <c r="C20" s="275">
        <f t="shared" si="2"/>
        <v>56298.173299059272</v>
      </c>
      <c r="D20" s="275">
        <f t="shared" si="6"/>
        <v>7037.271662382409</v>
      </c>
      <c r="E20" s="275">
        <f t="shared" si="3"/>
        <v>137989.09836332314</v>
      </c>
      <c r="F20" s="275">
        <f t="shared" si="4"/>
        <v>49260.901636676863</v>
      </c>
      <c r="G20" s="260"/>
      <c r="H20" s="261">
        <f t="shared" si="5"/>
        <v>11</v>
      </c>
      <c r="I20" s="271">
        <f t="shared" si="0"/>
        <v>9.0909090909090912E-2</v>
      </c>
    </row>
    <row r="21" spans="2:12" x14ac:dyDescent="0.3">
      <c r="B21" s="274">
        <f t="shared" si="1"/>
        <v>2010</v>
      </c>
      <c r="C21" s="275">
        <f t="shared" si="2"/>
        <v>49260.901636676863</v>
      </c>
      <c r="D21" s="275">
        <f t="shared" si="6"/>
        <v>6157.6127045846079</v>
      </c>
      <c r="E21" s="275">
        <f t="shared" si="3"/>
        <v>144146.71106790775</v>
      </c>
      <c r="F21" s="275">
        <f t="shared" si="4"/>
        <v>43103.288932092255</v>
      </c>
      <c r="G21" s="260"/>
      <c r="H21" s="261">
        <f t="shared" si="5"/>
        <v>10</v>
      </c>
      <c r="I21" s="271">
        <f t="shared" si="0"/>
        <v>0.1</v>
      </c>
    </row>
    <row r="22" spans="2:12" x14ac:dyDescent="0.3">
      <c r="B22" s="274">
        <f t="shared" si="1"/>
        <v>2011</v>
      </c>
      <c r="C22" s="275">
        <f t="shared" si="2"/>
        <v>43103.288932092255</v>
      </c>
      <c r="D22" s="275">
        <f t="shared" si="6"/>
        <v>5387.9111165115319</v>
      </c>
      <c r="E22" s="275">
        <f t="shared" si="3"/>
        <v>149534.62218441928</v>
      </c>
      <c r="F22" s="275">
        <f t="shared" si="4"/>
        <v>37715.377815580723</v>
      </c>
      <c r="G22" s="260"/>
      <c r="H22" s="261">
        <f t="shared" si="5"/>
        <v>9</v>
      </c>
      <c r="I22" s="271">
        <f t="shared" si="0"/>
        <v>0.1111111111111111</v>
      </c>
      <c r="K22" s="266"/>
    </row>
    <row r="23" spans="2:12" x14ac:dyDescent="0.3">
      <c r="B23" s="274">
        <f t="shared" si="1"/>
        <v>2012</v>
      </c>
      <c r="C23" s="275">
        <f t="shared" si="2"/>
        <v>37715.377815580723</v>
      </c>
      <c r="D23" s="275">
        <f t="shared" si="6"/>
        <v>4714.4222269475904</v>
      </c>
      <c r="E23" s="275">
        <f t="shared" si="3"/>
        <v>154249.04441136686</v>
      </c>
      <c r="F23" s="275">
        <f t="shared" si="4"/>
        <v>33000.955588633136</v>
      </c>
      <c r="G23" s="260"/>
      <c r="H23" s="261">
        <f t="shared" si="5"/>
        <v>8</v>
      </c>
      <c r="I23" s="271">
        <f t="shared" si="0"/>
        <v>0.125</v>
      </c>
    </row>
    <row r="24" spans="2:12" x14ac:dyDescent="0.3">
      <c r="B24" s="274">
        <f t="shared" si="1"/>
        <v>2013</v>
      </c>
      <c r="C24" s="275">
        <f t="shared" si="2"/>
        <v>33000.955588633136</v>
      </c>
      <c r="D24" s="275">
        <f t="shared" si="6"/>
        <v>4714.4222269475913</v>
      </c>
      <c r="E24" s="275">
        <f t="shared" si="3"/>
        <v>158963.46663831445</v>
      </c>
      <c r="F24" s="275">
        <f t="shared" si="4"/>
        <v>28286.533361685546</v>
      </c>
      <c r="G24" s="260"/>
      <c r="H24" s="261">
        <f t="shared" si="5"/>
        <v>7</v>
      </c>
      <c r="I24" s="271">
        <f t="shared" si="0"/>
        <v>0.14285714285714288</v>
      </c>
    </row>
    <row r="25" spans="2:12" x14ac:dyDescent="0.3">
      <c r="B25" s="274">
        <f t="shared" si="1"/>
        <v>2014</v>
      </c>
      <c r="C25" s="275">
        <f t="shared" si="2"/>
        <v>28286.533361685546</v>
      </c>
      <c r="D25" s="275">
        <f t="shared" si="6"/>
        <v>4714.4222269475913</v>
      </c>
      <c r="E25" s="275">
        <f t="shared" si="3"/>
        <v>163677.88886526204</v>
      </c>
      <c r="F25" s="275">
        <f t="shared" si="4"/>
        <v>23572.111134737956</v>
      </c>
      <c r="G25" s="260"/>
      <c r="H25" s="261">
        <f t="shared" si="5"/>
        <v>6</v>
      </c>
      <c r="I25" s="271">
        <f t="shared" si="0"/>
        <v>0.16666666666666669</v>
      </c>
    </row>
    <row r="26" spans="2:12" x14ac:dyDescent="0.3">
      <c r="B26" s="274">
        <f t="shared" si="1"/>
        <v>2015</v>
      </c>
      <c r="C26" s="275">
        <f t="shared" si="2"/>
        <v>23572.111134737956</v>
      </c>
      <c r="D26" s="275">
        <f t="shared" si="6"/>
        <v>4714.4222269475913</v>
      </c>
      <c r="E26" s="275">
        <f t="shared" si="3"/>
        <v>168392.31109220962</v>
      </c>
      <c r="F26" s="275">
        <f t="shared" si="4"/>
        <v>18857.688907790365</v>
      </c>
      <c r="G26" s="260"/>
      <c r="H26" s="261">
        <f t="shared" si="5"/>
        <v>5</v>
      </c>
      <c r="I26" s="271">
        <f t="shared" si="0"/>
        <v>0.2</v>
      </c>
    </row>
    <row r="27" spans="2:12" x14ac:dyDescent="0.3">
      <c r="B27" s="274">
        <f t="shared" si="1"/>
        <v>2016</v>
      </c>
      <c r="C27" s="275">
        <f t="shared" si="2"/>
        <v>18857.688907790365</v>
      </c>
      <c r="D27" s="275">
        <f t="shared" si="6"/>
        <v>4714.4222269475913</v>
      </c>
      <c r="E27" s="275">
        <f t="shared" si="3"/>
        <v>173106.73331915721</v>
      </c>
      <c r="F27" s="275">
        <f t="shared" si="4"/>
        <v>14143.266680842775</v>
      </c>
      <c r="G27" s="260"/>
      <c r="H27" s="261">
        <f t="shared" si="5"/>
        <v>4</v>
      </c>
      <c r="I27" s="271">
        <f t="shared" si="0"/>
        <v>0.25</v>
      </c>
    </row>
    <row r="28" spans="2:12" x14ac:dyDescent="0.3">
      <c r="B28" s="274">
        <f t="shared" si="1"/>
        <v>2017</v>
      </c>
      <c r="C28" s="275">
        <f t="shared" si="2"/>
        <v>14143.266680842775</v>
      </c>
      <c r="D28" s="275">
        <f t="shared" si="6"/>
        <v>4714.4222269475922</v>
      </c>
      <c r="E28" s="275">
        <f t="shared" si="3"/>
        <v>177821.1555461048</v>
      </c>
      <c r="F28" s="275">
        <f t="shared" si="4"/>
        <v>9428.8444538951826</v>
      </c>
      <c r="G28" s="260"/>
      <c r="H28" s="261">
        <f t="shared" si="5"/>
        <v>3</v>
      </c>
      <c r="I28" s="271">
        <f>(100/H28)/100</f>
        <v>0.33333333333333337</v>
      </c>
    </row>
    <row r="29" spans="2:12" ht="15.75" thickBot="1" x14ac:dyDescent="0.35">
      <c r="B29" s="276">
        <f>IF(_lignes1&lt;1,"",B28+1)</f>
        <v>2018</v>
      </c>
      <c r="C29" s="277">
        <f>IF(_lignes1&lt;1,"",F28)</f>
        <v>9428.8444538951826</v>
      </c>
      <c r="D29" s="277">
        <f t="shared" si="6"/>
        <v>4714.4222269475913</v>
      </c>
      <c r="E29" s="277">
        <f>IF(_lignes1&lt;1,"",E28+D29)</f>
        <v>182535.57777305238</v>
      </c>
      <c r="F29" s="277">
        <f>IF(_lignes1&lt;1,"",C29-D29)</f>
        <v>4714.4222269475913</v>
      </c>
      <c r="G29" s="260"/>
      <c r="H29" s="261">
        <f>H28-1</f>
        <v>2</v>
      </c>
      <c r="I29" s="271">
        <f>(100/H29)/100</f>
        <v>0.5</v>
      </c>
    </row>
    <row r="30" spans="2:12" x14ac:dyDescent="0.3">
      <c r="B30" s="278"/>
      <c r="C30" s="278"/>
      <c r="D30" s="278"/>
      <c r="E30" s="278"/>
      <c r="F30" s="278"/>
      <c r="G30" s="270"/>
      <c r="I30" s="271" t="e">
        <f>(100/H30)/100</f>
        <v>#DIV/0!</v>
      </c>
    </row>
    <row r="31" spans="2:12" x14ac:dyDescent="0.3">
      <c r="I31" s="271"/>
    </row>
    <row r="32" spans="2:12" x14ac:dyDescent="0.3">
      <c r="I32" s="271"/>
    </row>
  </sheetData>
  <printOptions gridLinesSet="0"/>
  <pageMargins left="0.7" right="0.7" top="0.75" bottom="0.75" header="0.4921259845" footer="0.4921259845"/>
  <pageSetup paperSize="9" orientation="portrait" horizontalDpi="360" verticalDpi="360" copies="0"/>
  <headerFooter>
    <oddHeader>&amp;F</oddHeader>
    <oddFooter>Page &amp;P</oddFooter>
  </headerFooter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B1:R346"/>
  <sheetViews>
    <sheetView topLeftCell="B1" workbookViewId="0">
      <selection activeCell="P9" sqref="P9"/>
    </sheetView>
  </sheetViews>
  <sheetFormatPr baseColWidth="10" defaultRowHeight="15" x14ac:dyDescent="0.3"/>
  <cols>
    <col min="1" max="1" width="11.42578125" style="231"/>
    <col min="2" max="2" width="11.5703125" style="231" bestFit="1" customWidth="1"/>
    <col min="3" max="3" width="11.85546875" style="231" bestFit="1" customWidth="1"/>
    <col min="4" max="7" width="11.5703125" style="231" bestFit="1" customWidth="1"/>
    <col min="8" max="9" width="11.42578125" style="231"/>
    <col min="10" max="10" width="14.42578125" style="231" bestFit="1" customWidth="1"/>
    <col min="11" max="11" width="11.85546875" style="231" bestFit="1" customWidth="1"/>
    <col min="12" max="12" width="11.42578125" style="231"/>
    <col min="13" max="13" width="20.28515625" style="231" bestFit="1" customWidth="1"/>
    <col min="14" max="15" width="11.42578125" style="231"/>
    <col min="16" max="16" width="11.85546875" style="231" bestFit="1" customWidth="1"/>
    <col min="17" max="17" width="11.42578125" style="231"/>
    <col min="18" max="18" width="14.7109375" style="231" bestFit="1" customWidth="1"/>
    <col min="19" max="16384" width="11.42578125" style="231"/>
  </cols>
  <sheetData>
    <row r="1" spans="2:18" ht="27.75" x14ac:dyDescent="0.3">
      <c r="B1" s="387"/>
      <c r="C1" s="388"/>
      <c r="D1" s="388"/>
      <c r="E1" s="388"/>
      <c r="F1" s="388"/>
      <c r="G1" s="388"/>
      <c r="H1" s="388"/>
      <c r="J1" s="631" t="s">
        <v>279</v>
      </c>
      <c r="K1" s="632"/>
      <c r="O1" s="231" t="s">
        <v>280</v>
      </c>
    </row>
    <row r="2" spans="2:18" x14ac:dyDescent="0.3">
      <c r="B2" s="278"/>
      <c r="C2" s="278"/>
      <c r="D2" s="278"/>
      <c r="E2" s="278"/>
      <c r="F2" s="278"/>
      <c r="G2" s="278"/>
      <c r="H2" s="278"/>
      <c r="I2" s="301"/>
      <c r="J2" s="281" t="s">
        <v>282</v>
      </c>
      <c r="K2" s="281" t="e">
        <f>SUM(+#REF!)</f>
        <v>#REF!</v>
      </c>
      <c r="M2" s="302" t="s">
        <v>283</v>
      </c>
      <c r="N2" s="633" t="s">
        <v>284</v>
      </c>
      <c r="O2" s="633"/>
      <c r="P2" s="381" t="s">
        <v>285</v>
      </c>
      <c r="Q2" s="381" t="s">
        <v>286</v>
      </c>
      <c r="R2" s="302" t="s">
        <v>287</v>
      </c>
    </row>
    <row r="3" spans="2:18" x14ac:dyDescent="0.3">
      <c r="B3" s="278"/>
      <c r="C3" s="389"/>
      <c r="D3" s="278"/>
      <c r="E3" s="278"/>
      <c r="F3" s="278"/>
      <c r="G3" s="278"/>
      <c r="H3" s="278"/>
      <c r="J3" s="281" t="s">
        <v>279</v>
      </c>
      <c r="K3" s="303">
        <f>SUM(F4:F303)</f>
        <v>0</v>
      </c>
      <c r="M3" s="304" t="s">
        <v>288</v>
      </c>
      <c r="N3" s="305">
        <v>0</v>
      </c>
      <c r="O3" s="305">
        <v>38120</v>
      </c>
      <c r="P3" s="306">
        <f>+IF('TAM Projet 1 (2)'!F34&gt;O3,O3,'TAM Projet 1 (2)'!F34)</f>
        <v>7107.8333333333321</v>
      </c>
      <c r="Q3" s="307">
        <v>0.15</v>
      </c>
      <c r="R3" s="308">
        <f>SUM(P3*Q3)</f>
        <v>1066.1749999999997</v>
      </c>
    </row>
    <row r="4" spans="2:18" x14ac:dyDescent="0.3">
      <c r="B4" s="278"/>
      <c r="C4" s="389"/>
      <c r="D4" s="390"/>
      <c r="E4" s="390"/>
      <c r="F4" s="390"/>
      <c r="G4" s="278"/>
      <c r="H4" s="278"/>
      <c r="J4" s="281" t="s">
        <v>281</v>
      </c>
      <c r="K4" s="303">
        <f>SUM(G4:G303)</f>
        <v>0</v>
      </c>
      <c r="M4" s="304" t="s">
        <v>289</v>
      </c>
      <c r="N4" s="305">
        <v>38120</v>
      </c>
      <c r="O4" s="305">
        <v>999999</v>
      </c>
      <c r="P4" s="306">
        <f>IF('TAM Projet 1 (2)'!F34&lt;N4,0,IF('TAM Projet 1 (2)'!F34&lt;=O4,'TAM Projet 1 (2)'!F34-O3,O4-3))</f>
        <v>0</v>
      </c>
      <c r="Q4" s="307">
        <v>0.33300000000000002</v>
      </c>
      <c r="R4" s="308">
        <f>SUM(P4*Q4)</f>
        <v>0</v>
      </c>
    </row>
    <row r="5" spans="2:18" x14ac:dyDescent="0.3">
      <c r="B5" s="278"/>
      <c r="C5" s="389"/>
      <c r="D5" s="390"/>
      <c r="E5" s="390"/>
      <c r="F5" s="390"/>
      <c r="G5" s="278"/>
      <c r="H5" s="278"/>
      <c r="J5" s="309" t="s">
        <v>184</v>
      </c>
      <c r="K5" s="310" t="e">
        <f>SUM(K3+K4+K2)</f>
        <v>#REF!</v>
      </c>
      <c r="M5" s="311"/>
      <c r="N5" s="311"/>
      <c r="O5" s="311"/>
      <c r="P5" s="311"/>
      <c r="Q5" s="306" t="s">
        <v>184</v>
      </c>
      <c r="R5" s="312">
        <f>SUM(R3+R4)</f>
        <v>1066.1749999999997</v>
      </c>
    </row>
    <row r="6" spans="2:18" x14ac:dyDescent="0.3">
      <c r="B6" s="278"/>
      <c r="C6" s="389"/>
      <c r="D6" s="390"/>
      <c r="E6" s="390"/>
      <c r="F6" s="390"/>
      <c r="G6" s="278"/>
      <c r="H6" s="278"/>
    </row>
    <row r="7" spans="2:18" x14ac:dyDescent="0.3">
      <c r="B7" s="278"/>
      <c r="C7" s="389"/>
      <c r="D7" s="390"/>
      <c r="E7" s="390"/>
      <c r="F7" s="390"/>
      <c r="G7" s="278"/>
      <c r="H7" s="278"/>
      <c r="J7" s="281" t="s">
        <v>290</v>
      </c>
      <c r="K7" s="303">
        <f>SUM(F4:F15)</f>
        <v>0</v>
      </c>
      <c r="L7" s="231">
        <f>SUM(G4:G15)</f>
        <v>0</v>
      </c>
      <c r="O7" s="231" t="s">
        <v>291</v>
      </c>
    </row>
    <row r="8" spans="2:18" ht="15.75" x14ac:dyDescent="0.3">
      <c r="B8" s="278"/>
      <c r="C8" s="389"/>
      <c r="D8" s="390"/>
      <c r="E8" s="390"/>
      <c r="F8" s="390"/>
      <c r="G8" s="278"/>
      <c r="H8" s="278"/>
      <c r="J8" s="281" t="s">
        <v>292</v>
      </c>
      <c r="K8" s="303">
        <f>SUM(F16:F27)</f>
        <v>0</v>
      </c>
      <c r="M8" s="394" t="s">
        <v>293</v>
      </c>
      <c r="N8" s="630" t="s">
        <v>284</v>
      </c>
      <c r="O8" s="630"/>
      <c r="P8" s="380" t="s">
        <v>285</v>
      </c>
      <c r="Q8" s="380" t="s">
        <v>286</v>
      </c>
      <c r="R8" s="313" t="s">
        <v>287</v>
      </c>
    </row>
    <row r="9" spans="2:18" ht="15.75" x14ac:dyDescent="0.3">
      <c r="B9" s="278"/>
      <c r="C9" s="389"/>
      <c r="D9" s="390"/>
      <c r="E9" s="390"/>
      <c r="F9" s="390"/>
      <c r="G9" s="278"/>
      <c r="H9" s="278"/>
      <c r="J9" s="281" t="s">
        <v>294</v>
      </c>
      <c r="K9" s="303">
        <f>SUM(F28:F39)</f>
        <v>0</v>
      </c>
      <c r="M9" s="314" t="s">
        <v>295</v>
      </c>
      <c r="N9" s="315">
        <v>0</v>
      </c>
      <c r="O9" s="315">
        <v>9807</v>
      </c>
      <c r="P9" s="316">
        <f>+IF('TAM Projet 1 (2)'!B40&gt;O9,O9,'TAM Projet 1 (2)'!B40)</f>
        <v>9807</v>
      </c>
      <c r="Q9" s="317">
        <v>0</v>
      </c>
      <c r="R9" s="316">
        <v>0</v>
      </c>
    </row>
    <row r="10" spans="2:18" ht="15.75" x14ac:dyDescent="0.3">
      <c r="B10" s="278"/>
      <c r="C10" s="389"/>
      <c r="D10" s="390"/>
      <c r="E10" s="390"/>
      <c r="F10" s="390"/>
      <c r="G10" s="278"/>
      <c r="H10" s="278"/>
      <c r="J10" s="281" t="s">
        <v>296</v>
      </c>
      <c r="K10" s="303">
        <f>SUM(F40:F51)</f>
        <v>0</v>
      </c>
      <c r="M10" s="314" t="s">
        <v>297</v>
      </c>
      <c r="N10" s="315">
        <v>9808</v>
      </c>
      <c r="O10" s="315">
        <v>27086</v>
      </c>
      <c r="P10" s="316">
        <f>IF('TAM Projet 1 (2)'!$B$40&lt;N10,0,IF('TAM Projet 1 (2)'!$B$40&lt;=O10,'TAM Projet 1 (2)'!$B$40-O9,O10-O9))</f>
        <v>6512.8000000000011</v>
      </c>
      <c r="Q10" s="317">
        <v>0.14000000000000001</v>
      </c>
      <c r="R10" s="316">
        <f>SUM(P10*Q10)</f>
        <v>911.79200000000026</v>
      </c>
    </row>
    <row r="11" spans="2:18" ht="15.75" x14ac:dyDescent="0.3">
      <c r="B11" s="278"/>
      <c r="C11" s="389"/>
      <c r="D11" s="390"/>
      <c r="E11" s="390"/>
      <c r="F11" s="390"/>
      <c r="G11" s="278"/>
      <c r="H11" s="278"/>
      <c r="J11" s="281" t="s">
        <v>298</v>
      </c>
      <c r="K11" s="303">
        <f>SUM(F52:F63)</f>
        <v>0</v>
      </c>
      <c r="M11" s="314" t="s">
        <v>299</v>
      </c>
      <c r="N11" s="315">
        <v>27087</v>
      </c>
      <c r="O11" s="315">
        <v>72617</v>
      </c>
      <c r="P11" s="316">
        <f>IF('TAM Projet 1 (2)'!$B$40&lt;N11,0,IF('TAM Projet 1 (2)'!$B$40&lt;=O11,'TAM Projet 1 (2)'!$B$40-O10,O11-O10))</f>
        <v>0</v>
      </c>
      <c r="Q11" s="317">
        <v>0.3</v>
      </c>
      <c r="R11" s="316">
        <f>SUM(P11*Q11)</f>
        <v>0</v>
      </c>
    </row>
    <row r="12" spans="2:18" ht="15.75" x14ac:dyDescent="0.3">
      <c r="B12" s="278"/>
      <c r="C12" s="389"/>
      <c r="D12" s="390"/>
      <c r="E12" s="390"/>
      <c r="F12" s="390"/>
      <c r="G12" s="278"/>
      <c r="H12" s="278"/>
      <c r="J12" s="281" t="s">
        <v>300</v>
      </c>
      <c r="K12" s="303"/>
      <c r="M12" s="314" t="s">
        <v>301</v>
      </c>
      <c r="N12" s="315">
        <v>72618</v>
      </c>
      <c r="O12" s="315">
        <v>153783</v>
      </c>
      <c r="P12" s="316">
        <f>IF('TAM Projet 1 (2)'!$B$40&lt;N12,0,IF('TAM Projet 1 (2)'!$B$40&lt;=O12,'TAM Projet 1 (2)'!$B$40-O11,O12-O11))</f>
        <v>0</v>
      </c>
      <c r="Q12" s="317">
        <v>0.41</v>
      </c>
      <c r="R12" s="316">
        <f>SUM(P12*Q12)</f>
        <v>0</v>
      </c>
    </row>
    <row r="13" spans="2:18" ht="15.75" x14ac:dyDescent="0.3">
      <c r="B13" s="278"/>
      <c r="C13" s="389"/>
      <c r="D13" s="390"/>
      <c r="E13" s="390"/>
      <c r="F13" s="390"/>
      <c r="G13" s="278"/>
      <c r="H13" s="278"/>
      <c r="J13" s="281" t="s">
        <v>302</v>
      </c>
      <c r="K13" s="303"/>
      <c r="M13" s="314" t="s">
        <v>303</v>
      </c>
      <c r="N13" s="315"/>
      <c r="O13" s="315"/>
      <c r="P13" s="315"/>
      <c r="Q13" s="317">
        <v>0.45</v>
      </c>
      <c r="R13" s="316"/>
    </row>
    <row r="14" spans="2:18" x14ac:dyDescent="0.3">
      <c r="B14" s="278"/>
      <c r="C14" s="389"/>
      <c r="D14" s="390"/>
      <c r="E14" s="390"/>
      <c r="F14" s="390"/>
      <c r="G14" s="278"/>
      <c r="H14" s="278"/>
      <c r="J14" s="281" t="s">
        <v>304</v>
      </c>
      <c r="K14" s="303"/>
    </row>
    <row r="15" spans="2:18" x14ac:dyDescent="0.3">
      <c r="B15" s="278"/>
      <c r="C15" s="389"/>
      <c r="D15" s="390"/>
      <c r="E15" s="390"/>
      <c r="F15" s="390"/>
      <c r="G15" s="278"/>
      <c r="H15" s="278"/>
      <c r="J15" s="281" t="s">
        <v>305</v>
      </c>
      <c r="K15" s="303"/>
    </row>
    <row r="16" spans="2:18" x14ac:dyDescent="0.3">
      <c r="B16" s="278"/>
      <c r="C16" s="389"/>
      <c r="D16" s="390"/>
      <c r="E16" s="390"/>
      <c r="F16" s="390"/>
      <c r="G16" s="278"/>
      <c r="H16" s="278"/>
      <c r="J16" s="281" t="s">
        <v>306</v>
      </c>
      <c r="K16" s="303"/>
      <c r="O16" s="231" t="s">
        <v>307</v>
      </c>
    </row>
    <row r="17" spans="2:18" x14ac:dyDescent="0.3">
      <c r="B17" s="278"/>
      <c r="C17" s="389"/>
      <c r="D17" s="390"/>
      <c r="E17" s="390"/>
      <c r="F17" s="390"/>
      <c r="G17" s="278"/>
      <c r="H17" s="278"/>
      <c r="M17" s="634" t="s">
        <v>308</v>
      </c>
      <c r="N17" s="635"/>
      <c r="O17" s="635"/>
      <c r="P17" s="635"/>
      <c r="Q17" s="635"/>
      <c r="R17" s="635"/>
    </row>
    <row r="18" spans="2:18" ht="15.75" x14ac:dyDescent="0.3">
      <c r="B18" s="278"/>
      <c r="C18" s="389"/>
      <c r="D18" s="390"/>
      <c r="E18" s="390"/>
      <c r="F18" s="390"/>
      <c r="G18" s="278"/>
      <c r="H18" s="278"/>
      <c r="M18" s="313" t="s">
        <v>293</v>
      </c>
      <c r="N18" s="630" t="s">
        <v>284</v>
      </c>
      <c r="O18" s="630"/>
      <c r="P18" s="380" t="s">
        <v>285</v>
      </c>
      <c r="Q18" s="380" t="s">
        <v>286</v>
      </c>
      <c r="R18" s="313" t="s">
        <v>287</v>
      </c>
    </row>
    <row r="19" spans="2:18" ht="15.75" x14ac:dyDescent="0.3">
      <c r="B19" s="278"/>
      <c r="C19" s="389"/>
      <c r="D19" s="390"/>
      <c r="E19" s="390"/>
      <c r="F19" s="390"/>
      <c r="G19" s="278"/>
      <c r="H19" s="278"/>
      <c r="M19" s="314" t="s">
        <v>295</v>
      </c>
      <c r="N19" s="315">
        <v>0</v>
      </c>
      <c r="O19" s="315">
        <v>9807</v>
      </c>
      <c r="P19" s="316">
        <f>+IF('TAM Projet 1 (2)'!F41&gt;O19,O19,'TAM Projet 1 (2)'!F41)</f>
        <v>9807</v>
      </c>
      <c r="Q19" s="317">
        <v>0</v>
      </c>
      <c r="R19" s="316">
        <v>0</v>
      </c>
    </row>
    <row r="20" spans="2:18" ht="15.75" x14ac:dyDescent="0.3">
      <c r="B20" s="278"/>
      <c r="C20" s="389"/>
      <c r="D20" s="390"/>
      <c r="E20" s="390"/>
      <c r="F20" s="390"/>
      <c r="G20" s="278"/>
      <c r="H20" s="278"/>
      <c r="M20" s="314" t="s">
        <v>297</v>
      </c>
      <c r="N20" s="315">
        <v>9808</v>
      </c>
      <c r="O20" s="315">
        <v>27086</v>
      </c>
      <c r="P20" s="316">
        <f>IF('TAM Projet 1 (2)'!$F$41&lt;N20,0,IF('TAM Projet 1 (2)'!$F$41&lt;=O20,'TAM Projet 1 (2)'!$F$41-O19,O20-O19))</f>
        <v>10649.294999999998</v>
      </c>
      <c r="Q20" s="317">
        <v>0.14000000000000001</v>
      </c>
      <c r="R20" s="316">
        <f>SUM(P20*Q20)</f>
        <v>1490.9013</v>
      </c>
    </row>
    <row r="21" spans="2:18" ht="15.75" x14ac:dyDescent="0.3">
      <c r="B21" s="278"/>
      <c r="C21" s="389"/>
      <c r="D21" s="390"/>
      <c r="E21" s="390"/>
      <c r="F21" s="390"/>
      <c r="G21" s="278"/>
      <c r="H21" s="278"/>
      <c r="M21" s="314" t="s">
        <v>299</v>
      </c>
      <c r="N21" s="315">
        <v>27087</v>
      </c>
      <c r="O21" s="315">
        <v>72617</v>
      </c>
      <c r="P21" s="316">
        <f>IF('TAM Projet 1 (2)'!$F$41&lt;N21,0,IF('TAM Projet 1 (2)'!$F$41&lt;=O21,'TAM Projet 1 (2)'!$F$41-O20,O21-O20))</f>
        <v>0</v>
      </c>
      <c r="Q21" s="317">
        <v>0.3</v>
      </c>
      <c r="R21" s="316">
        <f>SUM(P21*Q21)</f>
        <v>0</v>
      </c>
    </row>
    <row r="22" spans="2:18" ht="15.75" x14ac:dyDescent="0.3">
      <c r="B22" s="278"/>
      <c r="C22" s="389"/>
      <c r="D22" s="390"/>
      <c r="E22" s="390"/>
      <c r="F22" s="390"/>
      <c r="G22" s="278"/>
      <c r="H22" s="278"/>
      <c r="M22" s="314" t="s">
        <v>301</v>
      </c>
      <c r="N22" s="315">
        <v>72618</v>
      </c>
      <c r="O22" s="315">
        <v>153783</v>
      </c>
      <c r="P22" s="316">
        <f>IF('TAM Projet 1 (2)'!$F$41&lt;N22,0,IF('TAM Projet 1 (2)'!$F$41&lt;=O22,'TAM Projet 1 (2)'!$F$41-O21,O22-O21))</f>
        <v>0</v>
      </c>
      <c r="Q22" s="317">
        <v>0.41</v>
      </c>
      <c r="R22" s="316">
        <f>SUM(P22*Q22)</f>
        <v>0</v>
      </c>
    </row>
    <row r="23" spans="2:18" ht="15.75" x14ac:dyDescent="0.3">
      <c r="B23" s="278"/>
      <c r="C23" s="389"/>
      <c r="D23" s="390"/>
      <c r="E23" s="390"/>
      <c r="F23" s="390"/>
      <c r="G23" s="278"/>
      <c r="H23" s="278"/>
      <c r="M23" s="314" t="s">
        <v>303</v>
      </c>
      <c r="N23" s="315"/>
      <c r="O23" s="315"/>
      <c r="P23" s="315"/>
      <c r="Q23" s="317">
        <v>0.45</v>
      </c>
      <c r="R23" s="316"/>
    </row>
    <row r="24" spans="2:18" x14ac:dyDescent="0.3">
      <c r="B24" s="278"/>
      <c r="C24" s="389"/>
      <c r="D24" s="390"/>
      <c r="E24" s="390"/>
      <c r="F24" s="390"/>
      <c r="G24" s="278"/>
      <c r="H24" s="278"/>
    </row>
    <row r="25" spans="2:18" x14ac:dyDescent="0.3">
      <c r="B25" s="278"/>
      <c r="C25" s="389"/>
      <c r="D25" s="390"/>
      <c r="E25" s="390"/>
      <c r="F25" s="390"/>
      <c r="G25" s="278"/>
      <c r="H25" s="278"/>
    </row>
    <row r="26" spans="2:18" x14ac:dyDescent="0.3">
      <c r="B26" s="278"/>
      <c r="C26" s="389"/>
      <c r="D26" s="390"/>
      <c r="E26" s="390"/>
      <c r="F26" s="390"/>
      <c r="G26" s="278"/>
      <c r="H26" s="278"/>
      <c r="O26" s="231" t="s">
        <v>321</v>
      </c>
    </row>
    <row r="27" spans="2:18" ht="15.75" x14ac:dyDescent="0.3">
      <c r="B27" s="278"/>
      <c r="C27" s="389"/>
      <c r="D27" s="390"/>
      <c r="E27" s="390"/>
      <c r="F27" s="390"/>
      <c r="G27" s="278"/>
      <c r="H27" s="278"/>
      <c r="M27" s="313" t="s">
        <v>293</v>
      </c>
      <c r="N27" s="630" t="s">
        <v>284</v>
      </c>
      <c r="O27" s="630"/>
      <c r="P27" s="380" t="s">
        <v>285</v>
      </c>
      <c r="Q27" s="380" t="s">
        <v>286</v>
      </c>
      <c r="R27" s="313" t="s">
        <v>287</v>
      </c>
    </row>
    <row r="28" spans="2:18" ht="15.75" x14ac:dyDescent="0.3">
      <c r="B28" s="278"/>
      <c r="C28" s="389"/>
      <c r="D28" s="390"/>
      <c r="E28" s="390"/>
      <c r="F28" s="390"/>
      <c r="G28" s="278"/>
      <c r="H28" s="278"/>
      <c r="M28" s="314" t="s">
        <v>295</v>
      </c>
      <c r="N28" s="315">
        <v>0</v>
      </c>
      <c r="O28" s="315">
        <v>9807</v>
      </c>
      <c r="P28" s="316">
        <f>+IF('TAM Projet 1 (2)'!D40&gt;O28,O28,'TAM Projet 1 (2)'!D40)</f>
        <v>9807</v>
      </c>
      <c r="Q28" s="317">
        <v>0</v>
      </c>
      <c r="R28" s="316">
        <v>0</v>
      </c>
    </row>
    <row r="29" spans="2:18" ht="15.75" x14ac:dyDescent="0.3">
      <c r="B29" s="278"/>
      <c r="C29" s="389"/>
      <c r="D29" s="390"/>
      <c r="E29" s="390"/>
      <c r="F29" s="390"/>
      <c r="G29" s="278"/>
      <c r="H29" s="278"/>
      <c r="M29" s="314" t="s">
        <v>297</v>
      </c>
      <c r="N29" s="315">
        <v>9808</v>
      </c>
      <c r="O29" s="315">
        <v>27086</v>
      </c>
      <c r="P29" s="316">
        <f>IF('TAM Projet 1 (2)'!$D$40&lt;N29,0,IF('TAM Projet 1 (2)'!$D$40&lt;=O29,'TAM Projet 1 (2)'!$D$40-O28,O29-O28))</f>
        <v>7213</v>
      </c>
      <c r="Q29" s="317">
        <v>0.14000000000000001</v>
      </c>
      <c r="R29" s="316">
        <f>SUM(P29*Q29)</f>
        <v>1009.82</v>
      </c>
    </row>
    <row r="30" spans="2:18" ht="15.75" x14ac:dyDescent="0.3">
      <c r="B30" s="278"/>
      <c r="C30" s="389"/>
      <c r="D30" s="390"/>
      <c r="E30" s="390"/>
      <c r="F30" s="390"/>
      <c r="G30" s="278"/>
      <c r="H30" s="278"/>
      <c r="M30" s="314" t="s">
        <v>299</v>
      </c>
      <c r="N30" s="315">
        <v>27087</v>
      </c>
      <c r="O30" s="315">
        <v>72617</v>
      </c>
      <c r="P30" s="316">
        <f>IF('TAM Projet 1 (2)'!$D$40&lt;N30,0,IF('TAM Projet 1 (2)'!$D$40&lt;=O30,'TAM Projet 1 (2)'!$D$40-O29,O30-O29))</f>
        <v>0</v>
      </c>
      <c r="Q30" s="317">
        <v>0.3</v>
      </c>
      <c r="R30" s="316">
        <f>SUM(P30*Q30)</f>
        <v>0</v>
      </c>
    </row>
    <row r="31" spans="2:18" ht="15.75" x14ac:dyDescent="0.3">
      <c r="B31" s="278"/>
      <c r="C31" s="389"/>
      <c r="D31" s="390"/>
      <c r="E31" s="390"/>
      <c r="F31" s="390"/>
      <c r="G31" s="278"/>
      <c r="H31" s="278"/>
      <c r="M31" s="314" t="s">
        <v>301</v>
      </c>
      <c r="N31" s="315">
        <v>72618</v>
      </c>
      <c r="O31" s="315">
        <v>153783</v>
      </c>
      <c r="P31" s="316">
        <f>IF('TAM Projet 1 (2)'!$D$40&lt;N31,0,IF('TAM Projet 1 (2)'!$D$40&lt;=O31,'TAM Projet 1 (2)'!$D$40-O30,O31-O30))</f>
        <v>0</v>
      </c>
      <c r="Q31" s="317">
        <v>0.41</v>
      </c>
      <c r="R31" s="316">
        <f>SUM(P31*Q31)</f>
        <v>0</v>
      </c>
    </row>
    <row r="32" spans="2:18" ht="15.75" x14ac:dyDescent="0.3">
      <c r="B32" s="278"/>
      <c r="C32" s="389"/>
      <c r="D32" s="390"/>
      <c r="E32" s="390"/>
      <c r="F32" s="390"/>
      <c r="G32" s="278"/>
      <c r="H32" s="278"/>
      <c r="M32" s="314" t="s">
        <v>303</v>
      </c>
      <c r="N32" s="315"/>
      <c r="O32" s="315"/>
      <c r="P32" s="315"/>
      <c r="Q32" s="317">
        <v>0.45</v>
      </c>
      <c r="R32" s="316"/>
    </row>
    <row r="33" spans="2:8" x14ac:dyDescent="0.3">
      <c r="B33" s="278"/>
      <c r="C33" s="389"/>
      <c r="D33" s="390"/>
      <c r="E33" s="390"/>
      <c r="F33" s="390"/>
      <c r="G33" s="278"/>
      <c r="H33" s="278"/>
    </row>
    <row r="34" spans="2:8" x14ac:dyDescent="0.3">
      <c r="B34" s="278"/>
      <c r="C34" s="389"/>
      <c r="D34" s="390"/>
      <c r="E34" s="390"/>
      <c r="F34" s="390"/>
      <c r="G34" s="278"/>
      <c r="H34" s="278"/>
    </row>
    <row r="35" spans="2:8" x14ac:dyDescent="0.3">
      <c r="B35" s="278"/>
      <c r="C35" s="389"/>
      <c r="D35" s="390"/>
      <c r="E35" s="390"/>
      <c r="F35" s="390"/>
      <c r="G35" s="278"/>
      <c r="H35" s="278"/>
    </row>
    <row r="36" spans="2:8" x14ac:dyDescent="0.3">
      <c r="B36" s="278"/>
      <c r="C36" s="389"/>
      <c r="D36" s="390"/>
      <c r="E36" s="390"/>
      <c r="F36" s="390"/>
      <c r="G36" s="278"/>
      <c r="H36" s="278"/>
    </row>
    <row r="37" spans="2:8" x14ac:dyDescent="0.3">
      <c r="B37" s="278"/>
      <c r="C37" s="389"/>
      <c r="D37" s="390"/>
      <c r="E37" s="390"/>
      <c r="F37" s="390"/>
      <c r="G37" s="278"/>
      <c r="H37" s="278"/>
    </row>
    <row r="38" spans="2:8" x14ac:dyDescent="0.3">
      <c r="B38" s="278"/>
      <c r="C38" s="389"/>
      <c r="D38" s="390"/>
      <c r="E38" s="390"/>
      <c r="F38" s="390"/>
      <c r="G38" s="278"/>
      <c r="H38" s="278"/>
    </row>
    <row r="39" spans="2:8" x14ac:dyDescent="0.3">
      <c r="B39" s="278"/>
      <c r="C39" s="389"/>
      <c r="D39" s="390"/>
      <c r="E39" s="390"/>
      <c r="F39" s="390"/>
      <c r="G39" s="278"/>
      <c r="H39" s="278"/>
    </row>
    <row r="40" spans="2:8" x14ac:dyDescent="0.3">
      <c r="B40" s="278"/>
      <c r="C40" s="389"/>
      <c r="D40" s="390"/>
      <c r="E40" s="390"/>
      <c r="F40" s="390"/>
      <c r="G40" s="278"/>
      <c r="H40" s="278"/>
    </row>
    <row r="41" spans="2:8" x14ac:dyDescent="0.3">
      <c r="B41" s="278"/>
      <c r="C41" s="389"/>
      <c r="D41" s="390"/>
      <c r="E41" s="390"/>
      <c r="F41" s="390"/>
      <c r="G41" s="278"/>
      <c r="H41" s="278"/>
    </row>
    <row r="42" spans="2:8" x14ac:dyDescent="0.3">
      <c r="B42" s="278"/>
      <c r="C42" s="389"/>
      <c r="D42" s="390"/>
      <c r="E42" s="390"/>
      <c r="F42" s="390"/>
      <c r="G42" s="278"/>
      <c r="H42" s="278"/>
    </row>
    <row r="43" spans="2:8" x14ac:dyDescent="0.3">
      <c r="B43" s="278"/>
      <c r="C43" s="389"/>
      <c r="D43" s="390"/>
      <c r="E43" s="390"/>
      <c r="F43" s="390"/>
      <c r="G43" s="278"/>
      <c r="H43" s="278"/>
    </row>
    <row r="44" spans="2:8" x14ac:dyDescent="0.3">
      <c r="B44" s="278"/>
      <c r="C44" s="389"/>
      <c r="D44" s="390"/>
      <c r="E44" s="390"/>
      <c r="F44" s="390"/>
      <c r="G44" s="278"/>
      <c r="H44" s="278"/>
    </row>
    <row r="45" spans="2:8" x14ac:dyDescent="0.3">
      <c r="B45" s="278"/>
      <c r="C45" s="389"/>
      <c r="D45" s="390"/>
      <c r="E45" s="390"/>
      <c r="F45" s="390"/>
      <c r="G45" s="278"/>
      <c r="H45" s="278"/>
    </row>
    <row r="46" spans="2:8" x14ac:dyDescent="0.3">
      <c r="B46" s="278"/>
      <c r="C46" s="389"/>
      <c r="D46" s="390"/>
      <c r="E46" s="390"/>
      <c r="F46" s="390"/>
      <c r="G46" s="278"/>
      <c r="H46" s="278"/>
    </row>
    <row r="47" spans="2:8" x14ac:dyDescent="0.3">
      <c r="B47" s="278"/>
      <c r="C47" s="389"/>
      <c r="D47" s="390"/>
      <c r="E47" s="390"/>
      <c r="F47" s="390"/>
      <c r="G47" s="278"/>
      <c r="H47" s="278"/>
    </row>
    <row r="48" spans="2:8" x14ac:dyDescent="0.3">
      <c r="B48" s="278"/>
      <c r="C48" s="389"/>
      <c r="D48" s="390"/>
      <c r="E48" s="390"/>
      <c r="F48" s="390"/>
      <c r="G48" s="278"/>
      <c r="H48" s="278"/>
    </row>
    <row r="49" spans="2:8" x14ac:dyDescent="0.3">
      <c r="B49" s="278"/>
      <c r="C49" s="389"/>
      <c r="D49" s="390"/>
      <c r="E49" s="390"/>
      <c r="F49" s="390"/>
      <c r="G49" s="278"/>
      <c r="H49" s="278"/>
    </row>
    <row r="50" spans="2:8" x14ac:dyDescent="0.3">
      <c r="B50" s="278"/>
      <c r="C50" s="389"/>
      <c r="D50" s="390"/>
      <c r="E50" s="390"/>
      <c r="F50" s="390"/>
      <c r="G50" s="278"/>
      <c r="H50" s="278"/>
    </row>
    <row r="51" spans="2:8" x14ac:dyDescent="0.3">
      <c r="B51" s="278"/>
      <c r="C51" s="389"/>
      <c r="D51" s="390"/>
      <c r="E51" s="390"/>
      <c r="F51" s="390"/>
      <c r="G51" s="278"/>
      <c r="H51" s="278"/>
    </row>
    <row r="52" spans="2:8" x14ac:dyDescent="0.3">
      <c r="B52" s="278"/>
      <c r="C52" s="389"/>
      <c r="D52" s="390"/>
      <c r="E52" s="390"/>
      <c r="F52" s="390"/>
      <c r="G52" s="278"/>
      <c r="H52" s="278"/>
    </row>
    <row r="53" spans="2:8" x14ac:dyDescent="0.3">
      <c r="B53" s="278"/>
      <c r="C53" s="389"/>
      <c r="D53" s="390"/>
      <c r="E53" s="390"/>
      <c r="F53" s="390"/>
      <c r="G53" s="278"/>
      <c r="H53" s="278"/>
    </row>
    <row r="54" spans="2:8" x14ac:dyDescent="0.3">
      <c r="B54" s="278"/>
      <c r="C54" s="389"/>
      <c r="D54" s="390"/>
      <c r="E54" s="390"/>
      <c r="F54" s="390"/>
      <c r="G54" s="278"/>
      <c r="H54" s="278"/>
    </row>
    <row r="55" spans="2:8" x14ac:dyDescent="0.3">
      <c r="B55" s="278"/>
      <c r="C55" s="389"/>
      <c r="D55" s="390"/>
      <c r="E55" s="390"/>
      <c r="F55" s="390"/>
      <c r="G55" s="278"/>
      <c r="H55" s="278"/>
    </row>
    <row r="56" spans="2:8" x14ac:dyDescent="0.3">
      <c r="B56" s="278"/>
      <c r="C56" s="389"/>
      <c r="D56" s="390"/>
      <c r="E56" s="390"/>
      <c r="F56" s="390"/>
      <c r="G56" s="278"/>
      <c r="H56" s="278"/>
    </row>
    <row r="57" spans="2:8" x14ac:dyDescent="0.3">
      <c r="B57" s="278"/>
      <c r="C57" s="389"/>
      <c r="D57" s="390"/>
      <c r="E57" s="390"/>
      <c r="F57" s="390"/>
      <c r="G57" s="278"/>
      <c r="H57" s="278"/>
    </row>
    <row r="58" spans="2:8" x14ac:dyDescent="0.3">
      <c r="B58" s="278"/>
      <c r="C58" s="389"/>
      <c r="D58" s="390"/>
      <c r="E58" s="390"/>
      <c r="F58" s="390"/>
      <c r="G58" s="278"/>
      <c r="H58" s="278"/>
    </row>
    <row r="59" spans="2:8" x14ac:dyDescent="0.3">
      <c r="B59" s="278"/>
      <c r="C59" s="389"/>
      <c r="D59" s="390"/>
      <c r="E59" s="390"/>
      <c r="F59" s="390"/>
      <c r="G59" s="278"/>
      <c r="H59" s="278"/>
    </row>
    <row r="60" spans="2:8" x14ac:dyDescent="0.3">
      <c r="B60" s="278"/>
      <c r="C60" s="389"/>
      <c r="D60" s="390"/>
      <c r="E60" s="390"/>
      <c r="F60" s="390"/>
      <c r="G60" s="278"/>
      <c r="H60" s="278"/>
    </row>
    <row r="61" spans="2:8" x14ac:dyDescent="0.3">
      <c r="B61" s="278"/>
      <c r="C61" s="389"/>
      <c r="D61" s="390"/>
      <c r="E61" s="390"/>
      <c r="F61" s="390"/>
      <c r="G61" s="278"/>
      <c r="H61" s="278"/>
    </row>
    <row r="62" spans="2:8" x14ac:dyDescent="0.3">
      <c r="B62" s="278"/>
      <c r="C62" s="389"/>
      <c r="D62" s="390"/>
      <c r="E62" s="390"/>
      <c r="F62" s="390"/>
      <c r="G62" s="278"/>
      <c r="H62" s="278"/>
    </row>
    <row r="63" spans="2:8" x14ac:dyDescent="0.3">
      <c r="B63" s="278"/>
      <c r="C63" s="389"/>
      <c r="D63" s="390"/>
      <c r="E63" s="390"/>
      <c r="F63" s="390"/>
      <c r="G63" s="278"/>
      <c r="H63" s="278"/>
    </row>
    <row r="64" spans="2:8" x14ac:dyDescent="0.3">
      <c r="B64" s="278"/>
      <c r="C64" s="389"/>
      <c r="D64" s="390"/>
      <c r="E64" s="390"/>
      <c r="F64" s="390"/>
      <c r="G64" s="278"/>
      <c r="H64" s="278"/>
    </row>
    <row r="65" spans="2:8" x14ac:dyDescent="0.3">
      <c r="B65" s="278"/>
      <c r="C65" s="389"/>
      <c r="D65" s="390"/>
      <c r="E65" s="390"/>
      <c r="F65" s="390"/>
      <c r="G65" s="278"/>
      <c r="H65" s="278"/>
    </row>
    <row r="66" spans="2:8" x14ac:dyDescent="0.3">
      <c r="B66" s="278"/>
      <c r="C66" s="389"/>
      <c r="D66" s="390"/>
      <c r="E66" s="390"/>
      <c r="F66" s="390"/>
      <c r="G66" s="278"/>
      <c r="H66" s="278"/>
    </row>
    <row r="67" spans="2:8" x14ac:dyDescent="0.3">
      <c r="B67" s="278"/>
      <c r="C67" s="389"/>
      <c r="D67" s="390"/>
      <c r="E67" s="390"/>
      <c r="F67" s="390"/>
      <c r="G67" s="278"/>
      <c r="H67" s="278"/>
    </row>
    <row r="68" spans="2:8" x14ac:dyDescent="0.3">
      <c r="B68" s="278"/>
      <c r="C68" s="389"/>
      <c r="D68" s="390"/>
      <c r="E68" s="390"/>
      <c r="F68" s="390"/>
      <c r="G68" s="278"/>
      <c r="H68" s="278"/>
    </row>
    <row r="69" spans="2:8" x14ac:dyDescent="0.3">
      <c r="B69" s="278"/>
      <c r="C69" s="389"/>
      <c r="D69" s="390"/>
      <c r="E69" s="390"/>
      <c r="F69" s="390"/>
      <c r="G69" s="278"/>
      <c r="H69" s="278"/>
    </row>
    <row r="70" spans="2:8" x14ac:dyDescent="0.3">
      <c r="B70" s="278"/>
      <c r="C70" s="389"/>
      <c r="D70" s="390"/>
      <c r="E70" s="390"/>
      <c r="F70" s="390"/>
      <c r="G70" s="278"/>
      <c r="H70" s="278"/>
    </row>
    <row r="71" spans="2:8" x14ac:dyDescent="0.3">
      <c r="B71" s="278"/>
      <c r="C71" s="389"/>
      <c r="D71" s="390"/>
      <c r="E71" s="390"/>
      <c r="F71" s="390"/>
      <c r="G71" s="278"/>
      <c r="H71" s="278"/>
    </row>
    <row r="72" spans="2:8" x14ac:dyDescent="0.3">
      <c r="B72" s="278"/>
      <c r="C72" s="389"/>
      <c r="D72" s="390"/>
      <c r="E72" s="390"/>
      <c r="F72" s="390"/>
      <c r="G72" s="278"/>
      <c r="H72" s="278"/>
    </row>
    <row r="73" spans="2:8" x14ac:dyDescent="0.3">
      <c r="B73" s="278"/>
      <c r="C73" s="389"/>
      <c r="D73" s="390"/>
      <c r="E73" s="390"/>
      <c r="F73" s="390"/>
      <c r="G73" s="278"/>
      <c r="H73" s="278"/>
    </row>
    <row r="74" spans="2:8" x14ac:dyDescent="0.3">
      <c r="B74" s="278"/>
      <c r="C74" s="389"/>
      <c r="D74" s="390"/>
      <c r="E74" s="390"/>
      <c r="F74" s="390"/>
      <c r="G74" s="278"/>
      <c r="H74" s="278"/>
    </row>
    <row r="75" spans="2:8" x14ac:dyDescent="0.3">
      <c r="B75" s="278"/>
      <c r="C75" s="389"/>
      <c r="D75" s="390"/>
      <c r="E75" s="390"/>
      <c r="F75" s="390"/>
      <c r="G75" s="278"/>
      <c r="H75" s="278"/>
    </row>
    <row r="76" spans="2:8" x14ac:dyDescent="0.3">
      <c r="B76" s="278"/>
      <c r="C76" s="389"/>
      <c r="D76" s="390"/>
      <c r="E76" s="390"/>
      <c r="F76" s="390"/>
      <c r="G76" s="278"/>
      <c r="H76" s="278"/>
    </row>
    <row r="77" spans="2:8" x14ac:dyDescent="0.3">
      <c r="B77" s="278"/>
      <c r="C77" s="389"/>
      <c r="D77" s="390"/>
      <c r="E77" s="390"/>
      <c r="F77" s="390"/>
      <c r="G77" s="278"/>
      <c r="H77" s="278"/>
    </row>
    <row r="78" spans="2:8" x14ac:dyDescent="0.3">
      <c r="B78" s="278"/>
      <c r="C78" s="389"/>
      <c r="D78" s="390"/>
      <c r="E78" s="390"/>
      <c r="F78" s="390"/>
      <c r="G78" s="278"/>
      <c r="H78" s="278"/>
    </row>
    <row r="79" spans="2:8" x14ac:dyDescent="0.3">
      <c r="B79" s="278"/>
      <c r="C79" s="389"/>
      <c r="D79" s="390"/>
      <c r="E79" s="390"/>
      <c r="F79" s="390"/>
      <c r="G79" s="278"/>
      <c r="H79" s="278"/>
    </row>
    <row r="80" spans="2:8" x14ac:dyDescent="0.3">
      <c r="B80" s="278"/>
      <c r="C80" s="389"/>
      <c r="D80" s="390"/>
      <c r="E80" s="390"/>
      <c r="F80" s="390"/>
      <c r="G80" s="278"/>
      <c r="H80" s="278"/>
    </row>
    <row r="81" spans="2:8" x14ac:dyDescent="0.3">
      <c r="B81" s="278"/>
      <c r="C81" s="389"/>
      <c r="D81" s="390"/>
      <c r="E81" s="390"/>
      <c r="F81" s="390"/>
      <c r="G81" s="278"/>
      <c r="H81" s="278"/>
    </row>
    <row r="82" spans="2:8" x14ac:dyDescent="0.3">
      <c r="B82" s="278"/>
      <c r="C82" s="389"/>
      <c r="D82" s="390"/>
      <c r="E82" s="390"/>
      <c r="F82" s="390"/>
      <c r="G82" s="278"/>
      <c r="H82" s="278"/>
    </row>
    <row r="83" spans="2:8" x14ac:dyDescent="0.3">
      <c r="B83" s="278"/>
      <c r="C83" s="389"/>
      <c r="D83" s="390"/>
      <c r="E83" s="390"/>
      <c r="F83" s="390"/>
      <c r="G83" s="278"/>
      <c r="H83" s="278"/>
    </row>
    <row r="84" spans="2:8" x14ac:dyDescent="0.3">
      <c r="B84" s="278"/>
      <c r="C84" s="389"/>
      <c r="D84" s="390"/>
      <c r="E84" s="390"/>
      <c r="F84" s="390"/>
      <c r="G84" s="278"/>
      <c r="H84" s="278"/>
    </row>
    <row r="85" spans="2:8" x14ac:dyDescent="0.3">
      <c r="B85" s="278"/>
      <c r="C85" s="389"/>
      <c r="D85" s="390"/>
      <c r="E85" s="390"/>
      <c r="F85" s="390"/>
      <c r="G85" s="278"/>
      <c r="H85" s="278"/>
    </row>
    <row r="86" spans="2:8" x14ac:dyDescent="0.3">
      <c r="B86" s="278"/>
      <c r="C86" s="389"/>
      <c r="D86" s="390"/>
      <c r="E86" s="390"/>
      <c r="F86" s="390"/>
      <c r="G86" s="278"/>
      <c r="H86" s="278"/>
    </row>
    <row r="87" spans="2:8" x14ac:dyDescent="0.3">
      <c r="B87" s="278"/>
      <c r="C87" s="389"/>
      <c r="D87" s="390"/>
      <c r="E87" s="390"/>
      <c r="F87" s="390"/>
      <c r="G87" s="278"/>
      <c r="H87" s="278"/>
    </row>
    <row r="88" spans="2:8" x14ac:dyDescent="0.3">
      <c r="B88" s="278"/>
      <c r="C88" s="389"/>
      <c r="D88" s="390"/>
      <c r="E88" s="390"/>
      <c r="F88" s="390"/>
      <c r="G88" s="278"/>
      <c r="H88" s="278"/>
    </row>
    <row r="89" spans="2:8" x14ac:dyDescent="0.3">
      <c r="B89" s="278"/>
      <c r="C89" s="389"/>
      <c r="D89" s="390"/>
      <c r="E89" s="390"/>
      <c r="F89" s="390"/>
      <c r="G89" s="278"/>
      <c r="H89" s="278"/>
    </row>
    <row r="90" spans="2:8" x14ac:dyDescent="0.3">
      <c r="B90" s="278"/>
      <c r="C90" s="389"/>
      <c r="D90" s="390"/>
      <c r="E90" s="390"/>
      <c r="F90" s="390"/>
      <c r="G90" s="278"/>
      <c r="H90" s="278"/>
    </row>
    <row r="91" spans="2:8" x14ac:dyDescent="0.3">
      <c r="B91" s="278"/>
      <c r="C91" s="389"/>
      <c r="D91" s="390"/>
      <c r="E91" s="390"/>
      <c r="F91" s="390"/>
      <c r="G91" s="278"/>
      <c r="H91" s="278"/>
    </row>
    <row r="92" spans="2:8" x14ac:dyDescent="0.3">
      <c r="B92" s="278"/>
      <c r="C92" s="389"/>
      <c r="D92" s="390"/>
      <c r="E92" s="390"/>
      <c r="F92" s="390"/>
      <c r="G92" s="278"/>
      <c r="H92" s="278"/>
    </row>
    <row r="93" spans="2:8" x14ac:dyDescent="0.3">
      <c r="B93" s="278"/>
      <c r="C93" s="389"/>
      <c r="D93" s="390"/>
      <c r="E93" s="390"/>
      <c r="F93" s="390"/>
      <c r="G93" s="278"/>
      <c r="H93" s="278"/>
    </row>
    <row r="94" spans="2:8" x14ac:dyDescent="0.3">
      <c r="B94" s="278"/>
      <c r="C94" s="389"/>
      <c r="D94" s="390"/>
      <c r="E94" s="390"/>
      <c r="F94" s="390"/>
      <c r="G94" s="278"/>
      <c r="H94" s="278"/>
    </row>
    <row r="95" spans="2:8" x14ac:dyDescent="0.3">
      <c r="B95" s="278"/>
      <c r="C95" s="389"/>
      <c r="D95" s="390"/>
      <c r="E95" s="390"/>
      <c r="F95" s="390"/>
      <c r="G95" s="278"/>
      <c r="H95" s="278"/>
    </row>
    <row r="96" spans="2:8" x14ac:dyDescent="0.3">
      <c r="B96" s="278"/>
      <c r="C96" s="389"/>
      <c r="D96" s="390"/>
      <c r="E96" s="390"/>
      <c r="F96" s="390"/>
      <c r="G96" s="278"/>
      <c r="H96" s="278"/>
    </row>
    <row r="97" spans="2:8" x14ac:dyDescent="0.3">
      <c r="B97" s="278"/>
      <c r="C97" s="389"/>
      <c r="D97" s="390"/>
      <c r="E97" s="390"/>
      <c r="F97" s="390"/>
      <c r="G97" s="278"/>
      <c r="H97" s="278"/>
    </row>
    <row r="98" spans="2:8" x14ac:dyDescent="0.3">
      <c r="B98" s="278"/>
      <c r="C98" s="389"/>
      <c r="D98" s="390"/>
      <c r="E98" s="390"/>
      <c r="F98" s="390"/>
      <c r="G98" s="278"/>
      <c r="H98" s="278"/>
    </row>
    <row r="99" spans="2:8" x14ac:dyDescent="0.3">
      <c r="B99" s="278"/>
      <c r="C99" s="389"/>
      <c r="D99" s="390"/>
      <c r="E99" s="390"/>
      <c r="F99" s="390"/>
      <c r="G99" s="278"/>
      <c r="H99" s="278"/>
    </row>
    <row r="100" spans="2:8" x14ac:dyDescent="0.3">
      <c r="B100" s="278"/>
      <c r="C100" s="389"/>
      <c r="D100" s="390"/>
      <c r="E100" s="390"/>
      <c r="F100" s="390"/>
      <c r="G100" s="278"/>
      <c r="H100" s="278"/>
    </row>
    <row r="101" spans="2:8" x14ac:dyDescent="0.3">
      <c r="B101" s="278"/>
      <c r="C101" s="389"/>
      <c r="D101" s="390"/>
      <c r="E101" s="390"/>
      <c r="F101" s="390"/>
      <c r="G101" s="278"/>
      <c r="H101" s="278"/>
    </row>
    <row r="102" spans="2:8" x14ac:dyDescent="0.3">
      <c r="B102" s="278"/>
      <c r="C102" s="389"/>
      <c r="D102" s="390"/>
      <c r="E102" s="390"/>
      <c r="F102" s="390"/>
      <c r="G102" s="278"/>
      <c r="H102" s="278"/>
    </row>
    <row r="103" spans="2:8" x14ac:dyDescent="0.3">
      <c r="B103" s="278"/>
      <c r="C103" s="389"/>
      <c r="D103" s="390"/>
      <c r="E103" s="390"/>
      <c r="F103" s="390"/>
      <c r="G103" s="278"/>
      <c r="H103" s="278"/>
    </row>
    <row r="104" spans="2:8" x14ac:dyDescent="0.3">
      <c r="B104" s="278"/>
      <c r="C104" s="389"/>
      <c r="D104" s="390"/>
      <c r="E104" s="390"/>
      <c r="F104" s="390"/>
      <c r="G104" s="278"/>
      <c r="H104" s="278"/>
    </row>
    <row r="105" spans="2:8" x14ac:dyDescent="0.3">
      <c r="B105" s="278"/>
      <c r="C105" s="389"/>
      <c r="D105" s="390"/>
      <c r="E105" s="390"/>
      <c r="F105" s="390"/>
      <c r="G105" s="278"/>
      <c r="H105" s="278"/>
    </row>
    <row r="106" spans="2:8" x14ac:dyDescent="0.3">
      <c r="B106" s="278"/>
      <c r="C106" s="389"/>
      <c r="D106" s="390"/>
      <c r="E106" s="390"/>
      <c r="F106" s="390"/>
      <c r="G106" s="278"/>
      <c r="H106" s="278"/>
    </row>
    <row r="107" spans="2:8" x14ac:dyDescent="0.3">
      <c r="B107" s="278"/>
      <c r="C107" s="389"/>
      <c r="D107" s="390"/>
      <c r="E107" s="390"/>
      <c r="F107" s="390"/>
      <c r="G107" s="278"/>
      <c r="H107" s="278"/>
    </row>
    <row r="108" spans="2:8" x14ac:dyDescent="0.3">
      <c r="B108" s="278"/>
      <c r="C108" s="389"/>
      <c r="D108" s="390"/>
      <c r="E108" s="390"/>
      <c r="F108" s="390"/>
      <c r="G108" s="278"/>
      <c r="H108" s="278"/>
    </row>
    <row r="109" spans="2:8" x14ac:dyDescent="0.3">
      <c r="B109" s="278"/>
      <c r="C109" s="389"/>
      <c r="D109" s="390"/>
      <c r="E109" s="390"/>
      <c r="F109" s="390"/>
      <c r="G109" s="278"/>
      <c r="H109" s="278"/>
    </row>
    <row r="110" spans="2:8" x14ac:dyDescent="0.3">
      <c r="B110" s="278"/>
      <c r="C110" s="389"/>
      <c r="D110" s="390"/>
      <c r="E110" s="390"/>
      <c r="F110" s="390"/>
      <c r="G110" s="278"/>
      <c r="H110" s="278"/>
    </row>
    <row r="111" spans="2:8" x14ac:dyDescent="0.3">
      <c r="B111" s="391"/>
      <c r="C111" s="392"/>
      <c r="D111" s="393"/>
      <c r="E111" s="393"/>
      <c r="F111" s="393"/>
      <c r="G111" s="278"/>
      <c r="H111" s="278"/>
    </row>
    <row r="112" spans="2:8" x14ac:dyDescent="0.3">
      <c r="B112" s="278"/>
      <c r="C112" s="389"/>
      <c r="D112" s="390"/>
      <c r="E112" s="390"/>
      <c r="F112" s="390"/>
      <c r="G112" s="278"/>
      <c r="H112" s="278"/>
    </row>
    <row r="113" spans="2:8" x14ac:dyDescent="0.3">
      <c r="B113" s="278"/>
      <c r="C113" s="389"/>
      <c r="D113" s="390"/>
      <c r="E113" s="390"/>
      <c r="F113" s="390"/>
      <c r="G113" s="278"/>
      <c r="H113" s="278"/>
    </row>
    <row r="114" spans="2:8" x14ac:dyDescent="0.3">
      <c r="B114" s="278"/>
      <c r="C114" s="389"/>
      <c r="D114" s="390"/>
      <c r="E114" s="390"/>
      <c r="F114" s="390"/>
      <c r="G114" s="278"/>
      <c r="H114" s="278"/>
    </row>
    <row r="115" spans="2:8" x14ac:dyDescent="0.3">
      <c r="B115" s="278"/>
      <c r="C115" s="389"/>
      <c r="D115" s="390"/>
      <c r="E115" s="390"/>
      <c r="F115" s="390"/>
      <c r="G115" s="278"/>
      <c r="H115" s="278"/>
    </row>
    <row r="116" spans="2:8" x14ac:dyDescent="0.3">
      <c r="B116" s="278"/>
      <c r="C116" s="389"/>
      <c r="D116" s="390"/>
      <c r="E116" s="390"/>
      <c r="F116" s="390"/>
      <c r="G116" s="278"/>
      <c r="H116" s="278"/>
    </row>
    <row r="117" spans="2:8" x14ac:dyDescent="0.3">
      <c r="B117" s="278"/>
      <c r="C117" s="389"/>
      <c r="D117" s="390"/>
      <c r="E117" s="390"/>
      <c r="F117" s="390"/>
      <c r="G117" s="278"/>
      <c r="H117" s="278"/>
    </row>
    <row r="118" spans="2:8" x14ac:dyDescent="0.3">
      <c r="B118" s="278"/>
      <c r="C118" s="389"/>
      <c r="D118" s="390"/>
      <c r="E118" s="390"/>
      <c r="F118" s="390"/>
      <c r="G118" s="278"/>
      <c r="H118" s="278"/>
    </row>
    <row r="119" spans="2:8" x14ac:dyDescent="0.3">
      <c r="B119" s="278"/>
      <c r="C119" s="389"/>
      <c r="D119" s="390"/>
      <c r="E119" s="390"/>
      <c r="F119" s="390"/>
      <c r="G119" s="278"/>
      <c r="H119" s="278"/>
    </row>
    <row r="120" spans="2:8" x14ac:dyDescent="0.3">
      <c r="B120" s="278"/>
      <c r="C120" s="389"/>
      <c r="D120" s="390"/>
      <c r="E120" s="390"/>
      <c r="F120" s="390"/>
      <c r="G120" s="278"/>
      <c r="H120" s="278"/>
    </row>
    <row r="121" spans="2:8" x14ac:dyDescent="0.3">
      <c r="B121" s="278"/>
      <c r="C121" s="389"/>
      <c r="D121" s="390"/>
      <c r="E121" s="390"/>
      <c r="F121" s="390"/>
      <c r="G121" s="278"/>
      <c r="H121" s="278"/>
    </row>
    <row r="122" spans="2:8" x14ac:dyDescent="0.3">
      <c r="B122" s="278"/>
      <c r="C122" s="389"/>
      <c r="D122" s="390"/>
      <c r="E122" s="390"/>
      <c r="F122" s="390"/>
      <c r="G122" s="278"/>
      <c r="H122" s="278"/>
    </row>
    <row r="123" spans="2:8" x14ac:dyDescent="0.3">
      <c r="B123" s="278"/>
      <c r="C123" s="389"/>
      <c r="D123" s="390"/>
      <c r="E123" s="390"/>
      <c r="F123" s="390"/>
      <c r="G123" s="278"/>
      <c r="H123" s="278"/>
    </row>
    <row r="124" spans="2:8" x14ac:dyDescent="0.3">
      <c r="B124" s="278"/>
      <c r="C124" s="389"/>
      <c r="D124" s="390"/>
      <c r="E124" s="390"/>
      <c r="F124" s="390"/>
      <c r="G124" s="278"/>
      <c r="H124" s="278"/>
    </row>
    <row r="125" spans="2:8" x14ac:dyDescent="0.3">
      <c r="B125" s="278"/>
      <c r="C125" s="389"/>
      <c r="D125" s="390"/>
      <c r="E125" s="390"/>
      <c r="F125" s="390"/>
      <c r="G125" s="278"/>
      <c r="H125" s="278"/>
    </row>
    <row r="126" spans="2:8" x14ac:dyDescent="0.3">
      <c r="B126" s="278"/>
      <c r="C126" s="389"/>
      <c r="D126" s="390"/>
      <c r="E126" s="390"/>
      <c r="F126" s="390"/>
      <c r="G126" s="278"/>
      <c r="H126" s="278"/>
    </row>
    <row r="127" spans="2:8" x14ac:dyDescent="0.3">
      <c r="B127" s="278"/>
      <c r="C127" s="389"/>
      <c r="D127" s="390"/>
      <c r="E127" s="390"/>
      <c r="F127" s="390"/>
      <c r="G127" s="278"/>
      <c r="H127" s="278"/>
    </row>
    <row r="128" spans="2:8" x14ac:dyDescent="0.3">
      <c r="B128" s="278"/>
      <c r="C128" s="389"/>
      <c r="D128" s="390"/>
      <c r="E128" s="390"/>
      <c r="F128" s="390"/>
      <c r="G128" s="278"/>
      <c r="H128" s="278"/>
    </row>
    <row r="129" spans="2:8" x14ac:dyDescent="0.3">
      <c r="B129" s="278"/>
      <c r="C129" s="389"/>
      <c r="D129" s="390"/>
      <c r="E129" s="390"/>
      <c r="F129" s="390"/>
      <c r="G129" s="278"/>
      <c r="H129" s="278"/>
    </row>
    <row r="130" spans="2:8" x14ac:dyDescent="0.3">
      <c r="B130" s="278"/>
      <c r="C130" s="389"/>
      <c r="D130" s="390"/>
      <c r="E130" s="390"/>
      <c r="F130" s="390"/>
      <c r="G130" s="278"/>
      <c r="H130" s="278"/>
    </row>
    <row r="131" spans="2:8" x14ac:dyDescent="0.3">
      <c r="B131" s="278"/>
      <c r="C131" s="389"/>
      <c r="D131" s="390"/>
      <c r="E131" s="390"/>
      <c r="F131" s="390"/>
      <c r="G131" s="278"/>
      <c r="H131" s="278"/>
    </row>
    <row r="132" spans="2:8" x14ac:dyDescent="0.3">
      <c r="B132" s="278"/>
      <c r="C132" s="389"/>
      <c r="D132" s="390"/>
      <c r="E132" s="390"/>
      <c r="F132" s="390"/>
      <c r="G132" s="278"/>
      <c r="H132" s="278"/>
    </row>
    <row r="133" spans="2:8" x14ac:dyDescent="0.3">
      <c r="B133" s="278"/>
      <c r="C133" s="389"/>
      <c r="D133" s="390"/>
      <c r="E133" s="390"/>
      <c r="F133" s="390"/>
      <c r="G133" s="278"/>
      <c r="H133" s="278"/>
    </row>
    <row r="134" spans="2:8" x14ac:dyDescent="0.3">
      <c r="B134" s="278"/>
      <c r="C134" s="389"/>
      <c r="D134" s="390"/>
      <c r="E134" s="390"/>
      <c r="F134" s="390"/>
      <c r="G134" s="278"/>
      <c r="H134" s="278"/>
    </row>
    <row r="135" spans="2:8" x14ac:dyDescent="0.3">
      <c r="B135" s="278"/>
      <c r="C135" s="389"/>
      <c r="D135" s="390"/>
      <c r="E135" s="390"/>
      <c r="F135" s="390"/>
      <c r="G135" s="278"/>
      <c r="H135" s="278"/>
    </row>
    <row r="136" spans="2:8" x14ac:dyDescent="0.3">
      <c r="B136" s="278"/>
      <c r="C136" s="389"/>
      <c r="D136" s="390"/>
      <c r="E136" s="390"/>
      <c r="F136" s="390"/>
      <c r="G136" s="278"/>
      <c r="H136" s="278"/>
    </row>
    <row r="137" spans="2:8" x14ac:dyDescent="0.3">
      <c r="B137" s="278"/>
      <c r="C137" s="389"/>
      <c r="D137" s="390"/>
      <c r="E137" s="390"/>
      <c r="F137" s="390"/>
      <c r="G137" s="278"/>
      <c r="H137" s="278"/>
    </row>
    <row r="138" spans="2:8" x14ac:dyDescent="0.3">
      <c r="B138" s="278"/>
      <c r="C138" s="389"/>
      <c r="D138" s="390"/>
      <c r="E138" s="390"/>
      <c r="F138" s="390"/>
      <c r="G138" s="278"/>
      <c r="H138" s="278"/>
    </row>
    <row r="139" spans="2:8" x14ac:dyDescent="0.3">
      <c r="B139" s="278"/>
      <c r="C139" s="389"/>
      <c r="D139" s="390"/>
      <c r="E139" s="390"/>
      <c r="F139" s="390"/>
      <c r="G139" s="278"/>
      <c r="H139" s="278"/>
    </row>
    <row r="140" spans="2:8" x14ac:dyDescent="0.3">
      <c r="B140" s="278"/>
      <c r="C140" s="389"/>
      <c r="D140" s="390"/>
      <c r="E140" s="390"/>
      <c r="F140" s="390"/>
      <c r="G140" s="278"/>
      <c r="H140" s="278"/>
    </row>
    <row r="141" spans="2:8" x14ac:dyDescent="0.3">
      <c r="B141" s="278"/>
      <c r="C141" s="389"/>
      <c r="D141" s="390"/>
      <c r="E141" s="390"/>
      <c r="F141" s="390"/>
      <c r="G141" s="278"/>
      <c r="H141" s="278"/>
    </row>
    <row r="142" spans="2:8" x14ac:dyDescent="0.3">
      <c r="B142" s="278"/>
      <c r="C142" s="389"/>
      <c r="D142" s="390"/>
      <c r="E142" s="390"/>
      <c r="F142" s="390"/>
      <c r="G142" s="278"/>
      <c r="H142" s="278"/>
    </row>
    <row r="143" spans="2:8" x14ac:dyDescent="0.3">
      <c r="B143" s="278"/>
      <c r="C143" s="389"/>
      <c r="D143" s="390"/>
      <c r="E143" s="390"/>
      <c r="F143" s="390"/>
      <c r="G143" s="278"/>
      <c r="H143" s="278"/>
    </row>
    <row r="144" spans="2:8" x14ac:dyDescent="0.3">
      <c r="B144" s="278"/>
      <c r="C144" s="389"/>
      <c r="D144" s="390"/>
      <c r="E144" s="390"/>
      <c r="F144" s="390"/>
      <c r="G144" s="278"/>
      <c r="H144" s="278"/>
    </row>
    <row r="145" spans="2:8" x14ac:dyDescent="0.3">
      <c r="B145" s="278"/>
      <c r="C145" s="389"/>
      <c r="D145" s="390"/>
      <c r="E145" s="390"/>
      <c r="F145" s="390"/>
      <c r="G145" s="278"/>
      <c r="H145" s="278"/>
    </row>
    <row r="146" spans="2:8" x14ac:dyDescent="0.3">
      <c r="B146" s="278"/>
      <c r="C146" s="389"/>
      <c r="D146" s="390"/>
      <c r="E146" s="390"/>
      <c r="F146" s="390"/>
      <c r="G146" s="278"/>
      <c r="H146" s="278"/>
    </row>
    <row r="147" spans="2:8" x14ac:dyDescent="0.3">
      <c r="B147" s="278"/>
      <c r="C147" s="389"/>
      <c r="D147" s="390"/>
      <c r="E147" s="390"/>
      <c r="F147" s="390"/>
      <c r="G147" s="278"/>
      <c r="H147" s="278"/>
    </row>
    <row r="148" spans="2:8" x14ac:dyDescent="0.3">
      <c r="B148" s="278"/>
      <c r="C148" s="389"/>
      <c r="D148" s="390"/>
      <c r="E148" s="390"/>
      <c r="F148" s="390"/>
      <c r="G148" s="278"/>
      <c r="H148" s="278"/>
    </row>
    <row r="149" spans="2:8" x14ac:dyDescent="0.3">
      <c r="B149" s="278"/>
      <c r="C149" s="389"/>
      <c r="D149" s="390"/>
      <c r="E149" s="390"/>
      <c r="F149" s="390"/>
      <c r="G149" s="278"/>
      <c r="H149" s="278"/>
    </row>
    <row r="150" spans="2:8" x14ac:dyDescent="0.3">
      <c r="B150" s="278"/>
      <c r="C150" s="389"/>
      <c r="D150" s="390"/>
      <c r="E150" s="390"/>
      <c r="F150" s="390"/>
      <c r="G150" s="278"/>
      <c r="H150" s="278"/>
    </row>
    <row r="151" spans="2:8" x14ac:dyDescent="0.3">
      <c r="B151" s="278"/>
      <c r="C151" s="389"/>
      <c r="D151" s="390"/>
      <c r="E151" s="390"/>
      <c r="F151" s="390"/>
      <c r="G151" s="278"/>
      <c r="H151" s="278"/>
    </row>
    <row r="152" spans="2:8" x14ac:dyDescent="0.3">
      <c r="B152" s="278"/>
      <c r="C152" s="389"/>
      <c r="D152" s="390"/>
      <c r="E152" s="390"/>
      <c r="F152" s="390"/>
      <c r="G152" s="278"/>
      <c r="H152" s="278"/>
    </row>
    <row r="153" spans="2:8" x14ac:dyDescent="0.3">
      <c r="B153" s="278"/>
      <c r="C153" s="389"/>
      <c r="D153" s="390"/>
      <c r="E153" s="390"/>
      <c r="F153" s="390"/>
      <c r="G153" s="278"/>
      <c r="H153" s="278"/>
    </row>
    <row r="154" spans="2:8" x14ac:dyDescent="0.3">
      <c r="B154" s="278"/>
      <c r="C154" s="389"/>
      <c r="D154" s="390"/>
      <c r="E154" s="390"/>
      <c r="F154" s="390"/>
      <c r="G154" s="278"/>
      <c r="H154" s="278"/>
    </row>
    <row r="155" spans="2:8" x14ac:dyDescent="0.3">
      <c r="B155" s="278"/>
      <c r="C155" s="389"/>
      <c r="D155" s="390"/>
      <c r="E155" s="390"/>
      <c r="F155" s="390"/>
      <c r="G155" s="278"/>
      <c r="H155" s="278"/>
    </row>
    <row r="156" spans="2:8" x14ac:dyDescent="0.3">
      <c r="B156" s="278"/>
      <c r="C156" s="389"/>
      <c r="D156" s="390"/>
      <c r="E156" s="390"/>
      <c r="F156" s="390"/>
      <c r="G156" s="278"/>
      <c r="H156" s="278"/>
    </row>
    <row r="157" spans="2:8" x14ac:dyDescent="0.3">
      <c r="B157" s="278"/>
      <c r="C157" s="389"/>
      <c r="D157" s="390"/>
      <c r="E157" s="390"/>
      <c r="F157" s="390"/>
      <c r="G157" s="278"/>
      <c r="H157" s="278"/>
    </row>
    <row r="158" spans="2:8" x14ac:dyDescent="0.3">
      <c r="B158" s="278"/>
      <c r="C158" s="389"/>
      <c r="D158" s="390"/>
      <c r="E158" s="390"/>
      <c r="F158" s="390"/>
      <c r="G158" s="278"/>
      <c r="H158" s="278"/>
    </row>
    <row r="159" spans="2:8" x14ac:dyDescent="0.3">
      <c r="B159" s="278"/>
      <c r="C159" s="389"/>
      <c r="D159" s="390"/>
      <c r="E159" s="390"/>
      <c r="F159" s="390"/>
      <c r="G159" s="278"/>
      <c r="H159" s="278"/>
    </row>
    <row r="160" spans="2:8" x14ac:dyDescent="0.3">
      <c r="B160" s="278"/>
      <c r="C160" s="389"/>
      <c r="D160" s="390"/>
      <c r="E160" s="390"/>
      <c r="F160" s="390"/>
      <c r="G160" s="278"/>
      <c r="H160" s="278"/>
    </row>
    <row r="161" spans="2:8" x14ac:dyDescent="0.3">
      <c r="B161" s="278"/>
      <c r="C161" s="389"/>
      <c r="D161" s="390"/>
      <c r="E161" s="390"/>
      <c r="F161" s="390"/>
      <c r="G161" s="278"/>
      <c r="H161" s="278"/>
    </row>
    <row r="162" spans="2:8" x14ac:dyDescent="0.3">
      <c r="B162" s="278"/>
      <c r="C162" s="389"/>
      <c r="D162" s="390"/>
      <c r="E162" s="390"/>
      <c r="F162" s="390"/>
      <c r="G162" s="278"/>
      <c r="H162" s="278"/>
    </row>
    <row r="163" spans="2:8" x14ac:dyDescent="0.3">
      <c r="B163" s="278"/>
      <c r="C163" s="389"/>
      <c r="D163" s="390"/>
      <c r="E163" s="390"/>
      <c r="F163" s="390"/>
      <c r="G163" s="278"/>
      <c r="H163" s="278"/>
    </row>
    <row r="164" spans="2:8" x14ac:dyDescent="0.3">
      <c r="B164" s="278"/>
      <c r="C164" s="389"/>
      <c r="D164" s="390"/>
      <c r="E164" s="390"/>
      <c r="F164" s="390"/>
      <c r="G164" s="278"/>
      <c r="H164" s="278"/>
    </row>
    <row r="165" spans="2:8" x14ac:dyDescent="0.3">
      <c r="B165" s="278"/>
      <c r="C165" s="389"/>
      <c r="D165" s="390"/>
      <c r="E165" s="390"/>
      <c r="F165" s="390"/>
      <c r="G165" s="278"/>
      <c r="H165" s="278"/>
    </row>
    <row r="166" spans="2:8" x14ac:dyDescent="0.3">
      <c r="B166" s="278"/>
      <c r="C166" s="389"/>
      <c r="D166" s="390"/>
      <c r="E166" s="390"/>
      <c r="F166" s="390"/>
      <c r="G166" s="278"/>
      <c r="H166" s="278"/>
    </row>
    <row r="167" spans="2:8" x14ac:dyDescent="0.3">
      <c r="B167" s="278"/>
      <c r="C167" s="389"/>
      <c r="D167" s="390"/>
      <c r="E167" s="390"/>
      <c r="F167" s="390"/>
      <c r="G167" s="278"/>
      <c r="H167" s="278"/>
    </row>
    <row r="168" spans="2:8" x14ac:dyDescent="0.3">
      <c r="B168" s="278"/>
      <c r="C168" s="389"/>
      <c r="D168" s="390"/>
      <c r="E168" s="390"/>
      <c r="F168" s="390"/>
      <c r="G168" s="278"/>
      <c r="H168" s="278"/>
    </row>
    <row r="169" spans="2:8" x14ac:dyDescent="0.3">
      <c r="B169" s="278"/>
      <c r="C169" s="389"/>
      <c r="D169" s="390"/>
      <c r="E169" s="390"/>
      <c r="F169" s="390"/>
      <c r="G169" s="278"/>
      <c r="H169" s="278"/>
    </row>
    <row r="170" spans="2:8" x14ac:dyDescent="0.3">
      <c r="B170" s="278"/>
      <c r="C170" s="389"/>
      <c r="D170" s="390"/>
      <c r="E170" s="390"/>
      <c r="F170" s="390"/>
      <c r="G170" s="278"/>
      <c r="H170" s="278"/>
    </row>
    <row r="171" spans="2:8" x14ac:dyDescent="0.3">
      <c r="B171" s="278"/>
      <c r="C171" s="389"/>
      <c r="D171" s="390"/>
      <c r="E171" s="390"/>
      <c r="F171" s="390"/>
      <c r="G171" s="278"/>
      <c r="H171" s="278"/>
    </row>
    <row r="172" spans="2:8" x14ac:dyDescent="0.3">
      <c r="B172" s="278"/>
      <c r="C172" s="389"/>
      <c r="D172" s="390"/>
      <c r="E172" s="390"/>
      <c r="F172" s="390"/>
      <c r="G172" s="278"/>
      <c r="H172" s="278"/>
    </row>
    <row r="173" spans="2:8" x14ac:dyDescent="0.3">
      <c r="B173" s="278"/>
      <c r="C173" s="389"/>
      <c r="D173" s="390"/>
      <c r="E173" s="390"/>
      <c r="F173" s="390"/>
      <c r="G173" s="278"/>
      <c r="H173" s="278"/>
    </row>
    <row r="174" spans="2:8" x14ac:dyDescent="0.3">
      <c r="B174" s="278"/>
      <c r="C174" s="389"/>
      <c r="D174" s="390"/>
      <c r="E174" s="390"/>
      <c r="F174" s="390"/>
      <c r="G174" s="278"/>
      <c r="H174" s="278"/>
    </row>
    <row r="175" spans="2:8" x14ac:dyDescent="0.3">
      <c r="B175" s="278"/>
      <c r="C175" s="389"/>
      <c r="D175" s="390"/>
      <c r="E175" s="390"/>
      <c r="F175" s="390"/>
      <c r="G175" s="278"/>
      <c r="H175" s="278"/>
    </row>
    <row r="176" spans="2:8" x14ac:dyDescent="0.3">
      <c r="B176" s="278"/>
      <c r="C176" s="389"/>
      <c r="D176" s="390"/>
      <c r="E176" s="390"/>
      <c r="F176" s="390"/>
      <c r="G176" s="278"/>
      <c r="H176" s="278"/>
    </row>
    <row r="177" spans="2:8" x14ac:dyDescent="0.3">
      <c r="B177" s="278"/>
      <c r="C177" s="389"/>
      <c r="D177" s="390"/>
      <c r="E177" s="390"/>
      <c r="F177" s="390"/>
      <c r="G177" s="278"/>
      <c r="H177" s="278"/>
    </row>
    <row r="178" spans="2:8" x14ac:dyDescent="0.3">
      <c r="B178" s="278"/>
      <c r="C178" s="389"/>
      <c r="D178" s="390"/>
      <c r="E178" s="390"/>
      <c r="F178" s="390"/>
      <c r="G178" s="278"/>
      <c r="H178" s="278"/>
    </row>
    <row r="179" spans="2:8" x14ac:dyDescent="0.3">
      <c r="B179" s="278"/>
      <c r="C179" s="389"/>
      <c r="D179" s="390"/>
      <c r="E179" s="390"/>
      <c r="F179" s="390"/>
      <c r="G179" s="278"/>
      <c r="H179" s="278"/>
    </row>
    <row r="180" spans="2:8" x14ac:dyDescent="0.3">
      <c r="B180" s="278"/>
      <c r="C180" s="389"/>
      <c r="D180" s="390"/>
      <c r="E180" s="390"/>
      <c r="F180" s="390"/>
      <c r="G180" s="278"/>
      <c r="H180" s="278"/>
    </row>
    <row r="181" spans="2:8" x14ac:dyDescent="0.3">
      <c r="B181" s="278"/>
      <c r="C181" s="389"/>
      <c r="D181" s="390"/>
      <c r="E181" s="390"/>
      <c r="F181" s="390"/>
      <c r="G181" s="278"/>
      <c r="H181" s="278"/>
    </row>
    <row r="182" spans="2:8" x14ac:dyDescent="0.3">
      <c r="B182" s="278"/>
      <c r="C182" s="389"/>
      <c r="D182" s="390"/>
      <c r="E182" s="390"/>
      <c r="F182" s="390"/>
      <c r="G182" s="278"/>
      <c r="H182" s="278"/>
    </row>
    <row r="183" spans="2:8" x14ac:dyDescent="0.3">
      <c r="B183" s="278"/>
      <c r="C183" s="389"/>
      <c r="D183" s="390"/>
      <c r="E183" s="390"/>
      <c r="F183" s="390"/>
      <c r="G183" s="278"/>
      <c r="H183" s="278"/>
    </row>
    <row r="184" spans="2:8" x14ac:dyDescent="0.3">
      <c r="B184" s="278"/>
      <c r="C184" s="389"/>
      <c r="D184" s="390"/>
      <c r="E184" s="390"/>
      <c r="F184" s="390"/>
      <c r="G184" s="278"/>
      <c r="H184" s="278"/>
    </row>
    <row r="185" spans="2:8" x14ac:dyDescent="0.3">
      <c r="B185" s="278"/>
      <c r="C185" s="389"/>
      <c r="D185" s="390"/>
      <c r="E185" s="390"/>
      <c r="F185" s="390"/>
      <c r="G185" s="278"/>
      <c r="H185" s="278"/>
    </row>
    <row r="186" spans="2:8" x14ac:dyDescent="0.3">
      <c r="B186" s="278"/>
      <c r="C186" s="389"/>
      <c r="D186" s="390"/>
      <c r="E186" s="390"/>
      <c r="F186" s="390"/>
      <c r="G186" s="278"/>
      <c r="H186" s="278"/>
    </row>
    <row r="187" spans="2:8" x14ac:dyDescent="0.3">
      <c r="B187" s="278"/>
      <c r="C187" s="389"/>
      <c r="D187" s="390"/>
      <c r="E187" s="390"/>
      <c r="F187" s="390"/>
      <c r="G187" s="278"/>
      <c r="H187" s="278"/>
    </row>
    <row r="188" spans="2:8" x14ac:dyDescent="0.3">
      <c r="B188" s="278"/>
      <c r="C188" s="389"/>
      <c r="D188" s="390"/>
      <c r="E188" s="390"/>
      <c r="F188" s="390"/>
      <c r="G188" s="278"/>
      <c r="H188" s="278"/>
    </row>
    <row r="189" spans="2:8" x14ac:dyDescent="0.3">
      <c r="B189" s="278"/>
      <c r="C189" s="389"/>
      <c r="D189" s="390"/>
      <c r="E189" s="390"/>
      <c r="F189" s="390"/>
      <c r="G189" s="278"/>
      <c r="H189" s="278"/>
    </row>
    <row r="190" spans="2:8" x14ac:dyDescent="0.3">
      <c r="B190" s="278"/>
      <c r="C190" s="389"/>
      <c r="D190" s="390"/>
      <c r="E190" s="390"/>
      <c r="F190" s="390"/>
      <c r="G190" s="278"/>
      <c r="H190" s="278"/>
    </row>
    <row r="191" spans="2:8" x14ac:dyDescent="0.3">
      <c r="B191" s="278"/>
      <c r="C191" s="389"/>
      <c r="D191" s="390"/>
      <c r="E191" s="390"/>
      <c r="F191" s="390"/>
      <c r="G191" s="278"/>
      <c r="H191" s="278"/>
    </row>
    <row r="192" spans="2:8" x14ac:dyDescent="0.3">
      <c r="B192" s="278"/>
      <c r="C192" s="389"/>
      <c r="D192" s="390"/>
      <c r="E192" s="390"/>
      <c r="F192" s="390"/>
      <c r="G192" s="278"/>
      <c r="H192" s="278"/>
    </row>
    <row r="193" spans="2:8" x14ac:dyDescent="0.3">
      <c r="B193" s="278"/>
      <c r="C193" s="389"/>
      <c r="D193" s="390"/>
      <c r="E193" s="390"/>
      <c r="F193" s="390"/>
      <c r="G193" s="278"/>
      <c r="H193" s="278"/>
    </row>
    <row r="194" spans="2:8" x14ac:dyDescent="0.3">
      <c r="B194" s="278"/>
      <c r="C194" s="389"/>
      <c r="D194" s="390"/>
      <c r="E194" s="390"/>
      <c r="F194" s="390"/>
      <c r="G194" s="278"/>
      <c r="H194" s="278"/>
    </row>
    <row r="195" spans="2:8" x14ac:dyDescent="0.3">
      <c r="B195" s="278"/>
      <c r="C195" s="389"/>
      <c r="D195" s="390"/>
      <c r="E195" s="390"/>
      <c r="F195" s="390"/>
      <c r="G195" s="278"/>
      <c r="H195" s="278"/>
    </row>
    <row r="196" spans="2:8" x14ac:dyDescent="0.3">
      <c r="B196" s="278"/>
      <c r="C196" s="389"/>
      <c r="D196" s="390"/>
      <c r="E196" s="390"/>
      <c r="F196" s="390"/>
      <c r="G196" s="278"/>
      <c r="H196" s="278"/>
    </row>
    <row r="197" spans="2:8" x14ac:dyDescent="0.3">
      <c r="B197" s="278"/>
      <c r="C197" s="389"/>
      <c r="D197" s="390"/>
      <c r="E197" s="390"/>
      <c r="F197" s="390"/>
      <c r="G197" s="278"/>
      <c r="H197" s="278"/>
    </row>
    <row r="198" spans="2:8" x14ac:dyDescent="0.3">
      <c r="B198" s="278"/>
      <c r="C198" s="389"/>
      <c r="D198" s="390"/>
      <c r="E198" s="390"/>
      <c r="F198" s="390"/>
      <c r="G198" s="278"/>
      <c r="H198" s="278"/>
    </row>
    <row r="199" spans="2:8" x14ac:dyDescent="0.3">
      <c r="B199" s="278"/>
      <c r="C199" s="389"/>
      <c r="D199" s="390"/>
      <c r="E199" s="390"/>
      <c r="F199" s="390"/>
      <c r="G199" s="278"/>
      <c r="H199" s="278"/>
    </row>
    <row r="200" spans="2:8" x14ac:dyDescent="0.3">
      <c r="B200" s="278"/>
      <c r="C200" s="389"/>
      <c r="D200" s="390"/>
      <c r="E200" s="390"/>
      <c r="F200" s="390"/>
      <c r="G200" s="278"/>
      <c r="H200" s="278"/>
    </row>
    <row r="201" spans="2:8" x14ac:dyDescent="0.3">
      <c r="B201" s="278"/>
      <c r="C201" s="389"/>
      <c r="D201" s="390"/>
      <c r="E201" s="390"/>
      <c r="F201" s="390"/>
      <c r="G201" s="278"/>
      <c r="H201" s="278"/>
    </row>
    <row r="202" spans="2:8" x14ac:dyDescent="0.3">
      <c r="B202" s="278"/>
      <c r="C202" s="389"/>
      <c r="D202" s="390"/>
      <c r="E202" s="390"/>
      <c r="F202" s="390"/>
      <c r="G202" s="278"/>
      <c r="H202" s="278"/>
    </row>
    <row r="203" spans="2:8" x14ac:dyDescent="0.3">
      <c r="B203" s="278"/>
      <c r="C203" s="389"/>
      <c r="D203" s="390"/>
      <c r="E203" s="390"/>
      <c r="F203" s="390"/>
      <c r="G203" s="278"/>
      <c r="H203" s="278"/>
    </row>
    <row r="204" spans="2:8" x14ac:dyDescent="0.3">
      <c r="B204" s="278"/>
      <c r="C204" s="389"/>
      <c r="D204" s="390"/>
      <c r="E204" s="390"/>
      <c r="F204" s="390"/>
      <c r="G204" s="278"/>
      <c r="H204" s="278"/>
    </row>
    <row r="205" spans="2:8" x14ac:dyDescent="0.3">
      <c r="B205" s="278"/>
      <c r="C205" s="389"/>
      <c r="D205" s="390"/>
      <c r="E205" s="390"/>
      <c r="F205" s="390"/>
      <c r="G205" s="278"/>
      <c r="H205" s="278"/>
    </row>
    <row r="206" spans="2:8" x14ac:dyDescent="0.3">
      <c r="B206" s="278"/>
      <c r="C206" s="389"/>
      <c r="D206" s="390"/>
      <c r="E206" s="390"/>
      <c r="F206" s="390"/>
      <c r="G206" s="278"/>
      <c r="H206" s="278"/>
    </row>
    <row r="207" spans="2:8" x14ac:dyDescent="0.3">
      <c r="B207" s="278"/>
      <c r="C207" s="389"/>
      <c r="D207" s="390"/>
      <c r="E207" s="390"/>
      <c r="F207" s="390"/>
      <c r="G207" s="278"/>
      <c r="H207" s="278"/>
    </row>
    <row r="208" spans="2:8" x14ac:dyDescent="0.3">
      <c r="B208" s="278"/>
      <c r="C208" s="389"/>
      <c r="D208" s="390"/>
      <c r="E208" s="390"/>
      <c r="F208" s="390"/>
      <c r="G208" s="278"/>
      <c r="H208" s="278"/>
    </row>
    <row r="209" spans="2:8" x14ac:dyDescent="0.3">
      <c r="B209" s="278"/>
      <c r="C209" s="389"/>
      <c r="D209" s="390"/>
      <c r="E209" s="390"/>
      <c r="F209" s="390"/>
      <c r="G209" s="278"/>
      <c r="H209" s="278"/>
    </row>
    <row r="210" spans="2:8" x14ac:dyDescent="0.3">
      <c r="B210" s="278"/>
      <c r="C210" s="389"/>
      <c r="D210" s="390"/>
      <c r="E210" s="390"/>
      <c r="F210" s="390"/>
      <c r="G210" s="278"/>
      <c r="H210" s="278"/>
    </row>
    <row r="211" spans="2:8" x14ac:dyDescent="0.3">
      <c r="B211" s="278"/>
      <c r="C211" s="389"/>
      <c r="D211" s="390"/>
      <c r="E211" s="390"/>
      <c r="F211" s="390"/>
      <c r="G211" s="278"/>
      <c r="H211" s="278"/>
    </row>
    <row r="212" spans="2:8" x14ac:dyDescent="0.3">
      <c r="B212" s="278"/>
      <c r="C212" s="389"/>
      <c r="D212" s="390"/>
      <c r="E212" s="390"/>
      <c r="F212" s="390"/>
      <c r="G212" s="278"/>
      <c r="H212" s="278"/>
    </row>
    <row r="213" spans="2:8" x14ac:dyDescent="0.3">
      <c r="B213" s="278"/>
      <c r="C213" s="389"/>
      <c r="D213" s="390"/>
      <c r="E213" s="390"/>
      <c r="F213" s="390"/>
      <c r="G213" s="278"/>
      <c r="H213" s="278"/>
    </row>
    <row r="214" spans="2:8" x14ac:dyDescent="0.3">
      <c r="B214" s="278"/>
      <c r="C214" s="389"/>
      <c r="D214" s="390"/>
      <c r="E214" s="390"/>
      <c r="F214" s="390"/>
      <c r="G214" s="278"/>
      <c r="H214" s="278"/>
    </row>
    <row r="215" spans="2:8" x14ac:dyDescent="0.3">
      <c r="B215" s="278"/>
      <c r="C215" s="389"/>
      <c r="D215" s="390"/>
      <c r="E215" s="390"/>
      <c r="F215" s="390"/>
      <c r="G215" s="278"/>
      <c r="H215" s="278"/>
    </row>
    <row r="216" spans="2:8" x14ac:dyDescent="0.3">
      <c r="B216" s="278"/>
      <c r="C216" s="389"/>
      <c r="D216" s="390"/>
      <c r="E216" s="390"/>
      <c r="F216" s="390"/>
      <c r="G216" s="278"/>
      <c r="H216" s="278"/>
    </row>
    <row r="217" spans="2:8" x14ac:dyDescent="0.3">
      <c r="B217" s="278"/>
      <c r="C217" s="389"/>
      <c r="D217" s="390"/>
      <c r="E217" s="390"/>
      <c r="F217" s="390"/>
      <c r="G217" s="278"/>
      <c r="H217" s="278"/>
    </row>
    <row r="218" spans="2:8" x14ac:dyDescent="0.3">
      <c r="B218" s="278"/>
      <c r="C218" s="389"/>
      <c r="D218" s="390"/>
      <c r="E218" s="390"/>
      <c r="F218" s="390"/>
      <c r="G218" s="278"/>
      <c r="H218" s="278"/>
    </row>
    <row r="219" spans="2:8" x14ac:dyDescent="0.3">
      <c r="B219" s="278"/>
      <c r="C219" s="389"/>
      <c r="D219" s="390"/>
      <c r="E219" s="390"/>
      <c r="F219" s="390"/>
      <c r="G219" s="278"/>
      <c r="H219" s="278"/>
    </row>
    <row r="220" spans="2:8" x14ac:dyDescent="0.3">
      <c r="B220" s="278"/>
      <c r="C220" s="389"/>
      <c r="D220" s="390"/>
      <c r="E220" s="390"/>
      <c r="F220" s="390"/>
      <c r="G220" s="278"/>
      <c r="H220" s="278"/>
    </row>
    <row r="221" spans="2:8" x14ac:dyDescent="0.3">
      <c r="B221" s="278"/>
      <c r="C221" s="389"/>
      <c r="D221" s="390"/>
      <c r="E221" s="390"/>
      <c r="F221" s="390"/>
      <c r="G221" s="278"/>
      <c r="H221" s="278"/>
    </row>
    <row r="222" spans="2:8" x14ac:dyDescent="0.3">
      <c r="B222" s="278"/>
      <c r="C222" s="389"/>
      <c r="D222" s="390"/>
      <c r="E222" s="390"/>
      <c r="F222" s="390"/>
      <c r="G222" s="278"/>
      <c r="H222" s="278"/>
    </row>
    <row r="223" spans="2:8" x14ac:dyDescent="0.3">
      <c r="B223" s="278"/>
      <c r="C223" s="389"/>
      <c r="D223" s="390"/>
      <c r="E223" s="390"/>
      <c r="F223" s="390"/>
      <c r="G223" s="278"/>
      <c r="H223" s="278"/>
    </row>
    <row r="224" spans="2:8" x14ac:dyDescent="0.3">
      <c r="B224" s="278"/>
      <c r="C224" s="389"/>
      <c r="D224" s="390"/>
      <c r="E224" s="390"/>
      <c r="F224" s="390"/>
      <c r="G224" s="278"/>
      <c r="H224" s="278"/>
    </row>
    <row r="225" spans="2:8" x14ac:dyDescent="0.3">
      <c r="B225" s="278"/>
      <c r="C225" s="389"/>
      <c r="D225" s="390"/>
      <c r="E225" s="390"/>
      <c r="F225" s="390"/>
      <c r="G225" s="278"/>
      <c r="H225" s="278"/>
    </row>
    <row r="226" spans="2:8" x14ac:dyDescent="0.3">
      <c r="B226" s="278"/>
      <c r="C226" s="389"/>
      <c r="D226" s="390"/>
      <c r="E226" s="390"/>
      <c r="F226" s="390"/>
      <c r="G226" s="278"/>
      <c r="H226" s="278"/>
    </row>
    <row r="227" spans="2:8" x14ac:dyDescent="0.3">
      <c r="B227" s="278"/>
      <c r="C227" s="389"/>
      <c r="D227" s="390"/>
      <c r="E227" s="390"/>
      <c r="F227" s="390"/>
      <c r="G227" s="278"/>
      <c r="H227" s="278"/>
    </row>
    <row r="228" spans="2:8" x14ac:dyDescent="0.3">
      <c r="B228" s="278"/>
      <c r="C228" s="389"/>
      <c r="D228" s="390"/>
      <c r="E228" s="390"/>
      <c r="F228" s="390"/>
      <c r="G228" s="278"/>
      <c r="H228" s="278"/>
    </row>
    <row r="229" spans="2:8" x14ac:dyDescent="0.3">
      <c r="B229" s="278"/>
      <c r="C229" s="389"/>
      <c r="D229" s="390"/>
      <c r="E229" s="390"/>
      <c r="F229" s="390"/>
      <c r="G229" s="278"/>
      <c r="H229" s="278"/>
    </row>
    <row r="230" spans="2:8" x14ac:dyDescent="0.3">
      <c r="B230" s="278"/>
      <c r="C230" s="389"/>
      <c r="D230" s="390"/>
      <c r="E230" s="390"/>
      <c r="F230" s="390"/>
      <c r="G230" s="278"/>
      <c r="H230" s="278"/>
    </row>
    <row r="231" spans="2:8" x14ac:dyDescent="0.3">
      <c r="B231" s="278"/>
      <c r="C231" s="389"/>
      <c r="D231" s="390"/>
      <c r="E231" s="390"/>
      <c r="F231" s="390"/>
      <c r="G231" s="278"/>
      <c r="H231" s="278"/>
    </row>
    <row r="232" spans="2:8" x14ac:dyDescent="0.3">
      <c r="B232" s="278"/>
      <c r="C232" s="389"/>
      <c r="D232" s="390"/>
      <c r="E232" s="390"/>
      <c r="F232" s="390"/>
      <c r="G232" s="278"/>
      <c r="H232" s="278"/>
    </row>
    <row r="233" spans="2:8" x14ac:dyDescent="0.3">
      <c r="B233" s="278"/>
      <c r="C233" s="389"/>
      <c r="D233" s="390"/>
      <c r="E233" s="390"/>
      <c r="F233" s="390"/>
      <c r="G233" s="278"/>
      <c r="H233" s="278"/>
    </row>
    <row r="234" spans="2:8" x14ac:dyDescent="0.3">
      <c r="B234" s="278"/>
      <c r="C234" s="389"/>
      <c r="D234" s="390"/>
      <c r="E234" s="390"/>
      <c r="F234" s="390"/>
      <c r="G234" s="278"/>
      <c r="H234" s="278"/>
    </row>
    <row r="235" spans="2:8" x14ac:dyDescent="0.3">
      <c r="B235" s="278"/>
      <c r="C235" s="389"/>
      <c r="D235" s="390"/>
      <c r="E235" s="390"/>
      <c r="F235" s="390"/>
      <c r="G235" s="278"/>
      <c r="H235" s="278"/>
    </row>
    <row r="236" spans="2:8" x14ac:dyDescent="0.3">
      <c r="B236" s="278"/>
      <c r="C236" s="389"/>
      <c r="D236" s="390"/>
      <c r="E236" s="390"/>
      <c r="F236" s="390"/>
      <c r="G236" s="278"/>
      <c r="H236" s="278"/>
    </row>
    <row r="237" spans="2:8" x14ac:dyDescent="0.3">
      <c r="B237" s="278"/>
      <c r="C237" s="389"/>
      <c r="D237" s="390"/>
      <c r="E237" s="390"/>
      <c r="F237" s="390"/>
      <c r="G237" s="278"/>
      <c r="H237" s="278"/>
    </row>
    <row r="238" spans="2:8" x14ac:dyDescent="0.3">
      <c r="B238" s="278"/>
      <c r="C238" s="389"/>
      <c r="D238" s="390"/>
      <c r="E238" s="390"/>
      <c r="F238" s="390"/>
      <c r="G238" s="278"/>
      <c r="H238" s="278"/>
    </row>
    <row r="239" spans="2:8" x14ac:dyDescent="0.3">
      <c r="B239" s="278"/>
      <c r="C239" s="389"/>
      <c r="D239" s="390"/>
      <c r="E239" s="390"/>
      <c r="F239" s="390"/>
      <c r="G239" s="278"/>
      <c r="H239" s="278"/>
    </row>
    <row r="240" spans="2:8" x14ac:dyDescent="0.3">
      <c r="B240" s="278"/>
      <c r="C240" s="389"/>
      <c r="D240" s="390"/>
      <c r="E240" s="390"/>
      <c r="F240" s="390"/>
      <c r="G240" s="278"/>
      <c r="H240" s="278"/>
    </row>
    <row r="241" spans="2:8" x14ac:dyDescent="0.3">
      <c r="B241" s="278"/>
      <c r="C241" s="389"/>
      <c r="D241" s="390"/>
      <c r="E241" s="390"/>
      <c r="F241" s="390"/>
      <c r="G241" s="278"/>
      <c r="H241" s="278"/>
    </row>
    <row r="242" spans="2:8" x14ac:dyDescent="0.3">
      <c r="B242" s="278"/>
      <c r="C242" s="389"/>
      <c r="D242" s="390"/>
      <c r="E242" s="390"/>
      <c r="F242" s="390"/>
      <c r="G242" s="278"/>
      <c r="H242" s="278"/>
    </row>
    <row r="243" spans="2:8" x14ac:dyDescent="0.3">
      <c r="B243" s="278"/>
      <c r="C243" s="389"/>
      <c r="D243" s="390"/>
      <c r="E243" s="390"/>
      <c r="F243" s="390"/>
      <c r="G243" s="278"/>
      <c r="H243" s="278"/>
    </row>
    <row r="244" spans="2:8" x14ac:dyDescent="0.3">
      <c r="B244" s="278"/>
      <c r="C244" s="389"/>
      <c r="D244" s="390"/>
      <c r="E244" s="390"/>
      <c r="F244" s="390"/>
      <c r="G244" s="278"/>
      <c r="H244" s="278"/>
    </row>
    <row r="245" spans="2:8" x14ac:dyDescent="0.3">
      <c r="B245" s="278"/>
      <c r="C245" s="389"/>
      <c r="D245" s="390"/>
      <c r="E245" s="390"/>
      <c r="F245" s="390"/>
      <c r="G245" s="278"/>
      <c r="H245" s="278"/>
    </row>
    <row r="246" spans="2:8" x14ac:dyDescent="0.3">
      <c r="B246" s="278"/>
      <c r="C246" s="389"/>
      <c r="D246" s="390"/>
      <c r="E246" s="390"/>
      <c r="F246" s="390"/>
      <c r="G246" s="278"/>
      <c r="H246" s="278"/>
    </row>
    <row r="247" spans="2:8" x14ac:dyDescent="0.3">
      <c r="B247" s="278"/>
      <c r="C247" s="389"/>
      <c r="D247" s="390"/>
      <c r="E247" s="390"/>
      <c r="F247" s="390"/>
      <c r="G247" s="278"/>
      <c r="H247" s="278"/>
    </row>
    <row r="248" spans="2:8" x14ac:dyDescent="0.3">
      <c r="B248" s="278"/>
      <c r="C248" s="389"/>
      <c r="D248" s="390"/>
      <c r="E248" s="390"/>
      <c r="F248" s="390"/>
      <c r="G248" s="278"/>
      <c r="H248" s="278"/>
    </row>
    <row r="249" spans="2:8" x14ac:dyDescent="0.3">
      <c r="B249" s="278"/>
      <c r="C249" s="389"/>
      <c r="D249" s="390"/>
      <c r="E249" s="390"/>
      <c r="F249" s="390"/>
      <c r="G249" s="278"/>
      <c r="H249" s="278"/>
    </row>
    <row r="250" spans="2:8" x14ac:dyDescent="0.3">
      <c r="B250" s="278"/>
      <c r="C250" s="389"/>
      <c r="D250" s="390"/>
      <c r="E250" s="390"/>
      <c r="F250" s="390"/>
      <c r="G250" s="278"/>
      <c r="H250" s="278"/>
    </row>
    <row r="251" spans="2:8" x14ac:dyDescent="0.3">
      <c r="B251" s="278"/>
      <c r="C251" s="389"/>
      <c r="D251" s="390"/>
      <c r="E251" s="390"/>
      <c r="F251" s="390"/>
      <c r="G251" s="278"/>
      <c r="H251" s="278"/>
    </row>
    <row r="252" spans="2:8" x14ac:dyDescent="0.3">
      <c r="B252" s="278"/>
      <c r="C252" s="389"/>
      <c r="D252" s="390"/>
      <c r="E252" s="390"/>
      <c r="F252" s="390"/>
      <c r="G252" s="278"/>
      <c r="H252" s="278"/>
    </row>
    <row r="253" spans="2:8" x14ac:dyDescent="0.3">
      <c r="B253" s="278"/>
      <c r="C253" s="389"/>
      <c r="D253" s="390"/>
      <c r="E253" s="390"/>
      <c r="F253" s="390"/>
      <c r="G253" s="278"/>
      <c r="H253" s="278"/>
    </row>
    <row r="254" spans="2:8" x14ac:dyDescent="0.3">
      <c r="B254" s="278"/>
      <c r="C254" s="389"/>
      <c r="D254" s="390"/>
      <c r="E254" s="390"/>
      <c r="F254" s="390"/>
      <c r="G254" s="278"/>
      <c r="H254" s="278"/>
    </row>
    <row r="255" spans="2:8" x14ac:dyDescent="0.3">
      <c r="B255" s="278"/>
      <c r="C255" s="389"/>
      <c r="D255" s="390"/>
      <c r="E255" s="390"/>
      <c r="F255" s="390"/>
      <c r="G255" s="278"/>
      <c r="H255" s="278"/>
    </row>
    <row r="256" spans="2:8" x14ac:dyDescent="0.3">
      <c r="B256" s="278"/>
      <c r="C256" s="389"/>
      <c r="D256" s="390"/>
      <c r="E256" s="390"/>
      <c r="F256" s="390"/>
      <c r="G256" s="278"/>
      <c r="H256" s="278"/>
    </row>
    <row r="257" spans="2:8" x14ac:dyDescent="0.3">
      <c r="B257" s="278"/>
      <c r="C257" s="389"/>
      <c r="D257" s="390"/>
      <c r="E257" s="390"/>
      <c r="F257" s="390"/>
      <c r="G257" s="278"/>
      <c r="H257" s="278"/>
    </row>
    <row r="258" spans="2:8" x14ac:dyDescent="0.3">
      <c r="B258" s="278"/>
      <c r="C258" s="389"/>
      <c r="D258" s="390"/>
      <c r="E258" s="390"/>
      <c r="F258" s="390"/>
      <c r="G258" s="278"/>
      <c r="H258" s="278"/>
    </row>
    <row r="259" spans="2:8" x14ac:dyDescent="0.3">
      <c r="B259" s="278"/>
      <c r="C259" s="389"/>
      <c r="D259" s="390"/>
      <c r="E259" s="390"/>
      <c r="F259" s="390"/>
      <c r="G259" s="278"/>
      <c r="H259" s="278"/>
    </row>
    <row r="260" spans="2:8" x14ac:dyDescent="0.3">
      <c r="B260" s="278"/>
      <c r="C260" s="389"/>
      <c r="D260" s="390"/>
      <c r="E260" s="390"/>
      <c r="F260" s="390"/>
      <c r="G260" s="278"/>
      <c r="H260" s="278"/>
    </row>
    <row r="261" spans="2:8" x14ac:dyDescent="0.3">
      <c r="B261" s="278"/>
      <c r="C261" s="389"/>
      <c r="D261" s="390"/>
      <c r="E261" s="390"/>
      <c r="F261" s="390"/>
      <c r="G261" s="278"/>
      <c r="H261" s="278"/>
    </row>
    <row r="262" spans="2:8" x14ac:dyDescent="0.3">
      <c r="B262" s="278"/>
      <c r="C262" s="389"/>
      <c r="D262" s="390"/>
      <c r="E262" s="390"/>
      <c r="F262" s="390"/>
      <c r="G262" s="278"/>
      <c r="H262" s="278"/>
    </row>
    <row r="263" spans="2:8" x14ac:dyDescent="0.3">
      <c r="B263" s="278"/>
      <c r="C263" s="389"/>
      <c r="D263" s="390"/>
      <c r="E263" s="390"/>
      <c r="F263" s="390"/>
      <c r="G263" s="278"/>
      <c r="H263" s="278"/>
    </row>
    <row r="264" spans="2:8" x14ac:dyDescent="0.3">
      <c r="B264" s="278"/>
      <c r="C264" s="389"/>
      <c r="D264" s="390"/>
      <c r="E264" s="390"/>
      <c r="F264" s="390"/>
      <c r="G264" s="278"/>
      <c r="H264" s="278"/>
    </row>
    <row r="265" spans="2:8" x14ac:dyDescent="0.3">
      <c r="B265" s="278"/>
      <c r="C265" s="389"/>
      <c r="D265" s="390"/>
      <c r="E265" s="390"/>
      <c r="F265" s="390"/>
      <c r="G265" s="278"/>
      <c r="H265" s="278"/>
    </row>
    <row r="266" spans="2:8" x14ac:dyDescent="0.3">
      <c r="B266" s="278"/>
      <c r="C266" s="389"/>
      <c r="D266" s="390"/>
      <c r="E266" s="390"/>
      <c r="F266" s="390"/>
      <c r="G266" s="278"/>
      <c r="H266" s="278"/>
    </row>
    <row r="267" spans="2:8" x14ac:dyDescent="0.3">
      <c r="B267" s="278"/>
      <c r="C267" s="389"/>
      <c r="D267" s="390"/>
      <c r="E267" s="390"/>
      <c r="F267" s="390"/>
      <c r="G267" s="278"/>
      <c r="H267" s="278"/>
    </row>
    <row r="268" spans="2:8" x14ac:dyDescent="0.3">
      <c r="B268" s="278"/>
      <c r="C268" s="389"/>
      <c r="D268" s="390"/>
      <c r="E268" s="390"/>
      <c r="F268" s="390"/>
      <c r="G268" s="278"/>
      <c r="H268" s="278"/>
    </row>
    <row r="269" spans="2:8" x14ac:dyDescent="0.3">
      <c r="B269" s="278"/>
      <c r="C269" s="389"/>
      <c r="D269" s="390"/>
      <c r="E269" s="390"/>
      <c r="F269" s="390"/>
      <c r="G269" s="278"/>
      <c r="H269" s="278"/>
    </row>
    <row r="270" spans="2:8" x14ac:dyDescent="0.3">
      <c r="B270" s="278"/>
      <c r="C270" s="389"/>
      <c r="D270" s="390"/>
      <c r="E270" s="390"/>
      <c r="F270" s="390"/>
      <c r="G270" s="278"/>
      <c r="H270" s="278"/>
    </row>
    <row r="271" spans="2:8" x14ac:dyDescent="0.3">
      <c r="B271" s="278"/>
      <c r="C271" s="389"/>
      <c r="D271" s="390"/>
      <c r="E271" s="390"/>
      <c r="F271" s="390"/>
      <c r="G271" s="278"/>
      <c r="H271" s="278"/>
    </row>
    <row r="272" spans="2:8" x14ac:dyDescent="0.3">
      <c r="B272" s="278"/>
      <c r="C272" s="389"/>
      <c r="D272" s="390"/>
      <c r="E272" s="390"/>
      <c r="F272" s="390"/>
      <c r="G272" s="278"/>
      <c r="H272" s="278"/>
    </row>
    <row r="273" spans="2:8" x14ac:dyDescent="0.3">
      <c r="B273" s="278"/>
      <c r="C273" s="389"/>
      <c r="D273" s="390"/>
      <c r="E273" s="390"/>
      <c r="F273" s="390"/>
      <c r="G273" s="278"/>
      <c r="H273" s="278"/>
    </row>
    <row r="274" spans="2:8" x14ac:dyDescent="0.3">
      <c r="B274" s="278"/>
      <c r="C274" s="389"/>
      <c r="D274" s="390"/>
      <c r="E274" s="390"/>
      <c r="F274" s="390"/>
      <c r="G274" s="278"/>
      <c r="H274" s="278"/>
    </row>
    <row r="275" spans="2:8" x14ac:dyDescent="0.3">
      <c r="B275" s="278"/>
      <c r="C275" s="389"/>
      <c r="D275" s="390"/>
      <c r="E275" s="390"/>
      <c r="F275" s="390"/>
      <c r="G275" s="278"/>
      <c r="H275" s="278"/>
    </row>
    <row r="276" spans="2:8" x14ac:dyDescent="0.3">
      <c r="B276" s="278"/>
      <c r="C276" s="389"/>
      <c r="D276" s="390"/>
      <c r="E276" s="390"/>
      <c r="F276" s="390"/>
      <c r="G276" s="278"/>
      <c r="H276" s="278"/>
    </row>
    <row r="277" spans="2:8" x14ac:dyDescent="0.3">
      <c r="B277" s="278"/>
      <c r="C277" s="389"/>
      <c r="D277" s="390"/>
      <c r="E277" s="390"/>
      <c r="F277" s="390"/>
      <c r="G277" s="278"/>
      <c r="H277" s="278"/>
    </row>
    <row r="278" spans="2:8" x14ac:dyDescent="0.3">
      <c r="B278" s="278"/>
      <c r="C278" s="389"/>
      <c r="D278" s="390"/>
      <c r="E278" s="390"/>
      <c r="F278" s="390"/>
      <c r="G278" s="278"/>
      <c r="H278" s="278"/>
    </row>
    <row r="279" spans="2:8" x14ac:dyDescent="0.3">
      <c r="B279" s="278"/>
      <c r="C279" s="389"/>
      <c r="D279" s="390"/>
      <c r="E279" s="390"/>
      <c r="F279" s="390"/>
      <c r="G279" s="278"/>
      <c r="H279" s="278"/>
    </row>
    <row r="280" spans="2:8" x14ac:dyDescent="0.3">
      <c r="B280" s="278"/>
      <c r="C280" s="389"/>
      <c r="D280" s="390"/>
      <c r="E280" s="390"/>
      <c r="F280" s="390"/>
      <c r="G280" s="278"/>
      <c r="H280" s="278"/>
    </row>
    <row r="281" spans="2:8" x14ac:dyDescent="0.3">
      <c r="B281" s="278"/>
      <c r="C281" s="389"/>
      <c r="D281" s="390"/>
      <c r="E281" s="390"/>
      <c r="F281" s="390"/>
      <c r="G281" s="278"/>
      <c r="H281" s="278"/>
    </row>
    <row r="282" spans="2:8" x14ac:dyDescent="0.3">
      <c r="B282" s="278"/>
      <c r="C282" s="389"/>
      <c r="D282" s="390"/>
      <c r="E282" s="390"/>
      <c r="F282" s="390"/>
      <c r="G282" s="278"/>
      <c r="H282" s="278"/>
    </row>
    <row r="283" spans="2:8" x14ac:dyDescent="0.3">
      <c r="B283" s="278"/>
      <c r="C283" s="389"/>
      <c r="D283" s="390"/>
      <c r="E283" s="390"/>
      <c r="F283" s="390"/>
      <c r="G283" s="278"/>
      <c r="H283" s="278"/>
    </row>
    <row r="284" spans="2:8" x14ac:dyDescent="0.3">
      <c r="B284" s="278"/>
      <c r="C284" s="389"/>
      <c r="D284" s="390"/>
      <c r="E284" s="390"/>
      <c r="F284" s="390"/>
      <c r="G284" s="278"/>
      <c r="H284" s="278"/>
    </row>
    <row r="285" spans="2:8" x14ac:dyDescent="0.3">
      <c r="B285" s="278"/>
      <c r="C285" s="389"/>
      <c r="D285" s="390"/>
      <c r="E285" s="390"/>
      <c r="F285" s="390"/>
      <c r="G285" s="278"/>
      <c r="H285" s="278"/>
    </row>
    <row r="286" spans="2:8" x14ac:dyDescent="0.3">
      <c r="B286" s="278"/>
      <c r="C286" s="389"/>
      <c r="D286" s="390"/>
      <c r="E286" s="390"/>
      <c r="F286" s="390"/>
      <c r="G286" s="278"/>
      <c r="H286" s="278"/>
    </row>
    <row r="287" spans="2:8" x14ac:dyDescent="0.3">
      <c r="B287" s="278"/>
      <c r="C287" s="389"/>
      <c r="D287" s="390"/>
      <c r="E287" s="390"/>
      <c r="F287" s="390"/>
      <c r="G287" s="278"/>
      <c r="H287" s="278"/>
    </row>
    <row r="288" spans="2:8" x14ac:dyDescent="0.3">
      <c r="B288" s="278"/>
      <c r="C288" s="389"/>
      <c r="D288" s="390"/>
      <c r="E288" s="390"/>
      <c r="F288" s="390"/>
      <c r="G288" s="278"/>
      <c r="H288" s="278"/>
    </row>
    <row r="289" spans="2:8" x14ac:dyDescent="0.3">
      <c r="B289" s="278"/>
      <c r="C289" s="389"/>
      <c r="D289" s="390"/>
      <c r="E289" s="390"/>
      <c r="F289" s="390"/>
      <c r="G289" s="278"/>
      <c r="H289" s="278"/>
    </row>
    <row r="290" spans="2:8" x14ac:dyDescent="0.3">
      <c r="B290" s="278"/>
      <c r="C290" s="389"/>
      <c r="D290" s="390"/>
      <c r="E290" s="390"/>
      <c r="F290" s="390"/>
      <c r="G290" s="278"/>
      <c r="H290" s="278"/>
    </row>
    <row r="291" spans="2:8" x14ac:dyDescent="0.3">
      <c r="B291" s="278"/>
      <c r="C291" s="389"/>
      <c r="D291" s="390"/>
      <c r="E291" s="390"/>
      <c r="F291" s="390"/>
      <c r="G291" s="278"/>
      <c r="H291" s="278"/>
    </row>
    <row r="292" spans="2:8" x14ac:dyDescent="0.3">
      <c r="B292" s="278"/>
      <c r="C292" s="389"/>
      <c r="D292" s="390"/>
      <c r="E292" s="390"/>
      <c r="F292" s="390"/>
      <c r="G292" s="278"/>
      <c r="H292" s="278"/>
    </row>
    <row r="293" spans="2:8" x14ac:dyDescent="0.3">
      <c r="B293" s="278"/>
      <c r="C293" s="389"/>
      <c r="D293" s="390"/>
      <c r="E293" s="390"/>
      <c r="F293" s="390"/>
      <c r="G293" s="278"/>
      <c r="H293" s="278"/>
    </row>
    <row r="294" spans="2:8" x14ac:dyDescent="0.3">
      <c r="B294" s="278"/>
      <c r="C294" s="389"/>
      <c r="D294" s="390"/>
      <c r="E294" s="390"/>
      <c r="F294" s="390"/>
      <c r="G294" s="278"/>
      <c r="H294" s="278"/>
    </row>
    <row r="295" spans="2:8" x14ac:dyDescent="0.3">
      <c r="B295" s="278"/>
      <c r="C295" s="389"/>
      <c r="D295" s="390"/>
      <c r="E295" s="390"/>
      <c r="F295" s="390"/>
      <c r="G295" s="278"/>
      <c r="H295" s="278"/>
    </row>
    <row r="296" spans="2:8" x14ac:dyDescent="0.3">
      <c r="B296" s="278"/>
      <c r="C296" s="389"/>
      <c r="D296" s="390"/>
      <c r="E296" s="390"/>
      <c r="F296" s="390"/>
      <c r="G296" s="278"/>
      <c r="H296" s="278"/>
    </row>
    <row r="297" spans="2:8" x14ac:dyDescent="0.3">
      <c r="B297" s="278"/>
      <c r="C297" s="389"/>
      <c r="D297" s="390"/>
      <c r="E297" s="390"/>
      <c r="F297" s="390"/>
      <c r="G297" s="278"/>
      <c r="H297" s="278"/>
    </row>
    <row r="298" spans="2:8" x14ac:dyDescent="0.3">
      <c r="B298" s="278"/>
      <c r="C298" s="389"/>
      <c r="D298" s="390"/>
      <c r="E298" s="390"/>
      <c r="F298" s="390"/>
      <c r="G298" s="278"/>
      <c r="H298" s="278"/>
    </row>
    <row r="299" spans="2:8" x14ac:dyDescent="0.3">
      <c r="B299" s="278"/>
      <c r="C299" s="389"/>
      <c r="D299" s="390"/>
      <c r="E299" s="390"/>
      <c r="F299" s="390"/>
      <c r="G299" s="278"/>
      <c r="H299" s="278"/>
    </row>
    <row r="300" spans="2:8" x14ac:dyDescent="0.3">
      <c r="B300" s="278"/>
      <c r="C300" s="389"/>
      <c r="D300" s="390"/>
      <c r="E300" s="390"/>
      <c r="F300" s="390"/>
      <c r="G300" s="278"/>
      <c r="H300" s="278"/>
    </row>
    <row r="301" spans="2:8" x14ac:dyDescent="0.3">
      <c r="B301" s="278"/>
      <c r="C301" s="389"/>
      <c r="D301" s="390"/>
      <c r="E301" s="390"/>
      <c r="F301" s="390"/>
      <c r="G301" s="278"/>
      <c r="H301" s="278"/>
    </row>
    <row r="302" spans="2:8" x14ac:dyDescent="0.3">
      <c r="B302" s="278"/>
      <c r="C302" s="389"/>
      <c r="D302" s="390"/>
      <c r="E302" s="390"/>
      <c r="F302" s="390"/>
      <c r="G302" s="278"/>
      <c r="H302" s="278"/>
    </row>
    <row r="303" spans="2:8" x14ac:dyDescent="0.3">
      <c r="B303" s="278"/>
      <c r="C303" s="389"/>
      <c r="D303" s="390"/>
      <c r="E303" s="390"/>
      <c r="F303" s="390"/>
      <c r="G303" s="278"/>
      <c r="H303" s="278"/>
    </row>
    <row r="304" spans="2:8" x14ac:dyDescent="0.3">
      <c r="B304" s="278"/>
      <c r="C304" s="389"/>
      <c r="D304" s="390"/>
      <c r="E304" s="390"/>
      <c r="F304" s="390"/>
      <c r="G304" s="278"/>
      <c r="H304" s="278"/>
    </row>
    <row r="305" spans="2:8" x14ac:dyDescent="0.3">
      <c r="B305" s="278"/>
      <c r="C305" s="389"/>
      <c r="D305" s="390"/>
      <c r="E305" s="390"/>
      <c r="F305" s="390"/>
      <c r="G305" s="278"/>
      <c r="H305" s="278"/>
    </row>
    <row r="306" spans="2:8" x14ac:dyDescent="0.3">
      <c r="B306" s="278"/>
      <c r="C306" s="389"/>
      <c r="D306" s="390"/>
      <c r="E306" s="390"/>
      <c r="F306" s="390"/>
      <c r="G306" s="278"/>
      <c r="H306" s="278"/>
    </row>
    <row r="307" spans="2:8" x14ac:dyDescent="0.3">
      <c r="B307" s="278"/>
      <c r="C307" s="389"/>
      <c r="D307" s="390"/>
      <c r="E307" s="390"/>
      <c r="F307" s="390"/>
      <c r="G307" s="278"/>
      <c r="H307" s="278"/>
    </row>
    <row r="308" spans="2:8" x14ac:dyDescent="0.3">
      <c r="B308" s="278"/>
      <c r="C308" s="389"/>
      <c r="D308" s="390"/>
      <c r="E308" s="390"/>
      <c r="F308" s="390"/>
      <c r="G308" s="278"/>
      <c r="H308" s="278"/>
    </row>
    <row r="309" spans="2:8" x14ac:dyDescent="0.3">
      <c r="B309" s="278"/>
      <c r="C309" s="389"/>
      <c r="D309" s="390"/>
      <c r="E309" s="390"/>
      <c r="F309" s="390"/>
      <c r="G309" s="278"/>
      <c r="H309" s="278"/>
    </row>
    <row r="310" spans="2:8" x14ac:dyDescent="0.3">
      <c r="B310" s="278"/>
      <c r="C310" s="389"/>
      <c r="D310" s="390"/>
      <c r="E310" s="390"/>
      <c r="F310" s="390"/>
      <c r="G310" s="278"/>
      <c r="H310" s="278"/>
    </row>
    <row r="311" spans="2:8" x14ac:dyDescent="0.3">
      <c r="B311" s="278"/>
      <c r="C311" s="389"/>
      <c r="D311" s="390"/>
      <c r="E311" s="390"/>
      <c r="F311" s="390"/>
      <c r="G311" s="278"/>
      <c r="H311" s="278"/>
    </row>
    <row r="312" spans="2:8" x14ac:dyDescent="0.3">
      <c r="B312" s="278"/>
      <c r="C312" s="389"/>
      <c r="D312" s="390"/>
      <c r="E312" s="390"/>
      <c r="F312" s="390"/>
      <c r="G312" s="278"/>
      <c r="H312" s="278"/>
    </row>
    <row r="313" spans="2:8" x14ac:dyDescent="0.3">
      <c r="B313" s="278"/>
      <c r="C313" s="389"/>
      <c r="D313" s="390"/>
      <c r="E313" s="390"/>
      <c r="F313" s="390"/>
      <c r="G313" s="278"/>
      <c r="H313" s="278"/>
    </row>
    <row r="314" spans="2:8" x14ac:dyDescent="0.3">
      <c r="B314" s="278"/>
      <c r="C314" s="389"/>
      <c r="D314" s="390"/>
      <c r="E314" s="390"/>
      <c r="F314" s="390"/>
      <c r="G314" s="278"/>
      <c r="H314" s="278"/>
    </row>
    <row r="315" spans="2:8" x14ac:dyDescent="0.3">
      <c r="B315" s="278"/>
      <c r="C315" s="389"/>
      <c r="D315" s="390"/>
      <c r="E315" s="390"/>
      <c r="F315" s="390"/>
      <c r="G315" s="278"/>
      <c r="H315" s="278"/>
    </row>
    <row r="316" spans="2:8" x14ac:dyDescent="0.3">
      <c r="B316" s="278"/>
      <c r="C316" s="389"/>
      <c r="D316" s="390"/>
      <c r="E316" s="390"/>
      <c r="F316" s="390"/>
      <c r="G316" s="278"/>
      <c r="H316" s="278"/>
    </row>
    <row r="317" spans="2:8" x14ac:dyDescent="0.3">
      <c r="B317" s="278"/>
      <c r="C317" s="389"/>
      <c r="D317" s="390"/>
      <c r="E317" s="390"/>
      <c r="F317" s="390"/>
      <c r="G317" s="278"/>
      <c r="H317" s="278"/>
    </row>
    <row r="318" spans="2:8" x14ac:dyDescent="0.3">
      <c r="B318" s="278"/>
      <c r="C318" s="389"/>
      <c r="D318" s="390"/>
      <c r="E318" s="390"/>
      <c r="F318" s="390"/>
      <c r="G318" s="278"/>
      <c r="H318" s="278"/>
    </row>
    <row r="319" spans="2:8" x14ac:dyDescent="0.3">
      <c r="B319" s="278"/>
      <c r="C319" s="389"/>
      <c r="D319" s="390"/>
      <c r="E319" s="390"/>
      <c r="F319" s="390"/>
      <c r="G319" s="278"/>
      <c r="H319" s="278"/>
    </row>
    <row r="320" spans="2:8" x14ac:dyDescent="0.3">
      <c r="B320" s="278"/>
      <c r="C320" s="389"/>
      <c r="D320" s="390"/>
      <c r="E320" s="390"/>
      <c r="F320" s="390"/>
      <c r="G320" s="278"/>
      <c r="H320" s="278"/>
    </row>
    <row r="321" spans="2:8" x14ac:dyDescent="0.3">
      <c r="B321" s="278"/>
      <c r="C321" s="389"/>
      <c r="D321" s="390"/>
      <c r="E321" s="390"/>
      <c r="F321" s="390"/>
      <c r="G321" s="278"/>
      <c r="H321" s="278"/>
    </row>
    <row r="322" spans="2:8" x14ac:dyDescent="0.3">
      <c r="B322" s="278"/>
      <c r="C322" s="389"/>
      <c r="D322" s="390"/>
      <c r="E322" s="390"/>
      <c r="F322" s="390"/>
      <c r="G322" s="278"/>
      <c r="H322" s="278"/>
    </row>
    <row r="323" spans="2:8" x14ac:dyDescent="0.3">
      <c r="B323" s="278"/>
      <c r="C323" s="389"/>
      <c r="D323" s="390"/>
      <c r="E323" s="390"/>
      <c r="F323" s="390"/>
      <c r="G323" s="278"/>
      <c r="H323" s="278"/>
    </row>
    <row r="324" spans="2:8" x14ac:dyDescent="0.3">
      <c r="B324" s="278"/>
      <c r="C324" s="389"/>
      <c r="D324" s="390"/>
      <c r="E324" s="390"/>
      <c r="F324" s="390"/>
      <c r="G324" s="278"/>
      <c r="H324" s="278"/>
    </row>
    <row r="325" spans="2:8" x14ac:dyDescent="0.3">
      <c r="B325" s="278"/>
      <c r="C325" s="389"/>
      <c r="D325" s="390"/>
      <c r="E325" s="390"/>
      <c r="F325" s="390"/>
      <c r="G325" s="278"/>
      <c r="H325" s="278"/>
    </row>
    <row r="326" spans="2:8" x14ac:dyDescent="0.3">
      <c r="B326" s="278"/>
      <c r="C326" s="389"/>
      <c r="D326" s="390"/>
      <c r="E326" s="390"/>
      <c r="F326" s="390"/>
      <c r="G326" s="278"/>
      <c r="H326" s="278"/>
    </row>
    <row r="327" spans="2:8" x14ac:dyDescent="0.3">
      <c r="B327" s="278"/>
      <c r="C327" s="389"/>
      <c r="D327" s="390"/>
      <c r="E327" s="390"/>
      <c r="F327" s="390"/>
      <c r="G327" s="278"/>
      <c r="H327" s="278"/>
    </row>
    <row r="328" spans="2:8" x14ac:dyDescent="0.3">
      <c r="B328" s="278"/>
      <c r="C328" s="389"/>
      <c r="D328" s="390"/>
      <c r="E328" s="390"/>
      <c r="F328" s="390"/>
      <c r="G328" s="278"/>
      <c r="H328" s="278"/>
    </row>
    <row r="329" spans="2:8" x14ac:dyDescent="0.3">
      <c r="B329" s="278"/>
      <c r="C329" s="389"/>
      <c r="D329" s="390"/>
      <c r="E329" s="390"/>
      <c r="F329" s="390"/>
      <c r="G329" s="278"/>
      <c r="H329" s="278"/>
    </row>
    <row r="330" spans="2:8" x14ac:dyDescent="0.3">
      <c r="B330" s="278"/>
      <c r="C330" s="389"/>
      <c r="D330" s="390"/>
      <c r="E330" s="390"/>
      <c r="F330" s="390"/>
      <c r="G330" s="278"/>
      <c r="H330" s="278"/>
    </row>
    <row r="331" spans="2:8" x14ac:dyDescent="0.3">
      <c r="B331" s="278"/>
      <c r="C331" s="389"/>
      <c r="D331" s="390"/>
      <c r="E331" s="390"/>
      <c r="F331" s="390"/>
      <c r="G331" s="278"/>
      <c r="H331" s="278"/>
    </row>
    <row r="332" spans="2:8" x14ac:dyDescent="0.3">
      <c r="B332" s="278"/>
      <c r="C332" s="389"/>
      <c r="D332" s="390"/>
      <c r="E332" s="390"/>
      <c r="F332" s="390"/>
      <c r="G332" s="278"/>
      <c r="H332" s="278"/>
    </row>
    <row r="333" spans="2:8" x14ac:dyDescent="0.3">
      <c r="B333" s="278"/>
      <c r="C333" s="389"/>
      <c r="D333" s="390"/>
      <c r="E333" s="390"/>
      <c r="F333" s="390"/>
      <c r="G333" s="278"/>
      <c r="H333" s="278"/>
    </row>
    <row r="334" spans="2:8" x14ac:dyDescent="0.3">
      <c r="B334" s="278"/>
      <c r="C334" s="389"/>
      <c r="D334" s="390"/>
      <c r="E334" s="390"/>
      <c r="F334" s="390"/>
      <c r="G334" s="278"/>
      <c r="H334" s="278"/>
    </row>
    <row r="335" spans="2:8" x14ac:dyDescent="0.3">
      <c r="B335" s="278"/>
      <c r="C335" s="389"/>
      <c r="D335" s="390"/>
      <c r="E335" s="390"/>
      <c r="F335" s="390"/>
      <c r="G335" s="278"/>
      <c r="H335" s="278"/>
    </row>
    <row r="336" spans="2:8" x14ac:dyDescent="0.3">
      <c r="B336" s="278"/>
      <c r="C336" s="389"/>
      <c r="D336" s="390"/>
      <c r="E336" s="390"/>
      <c r="F336" s="390"/>
      <c r="G336" s="278"/>
      <c r="H336" s="278"/>
    </row>
    <row r="337" spans="2:8" x14ac:dyDescent="0.3">
      <c r="B337" s="278"/>
      <c r="C337" s="389"/>
      <c r="D337" s="390"/>
      <c r="E337" s="390"/>
      <c r="F337" s="390"/>
      <c r="G337" s="278"/>
      <c r="H337" s="278"/>
    </row>
    <row r="338" spans="2:8" x14ac:dyDescent="0.3">
      <c r="B338" s="278"/>
      <c r="C338" s="389"/>
      <c r="D338" s="390"/>
      <c r="E338" s="390"/>
      <c r="F338" s="390"/>
      <c r="G338" s="278"/>
      <c r="H338" s="278"/>
    </row>
    <row r="339" spans="2:8" x14ac:dyDescent="0.3">
      <c r="B339" s="278"/>
      <c r="C339" s="389"/>
      <c r="D339" s="390"/>
      <c r="E339" s="390"/>
      <c r="F339" s="390"/>
      <c r="G339" s="278"/>
      <c r="H339" s="278"/>
    </row>
    <row r="340" spans="2:8" x14ac:dyDescent="0.3">
      <c r="B340" s="278"/>
      <c r="C340" s="389"/>
      <c r="D340" s="390"/>
      <c r="E340" s="390"/>
      <c r="F340" s="390"/>
      <c r="G340" s="278"/>
      <c r="H340" s="278"/>
    </row>
    <row r="341" spans="2:8" x14ac:dyDescent="0.3">
      <c r="B341" s="278"/>
      <c r="C341" s="389"/>
      <c r="D341" s="390"/>
      <c r="E341" s="390"/>
      <c r="F341" s="390"/>
      <c r="G341" s="278"/>
      <c r="H341" s="278"/>
    </row>
    <row r="342" spans="2:8" x14ac:dyDescent="0.3">
      <c r="B342" s="278"/>
      <c r="C342" s="389"/>
      <c r="D342" s="390"/>
      <c r="E342" s="390"/>
      <c r="F342" s="390"/>
      <c r="G342" s="278"/>
      <c r="H342" s="278"/>
    </row>
    <row r="343" spans="2:8" x14ac:dyDescent="0.3">
      <c r="B343" s="278"/>
      <c r="C343" s="389"/>
      <c r="D343" s="390"/>
      <c r="E343" s="390"/>
      <c r="F343" s="390"/>
      <c r="G343" s="278"/>
      <c r="H343" s="278"/>
    </row>
    <row r="344" spans="2:8" x14ac:dyDescent="0.3">
      <c r="B344" s="278"/>
      <c r="C344" s="389"/>
      <c r="D344" s="390"/>
      <c r="E344" s="390"/>
      <c r="F344" s="390"/>
      <c r="G344" s="278"/>
      <c r="H344" s="278"/>
    </row>
    <row r="345" spans="2:8" x14ac:dyDescent="0.3">
      <c r="B345" s="278"/>
      <c r="C345" s="389"/>
      <c r="D345" s="390"/>
      <c r="E345" s="390"/>
      <c r="F345" s="390"/>
      <c r="G345" s="278"/>
      <c r="H345" s="278"/>
    </row>
    <row r="346" spans="2:8" x14ac:dyDescent="0.3">
      <c r="B346" s="278"/>
      <c r="C346" s="389"/>
      <c r="D346" s="390"/>
      <c r="E346" s="390"/>
      <c r="F346" s="390"/>
      <c r="G346" s="278"/>
      <c r="H346" s="278"/>
    </row>
  </sheetData>
  <mergeCells count="6">
    <mergeCell ref="N27:O27"/>
    <mergeCell ref="J1:K1"/>
    <mergeCell ref="N2:O2"/>
    <mergeCell ref="N8:O8"/>
    <mergeCell ref="M17:R17"/>
    <mergeCell ref="N18:O18"/>
  </mergeCells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3">
    <tabColor indexed="22"/>
  </sheetPr>
  <dimension ref="A1:P449"/>
  <sheetViews>
    <sheetView zoomScale="80" zoomScaleNormal="80" workbookViewId="0">
      <selection activeCell="D12" sqref="D12:D13"/>
    </sheetView>
  </sheetViews>
  <sheetFormatPr baseColWidth="10" defaultRowHeight="12.75" x14ac:dyDescent="0.2"/>
  <cols>
    <col min="16" max="16" width="13" customWidth="1"/>
  </cols>
  <sheetData>
    <row r="1" spans="1:16" x14ac:dyDescent="0.2">
      <c r="A1" s="544" t="s">
        <v>87</v>
      </c>
      <c r="B1" s="545"/>
      <c r="C1" s="545"/>
      <c r="D1" s="545"/>
      <c r="E1" s="545"/>
      <c r="F1" s="545"/>
      <c r="H1" s="545" t="s">
        <v>86</v>
      </c>
      <c r="I1" s="545"/>
      <c r="J1" s="545"/>
      <c r="K1" s="545"/>
      <c r="L1" s="545"/>
      <c r="M1" s="545"/>
      <c r="O1" s="185" t="s">
        <v>88</v>
      </c>
    </row>
    <row r="2" spans="1:16" x14ac:dyDescent="0.2">
      <c r="A2" s="14"/>
      <c r="B2" s="87">
        <f>IF(ISERROR('Avancé prêt taux fixe proje (2'!D3),2,'Avancé prêt taux fixe proje (2'!D3)</f>
        <v>2</v>
      </c>
      <c r="C2" s="40">
        <f>IF(_periodicite1t="M",12)+IF(_periodicite1t="T",4)+IF(_periodicite1t="S",2)+IF(_periodicite1t="A",1)+IF(_periodicite1t="H",52)+IF(_periodicite1t="Q",26)+IF(_periodicite1t="B",24)</f>
        <v>12</v>
      </c>
      <c r="D2" s="43" t="s">
        <v>2</v>
      </c>
      <c r="E2" s="99" t="s">
        <v>70</v>
      </c>
      <c r="F2" s="90" t="s">
        <v>69</v>
      </c>
      <c r="H2" s="14"/>
      <c r="I2" s="87">
        <f>IF(ISERROR('Avancé prêt in fine projet  (2'!D3),2,'Avancé prêt in fine projet  (2'!D3)</f>
        <v>2</v>
      </c>
      <c r="J2" s="40">
        <f>IF(_periodicite1tt="M",12)+IF(_periodicite1tt="T",4)+IF(_periodicite1tt="S",2)+IF(_periodicite1tt="A",1)+IF(_periodicite1tt="H",52)+IF(_periodicite1tt="Q",26)+IF(_periodicite1tt="B",24)</f>
        <v>12</v>
      </c>
      <c r="K2" s="43" t="s">
        <v>2</v>
      </c>
      <c r="L2" s="99" t="s">
        <v>70</v>
      </c>
      <c r="M2" s="90" t="s">
        <v>69</v>
      </c>
    </row>
    <row r="3" spans="1:16" x14ac:dyDescent="0.2">
      <c r="A3" s="14"/>
      <c r="B3" s="87" t="b">
        <f>IF(ISERROR('Avancé prêt taux fixe proje (2'!I9),TRUE,IF('Avancé prêt taux fixe proje (2'!I9=1,TRUE,FALSE))</f>
        <v>1</v>
      </c>
      <c r="C3" s="40">
        <f>C4*_nbechan1t/12</f>
        <v>420</v>
      </c>
      <c r="D3" s="43" t="s">
        <v>3</v>
      </c>
      <c r="E3" s="98">
        <v>2</v>
      </c>
      <c r="F3" s="10">
        <v>1</v>
      </c>
      <c r="H3" s="14"/>
      <c r="I3" s="87" t="b">
        <f>IF(ISERROR('Avancé prêt in fine projet  (2'!I9),TRUE,IF('Avancé prêt in fine projet  (2'!I9=1,TRUE,FALSE))</f>
        <v>1</v>
      </c>
      <c r="J3" s="40">
        <f>J4*_nebchan1t/12</f>
        <v>1</v>
      </c>
      <c r="K3" s="43" t="s">
        <v>3</v>
      </c>
      <c r="L3" s="98">
        <v>2</v>
      </c>
      <c r="M3" s="10">
        <v>1</v>
      </c>
      <c r="O3" s="186">
        <v>1</v>
      </c>
      <c r="P3" s="185" t="s">
        <v>89</v>
      </c>
    </row>
    <row r="4" spans="1:16" x14ac:dyDescent="0.2">
      <c r="A4" s="49"/>
      <c r="B4" s="87">
        <f>IF(ISERROR('Avancé prêt taux fixe proje (2'!D17),99999,'Avancé prêt taux fixe proje (2'!D17)</f>
        <v>99999</v>
      </c>
      <c r="C4" s="40">
        <f>'TAM Projet 1 (2)'!P3*12+'TAM Projet 1 (2)'!P4</f>
        <v>420</v>
      </c>
      <c r="D4" s="43" t="s">
        <v>33</v>
      </c>
      <c r="E4" s="98" t="b">
        <f>E3=1</f>
        <v>0</v>
      </c>
      <c r="F4" s="10" t="s">
        <v>28</v>
      </c>
      <c r="H4" s="49"/>
      <c r="I4" s="87">
        <f>IF(ISERROR('Avancé prêt in fine projet  (2'!D17),99999,'Avancé prêt in fine projet  (2'!D17)</f>
        <v>99999</v>
      </c>
      <c r="J4" s="40">
        <f>'TAM Projet 1 (2)'!P11*12+'TAM Projet 1 (2)'!P12</f>
        <v>1</v>
      </c>
      <c r="K4" s="43" t="s">
        <v>33</v>
      </c>
      <c r="L4" s="98" t="b">
        <f>L3=1</f>
        <v>0</v>
      </c>
      <c r="M4" s="10" t="s">
        <v>28</v>
      </c>
      <c r="O4" s="186">
        <v>2</v>
      </c>
      <c r="P4" s="185" t="s">
        <v>90</v>
      </c>
    </row>
    <row r="5" spans="1:16" x14ac:dyDescent="0.2">
      <c r="A5" s="14"/>
      <c r="B5" s="87">
        <f>IF(ISERROR('Avancé prêt taux fixe proje (2'!E17),99999,'Avancé prêt taux fixe proje (2'!E17)</f>
        <v>99999</v>
      </c>
      <c r="C5" s="46">
        <f>IF(_tauxactuariel1t,(('TAM Projet 1 (2)'!N5+1)^(1/_nbechan1t))-1,'TAM Projet 1 (2)'!N5/_nbechan1t)</f>
        <v>1.5499999999999999E-3</v>
      </c>
      <c r="D5" s="44" t="s">
        <v>1</v>
      </c>
      <c r="E5" s="100" t="s">
        <v>34</v>
      </c>
      <c r="F5" s="10" t="s">
        <v>56</v>
      </c>
      <c r="H5" s="14"/>
      <c r="I5" s="87">
        <f>IF(ISERROR('Avancé prêt in fine projet  (2'!E17),99999,'Avancé prêt in fine projet  (2'!E17)</f>
        <v>99999</v>
      </c>
      <c r="J5" s="46">
        <f>IF(_tauxactuariel1t1,(('TAM Projet 1 (2)'!N13+1)^(1/_nebchan1t))-1,'TAM Projet 1 (2)'!N13/_nebchan1t)</f>
        <v>8.3333333333333339E-4</v>
      </c>
      <c r="K5" s="44" t="s">
        <v>1</v>
      </c>
      <c r="L5" s="100" t="s">
        <v>84</v>
      </c>
      <c r="M5" s="10" t="s">
        <v>56</v>
      </c>
      <c r="O5" s="186">
        <v>3</v>
      </c>
      <c r="P5" s="185" t="s">
        <v>91</v>
      </c>
    </row>
    <row r="6" spans="1:16" x14ac:dyDescent="0.2">
      <c r="A6" s="14"/>
      <c r="B6" s="88">
        <f>IF(1&lt;=_noeechmaxi1,
IF(ISERROR('Avancé prêt taux fixe proje (2'!D37),ROUND('Tableaux amortissement proj (2'!K7*A16,_nbdeci1t),'Avancé prêt taux fixe proje (2'!D37),
0)</f>
        <v>290.24</v>
      </c>
      <c r="C6" s="47">
        <f>0+IF(_periodicite1t="M",1)+IF(_periodicite1t="T",3)+IF(_periodicite1t="S",6)+IF(_periodicite1t="A",12)+IF(_periodicite1t="B",0.5)</f>
        <v>1</v>
      </c>
      <c r="D6" s="45" t="s">
        <v>29</v>
      </c>
      <c r="E6" s="96">
        <v>1</v>
      </c>
      <c r="F6" s="10" t="s">
        <v>57</v>
      </c>
      <c r="H6" s="14"/>
      <c r="I6" s="88">
        <f>IF(1&lt;=_noechmaxi1t,
IF(ISERROR('Avancé prêt in fine projet  (2'!D37),ROUND('Tableaux amortissement proj (2'!AA7*H16,_nbdeci1t1),'Avancé prêt in fine projet  (2'!D37),
0)</f>
        <v>200</v>
      </c>
      <c r="J6" s="47">
        <f>0+IF(_periodicite1tt="M",1)+IF(_periodicite1tt="T",3)+IF(_periodicite1tt="S",6)+IF(_periodicite1tt="A",12)+IF(_periodicite1tt="B",0.5)</f>
        <v>1</v>
      </c>
      <c r="K6" s="45" t="s">
        <v>29</v>
      </c>
      <c r="L6" s="96">
        <v>1</v>
      </c>
      <c r="M6" s="10" t="s">
        <v>57</v>
      </c>
      <c r="O6" s="186">
        <v>4</v>
      </c>
      <c r="P6" s="185" t="s">
        <v>92</v>
      </c>
    </row>
    <row r="7" spans="1:16" x14ac:dyDescent="0.2">
      <c r="A7" s="14"/>
      <c r="B7" s="88">
        <f>IF(1&gt;_noeechmaxi1,
0,
IF(ISERROR('Avancé prêt taux fixe proje (2'!E37),
   IF(1&lt;=_differe1t,IF(_difftotal1t,-_int1e1t,0),IF(1&gt;=_noechremb1t,'Tableaux amortissement proj (2'!K7,IF(B16-('Tableaux amortissement proj (2'!L7*_echfixe1t)&gt;'Tableaux amortissement proj (2'!K7-2,'Tableaux amortissement proj (2'!K7,B16-('Tableaux amortissement proj (2'!L7*_echfixe1t))))+'Tableaux amortissement proj (2'!B7,
   'Avancé prêt taux fixe proje (2'!E37))</f>
        <v>316.67999999999995</v>
      </c>
      <c r="C7" s="48">
        <f>0+IF(_periodicite1t="H",7)+IF(_periodicite1t="Q",14)</f>
        <v>0</v>
      </c>
      <c r="D7" s="45" t="s">
        <v>30</v>
      </c>
      <c r="E7" s="96" t="b">
        <f>IF(_differe1t&gt;0,E6=1,FALSE)</f>
        <v>0</v>
      </c>
      <c r="F7" s="10" t="s">
        <v>58</v>
      </c>
      <c r="H7" s="14"/>
      <c r="I7" s="88">
        <f>IF(1&gt;_noechmaxi1t,
0,
IF(ISERROR('Avancé prêt in fine projet  (2'!E37),
   IF(1&lt;=_differe1t1t,IF(_difftotal1t1t,-_int1e12,0),IF(1&gt;=_noechremb12,'Tableaux amortissement proj (2'!AA7,IF(I16-('Tableaux amortissement proj (2'!AB7*_echfixe12)&gt;'Tableaux amortissement proj (2'!AA7-2,'Tableaux amortissement proj (2'!AA7,I16-('Tableaux amortissement proj (2'!AB7*_echfixe12))))+'Tableaux amortissement proj (2'!R7,
   'Avancé prêt in fine projet  (2'!E37))</f>
        <v>0</v>
      </c>
      <c r="J7" s="48">
        <f>0+IF(_periodicite1tt="H",7)+IF(_periodicite1tt="Q",14)</f>
        <v>0</v>
      </c>
      <c r="K7" s="45" t="s">
        <v>30</v>
      </c>
      <c r="L7" s="96" t="b">
        <f>IF(_differe1t1t&gt;0,L6=1,FALSE)</f>
        <v>1</v>
      </c>
      <c r="M7" s="10" t="s">
        <v>58</v>
      </c>
      <c r="O7" s="186">
        <v>5</v>
      </c>
      <c r="P7" s="185" t="s">
        <v>93</v>
      </c>
    </row>
    <row r="8" spans="1:16" x14ac:dyDescent="0.2">
      <c r="A8" s="14"/>
      <c r="B8" s="89">
        <f>IF(ISERROR('Avancé prêt taux fixe proje (2'!C37),
IF(_ijour12=0,MIN(DATE(YEAR(_debamort12),MONTH(_debamort12)-_MoisD-_imois12,_jour212),DATE(YEAR(_debamort12),MONTH(_debamort12)-_MoisD+1-_imois12,0)),DATE(YEAR(_debamort12),MONTH(_debamort12),_jour12-_ijour12)),
'Avancé prêt taux fixe proje (2'!C37)</f>
        <v>39783</v>
      </c>
      <c r="C8" s="48">
        <f>DAY(_debamort12)</f>
        <v>1</v>
      </c>
      <c r="D8" s="45" t="s">
        <v>31</v>
      </c>
      <c r="E8" s="96" t="b">
        <f>IF(_differe1t&gt;0,E6=2,FALSE)</f>
        <v>0</v>
      </c>
      <c r="F8" s="10" t="s">
        <v>59</v>
      </c>
      <c r="H8" s="14"/>
      <c r="I8" s="89">
        <f>IF(ISERROR('Avancé prêt in fine projet  (2'!C37),
IF(_ijour122=0,MIN(DATE(YEAR(_debamort122),MONTH(_debamort122)-_moisd12-_imois122,__jou21),DATE(YEAR(_debamort122),MONTH(_debamort122)-_moisd12+1-_imois122,0)),DATE(YEAR(_debamort122),MONTH(_debamort122),__jou123-_ijour122)),
'Avancé prêt in fine projet  (2'!C37)</f>
        <v>39783</v>
      </c>
      <c r="J8" s="48">
        <f>DAY(_debamort122)</f>
        <v>1</v>
      </c>
      <c r="K8" s="45" t="s">
        <v>31</v>
      </c>
      <c r="L8" s="96" t="b">
        <f>IF(_differe1t1t&gt;0,L6=2,FALSE)</f>
        <v>0</v>
      </c>
      <c r="M8" s="10" t="s">
        <v>59</v>
      </c>
      <c r="O8" s="186">
        <v>6</v>
      </c>
      <c r="P8" s="185" t="s">
        <v>94</v>
      </c>
    </row>
    <row r="9" spans="1:16" x14ac:dyDescent="0.2">
      <c r="A9" s="14"/>
      <c r="B9" s="15"/>
      <c r="C9" s="48">
        <f>IF(_periodicite1t="B",IF(C8&gt;15,MIN(C8-15,15),C8+15),C8)</f>
        <v>1</v>
      </c>
      <c r="D9" s="45" t="s">
        <v>35</v>
      </c>
      <c r="E9" s="97">
        <f>'TAM Projet 1 (2)'!W7*_nbechan1t/12</f>
        <v>0</v>
      </c>
      <c r="F9" s="10" t="s">
        <v>55</v>
      </c>
      <c r="H9" s="14"/>
      <c r="I9" s="15"/>
      <c r="J9" s="48">
        <f>IF(_periodicite1tt="B",IF(J8&gt;15,MIN(J8-15,15),J8+15),J8)</f>
        <v>1</v>
      </c>
      <c r="K9" s="45" t="s">
        <v>35</v>
      </c>
      <c r="L9" s="97">
        <f>'TAM Projet 1 (2)'!W15*_nebchan1t/12</f>
        <v>143</v>
      </c>
      <c r="M9" s="10" t="s">
        <v>55</v>
      </c>
      <c r="O9" s="186">
        <v>7</v>
      </c>
      <c r="P9" s="185" t="s">
        <v>95</v>
      </c>
    </row>
    <row r="10" spans="1:16" ht="13.5" thickBot="1" x14ac:dyDescent="0.25">
      <c r="A10" s="14"/>
      <c r="B10" s="15"/>
      <c r="C10" s="48">
        <f>IF(_jour212&lt;_jour12,1,0)</f>
        <v>0</v>
      </c>
      <c r="D10" s="45" t="s">
        <v>36</v>
      </c>
      <c r="E10" s="101" t="s">
        <v>72</v>
      </c>
      <c r="F10" s="10" t="s">
        <v>60</v>
      </c>
      <c r="H10" s="14"/>
      <c r="I10" s="15"/>
      <c r="J10" s="48">
        <f>IF(__jou21&lt;__jou123,1,0)</f>
        <v>0</v>
      </c>
      <c r="K10" s="45" t="s">
        <v>36</v>
      </c>
      <c r="L10" s="101" t="s">
        <v>72</v>
      </c>
      <c r="M10" s="10" t="s">
        <v>60</v>
      </c>
      <c r="O10" s="186">
        <v>8</v>
      </c>
      <c r="P10" s="185" t="s">
        <v>96</v>
      </c>
    </row>
    <row r="11" spans="1:16" ht="13.5" thickBot="1" x14ac:dyDescent="0.25">
      <c r="A11" s="542" t="s">
        <v>24</v>
      </c>
      <c r="B11" s="543"/>
      <c r="C11" s="10"/>
      <c r="D11" s="10"/>
      <c r="E11" s="102">
        <f>'TAM Projet 1 (2)'!N3</f>
        <v>187250</v>
      </c>
      <c r="F11" s="95" t="str">
        <f>UPPER(LEFT(INDEX(F4:F10,F3,1)))</f>
        <v>M</v>
      </c>
      <c r="H11" s="542" t="s">
        <v>24</v>
      </c>
      <c r="I11" s="543"/>
      <c r="J11" s="10"/>
      <c r="K11" s="10"/>
      <c r="L11" s="102">
        <f>'TAM Projet 1 (2)'!N11</f>
        <v>240000</v>
      </c>
      <c r="M11" s="95" t="str">
        <f>UPPER(LEFT(INDEX(M4:M10,M3,1)))</f>
        <v>M</v>
      </c>
      <c r="O11" s="186">
        <v>9</v>
      </c>
      <c r="P11" s="185" t="s">
        <v>97</v>
      </c>
    </row>
    <row r="12" spans="1:16" x14ac:dyDescent="0.2">
      <c r="A12" s="539" t="s">
        <v>1</v>
      </c>
      <c r="B12" s="536" t="s">
        <v>0</v>
      </c>
      <c r="C12" s="10"/>
      <c r="D12" s="10"/>
      <c r="E12" s="102">
        <f>INDEX('Tableaux amortissement proj (2'!K7:K439,_differe1t+1,1)</f>
        <v>187250</v>
      </c>
      <c r="F12" s="10"/>
      <c r="H12" s="539" t="s">
        <v>1</v>
      </c>
      <c r="I12" s="536" t="s">
        <v>0</v>
      </c>
      <c r="J12" s="10"/>
      <c r="K12" s="10"/>
      <c r="L12" s="102">
        <f>INDEX('Tableaux amortissement proj (2'!AA7:AA439,_differe1t1t+1,1)</f>
        <v>240000</v>
      </c>
      <c r="M12" s="10"/>
      <c r="O12" s="186">
        <v>10</v>
      </c>
      <c r="P12" s="185" t="s">
        <v>98</v>
      </c>
    </row>
    <row r="13" spans="1:16" x14ac:dyDescent="0.2">
      <c r="A13" s="540"/>
      <c r="B13" s="537"/>
      <c r="C13" s="10"/>
      <c r="D13" s="10"/>
      <c r="E13" s="103">
        <f>IF(_difftotal1t,E12,E11)</f>
        <v>187250</v>
      </c>
      <c r="F13" s="10"/>
      <c r="H13" s="540"/>
      <c r="I13" s="537"/>
      <c r="J13" s="10"/>
      <c r="K13" s="10"/>
      <c r="L13" s="103">
        <f>IF(_difftotal1t1t,L12,L11)</f>
        <v>240000</v>
      </c>
      <c r="M13" s="10"/>
      <c r="O13" s="186">
        <v>11</v>
      </c>
      <c r="P13" s="185" t="s">
        <v>99</v>
      </c>
    </row>
    <row r="14" spans="1:16" ht="13.5" thickBot="1" x14ac:dyDescent="0.25">
      <c r="A14" s="541"/>
      <c r="B14" s="538"/>
      <c r="C14" s="10"/>
      <c r="D14" s="10"/>
      <c r="E14" s="10"/>
      <c r="F14" s="10"/>
      <c r="H14" s="541"/>
      <c r="I14" s="538"/>
      <c r="J14" s="10"/>
      <c r="K14" s="10"/>
      <c r="L14" s="10"/>
      <c r="M14" s="10"/>
      <c r="O14" s="186">
        <v>12</v>
      </c>
      <c r="P14" s="185" t="s">
        <v>100</v>
      </c>
    </row>
    <row r="15" spans="1:16" x14ac:dyDescent="0.2">
      <c r="A15" s="385"/>
      <c r="B15" s="384"/>
      <c r="C15" s="17"/>
      <c r="D15" s="17"/>
      <c r="E15" s="17"/>
      <c r="F15" s="17"/>
      <c r="H15" s="385"/>
      <c r="I15" s="384"/>
      <c r="J15" s="17"/>
      <c r="K15" s="17"/>
      <c r="L15" s="17"/>
      <c r="M15" s="17"/>
      <c r="O15" s="186">
        <v>13</v>
      </c>
      <c r="P15" s="185" t="s">
        <v>101</v>
      </c>
    </row>
    <row r="16" spans="1:16" x14ac:dyDescent="0.2">
      <c r="A16" s="29">
        <f>IF('Tableaux amortissement proj (2'!A7&gt;0,IF(_tauxactuariel1t,(('Tableaux amortissement proj (2'!A7+1)^(1/_nbechan1t))-1,'Tableaux amortissement proj (2'!A7/_nbechan1t),_txper12)</f>
        <v>1.5499999999999999E-3</v>
      </c>
      <c r="B16" s="28">
        <f>IF('Tableaux amortissement proj (2'!D7&gt;0,'Tableaux amortissement proj (2'!D7,IF('Tableaux amortissement proj (2'!C7&gt;0,IF(AND(_echfixe1t,A16&gt;0),ROUND(('Tableaux amortissement proj (2'!K7-'Tableaux amortissement proj (2'!B7)*A16/(1-((1+A16)^-'Tableaux amortissement proj (2'!C7)),_nbdeci1t),ROUND('Tableaux amortissement proj (2'!K7/'Tableaux amortissement proj (2'!C7,_nbdeci1t)),_mtech12))</f>
        <v>606.91999999999996</v>
      </c>
      <c r="C16" s="17"/>
      <c r="D16" s="17"/>
      <c r="E16" s="17"/>
      <c r="F16" s="17"/>
      <c r="H16" s="29">
        <f>IF('Tableaux amortissement proj (2'!Q7&gt;0,IF(_tauxactuariel1t1,(('Tableaux amortissement proj (2'!Q7+1)^(1/_nebchan1t))-1,'Tableaux amortissement proj (2'!Q7/_nebchan1t),_txper123)</f>
        <v>8.3333333333333339E-4</v>
      </c>
      <c r="I16" s="28">
        <f>IF('Tableaux amortissement proj (2'!T7&gt;0,'Tableaux amortissement proj (2'!T7,IF('Tableaux amortissement proj (2'!S7&gt;0,IF(AND(_echfixe12,H16&gt;0),ROUND(('Tableaux amortissement proj (2'!AA7-'Tableaux amortissement proj (2'!R7)*H16/(1-((1+H16)^-'Tableaux amortissement proj (2'!S7)),_nbdeci1t1),ROUND('Tableaux amortissement proj (2'!AA7/'Tableaux amortissement proj (2'!S7,_nbdeci1t1)),_mtech123))</f>
        <v>240200</v>
      </c>
      <c r="J16" s="17"/>
      <c r="K16" s="17"/>
      <c r="L16" s="17"/>
      <c r="M16" s="17"/>
      <c r="O16" s="186">
        <v>14</v>
      </c>
      <c r="P16" s="185" t="s">
        <v>102</v>
      </c>
    </row>
    <row r="17" spans="1:16" x14ac:dyDescent="0.2">
      <c r="A17" s="29">
        <f>IF('Tableaux amortissement proj (2'!A8&gt;0,IF(_tauxactuariel1t,(('Tableaux amortissement proj (2'!A8+1)^(1/_nbechan1t))-1,'Tableaux amortissement proj (2'!A8/_nbechan1t),A16)</f>
        <v>1.5499999999999999E-3</v>
      </c>
      <c r="B17" s="28">
        <f>IF('Tableaux amortissement proj (2'!D8&gt;0,'Tableaux amortissement proj (2'!D8,IF('Tableaux amortissement proj (2'!C8&gt;0,IF(AND(_echfixe1t,A17&gt;0),ROUND(('Tableaux amortissement proj (2'!K8-'Tableaux amortissement proj (2'!B8)*A17/(1-((1+A17)^-'Tableaux amortissement proj (2'!C8)),_nbdeci1t),ROUND('Tableaux amortissement proj (2'!K8/'Tableaux amortissement proj (2'!C8,_nbdeci1t)),B16))</f>
        <v>606.91999999999996</v>
      </c>
      <c r="C17" s="17"/>
      <c r="D17" s="17"/>
      <c r="E17" s="17"/>
      <c r="F17" s="17"/>
      <c r="H17" s="29">
        <f>IF('Tableaux amortissement proj (2'!Q8&gt;0,IF(_tauxactuariel1t1,(('Tableaux amortissement proj (2'!Q8+1)^(1/_nebchan1t))-1,'Tableaux amortissement proj (2'!Q8/_nebchan1t),H16)</f>
        <v>8.3333333333333339E-4</v>
      </c>
      <c r="I17" s="28">
        <f>IF('Tableaux amortissement proj (2'!T8&gt;0,'Tableaux amortissement proj (2'!T8,IF('Tableaux amortissement proj (2'!S8&gt;0,IF(AND(_echfixe12,H17&gt;0),ROUND(('Tableaux amortissement proj (2'!AA8-'Tableaux amortissement proj (2'!R8)*H17/(1-((1+H17)^-'Tableaux amortissement proj (2'!S8)),_nbdeci1t1),ROUND('Tableaux amortissement proj (2'!AA8/'Tableaux amortissement proj (2'!S8,_nbdeci1t1)),I16))</f>
        <v>240200</v>
      </c>
      <c r="J17" s="17"/>
      <c r="K17" s="17"/>
      <c r="L17" s="17"/>
      <c r="M17" s="17"/>
      <c r="O17" s="186">
        <v>15</v>
      </c>
      <c r="P17" s="185" t="s">
        <v>103</v>
      </c>
    </row>
    <row r="18" spans="1:16" x14ac:dyDescent="0.2">
      <c r="A18" s="29">
        <f>IF('Tableaux amortissement proj (2'!A9&gt;0,IF(_tauxactuariel1t,(('Tableaux amortissement proj (2'!A9+1)^(1/_nbechan1t))-1,'Tableaux amortissement proj (2'!A9/_nbechan1t),A17)</f>
        <v>1.5499999999999999E-3</v>
      </c>
      <c r="B18" s="28">
        <f>IF('Tableaux amortissement proj (2'!D9&gt;0,'Tableaux amortissement proj (2'!D9,IF('Tableaux amortissement proj (2'!C9&gt;0,IF(AND(_echfixe1t,A18&gt;0),ROUND(('Tableaux amortissement proj (2'!K9-'Tableaux amortissement proj (2'!B9)*A18/(1-((1+A18)^-'Tableaux amortissement proj (2'!C9)),_nbdeci1t),ROUND('Tableaux amortissement proj (2'!K9/'Tableaux amortissement proj (2'!C9,_nbdeci1t)),B17))</f>
        <v>606.91999999999996</v>
      </c>
      <c r="C18" s="10"/>
      <c r="D18" s="10"/>
      <c r="E18" s="10"/>
      <c r="F18" s="10"/>
      <c r="H18" s="29">
        <f>IF('Tableaux amortissement proj (2'!Q9&gt;0,IF(_tauxactuariel1t1,(('Tableaux amortissement proj (2'!Q9+1)^(1/_nebchan1t))-1,'Tableaux amortissement proj (2'!Q9/_nebchan1t),H17)</f>
        <v>8.3333333333333339E-4</v>
      </c>
      <c r="I18" s="28">
        <f>IF('Tableaux amortissement proj (2'!T9&gt;0,'Tableaux amortissement proj (2'!T9,IF('Tableaux amortissement proj (2'!S9&gt;0,IF(AND(_echfixe12,H18&gt;0),ROUND(('Tableaux amortissement proj (2'!AA9-'Tableaux amortissement proj (2'!R9)*H18/(1-((1+H18)^-'Tableaux amortissement proj (2'!S9)),_nbdeci1t1),ROUND('Tableaux amortissement proj (2'!AA9/'Tableaux amortissement proj (2'!S9,_nbdeci1t1)),I17))</f>
        <v>240200</v>
      </c>
      <c r="J18" s="10"/>
      <c r="K18" s="10"/>
      <c r="L18" s="10"/>
      <c r="M18" s="10"/>
      <c r="O18" s="186">
        <v>16</v>
      </c>
      <c r="P18" s="185" t="s">
        <v>104</v>
      </c>
    </row>
    <row r="19" spans="1:16" x14ac:dyDescent="0.2">
      <c r="A19" s="29">
        <f>IF('Tableaux amortissement proj (2'!A10&gt;0,IF(_tauxactuariel1t,(('Tableaux amortissement proj (2'!A10+1)^(1/_nbechan1t))-1,'Tableaux amortissement proj (2'!A10/_nbechan1t),A18)</f>
        <v>1.5499999999999999E-3</v>
      </c>
      <c r="B19" s="28">
        <f>IF('Tableaux amortissement proj (2'!D10&gt;0,'Tableaux amortissement proj (2'!D10,IF('Tableaux amortissement proj (2'!C10&gt;0,IF(AND(_echfixe1t,A19&gt;0),ROUND(('Tableaux amortissement proj (2'!K10-'Tableaux amortissement proj (2'!B10)*A19/(1-((1+A19)^-'Tableaux amortissement proj (2'!C10)),_nbdeci1t),ROUND('Tableaux amortissement proj (2'!K10/'Tableaux amortissement proj (2'!C10,_nbdeci1t)),B18))</f>
        <v>606.91999999999996</v>
      </c>
      <c r="C19" s="10"/>
      <c r="D19" s="10"/>
      <c r="E19" s="10"/>
      <c r="F19" s="10"/>
      <c r="H19" s="29">
        <f>IF('Tableaux amortissement proj (2'!Q10&gt;0,IF(_tauxactuariel1t1,(('Tableaux amortissement proj (2'!Q10+1)^(1/_nebchan1t))-1,'Tableaux amortissement proj (2'!Q10/_nebchan1t),H18)</f>
        <v>8.3333333333333339E-4</v>
      </c>
      <c r="I19" s="28">
        <f>IF('Tableaux amortissement proj (2'!T10&gt;0,'Tableaux amortissement proj (2'!T10,IF('Tableaux amortissement proj (2'!S10&gt;0,IF(AND(_echfixe12,H19&gt;0),ROUND(('Tableaux amortissement proj (2'!AA10-'Tableaux amortissement proj (2'!R10)*H19/(1-((1+H19)^-'Tableaux amortissement proj (2'!S10)),_nbdeci1t1),ROUND('Tableaux amortissement proj (2'!AA10/'Tableaux amortissement proj (2'!S10,_nbdeci1t1)),I18))</f>
        <v>240200</v>
      </c>
      <c r="J19" s="10"/>
      <c r="K19" s="10"/>
      <c r="L19" s="10"/>
      <c r="M19" s="10"/>
      <c r="O19" s="186">
        <v>17</v>
      </c>
      <c r="P19" s="185" t="s">
        <v>105</v>
      </c>
    </row>
    <row r="20" spans="1:16" x14ac:dyDescent="0.2">
      <c r="A20" s="29">
        <f>IF('Tableaux amortissement proj (2'!A11&gt;0,IF(_tauxactuariel1t,(('Tableaux amortissement proj (2'!A11+1)^(1/_nbechan1t))-1,'Tableaux amortissement proj (2'!A11/_nbechan1t),A19)</f>
        <v>1.5499999999999999E-3</v>
      </c>
      <c r="B20" s="28">
        <f>IF('Tableaux amortissement proj (2'!D11&gt;0,'Tableaux amortissement proj (2'!D11,IF('Tableaux amortissement proj (2'!C11&gt;0,IF(AND(_echfixe1t,A20&gt;0),ROUND(('Tableaux amortissement proj (2'!K11-'Tableaux amortissement proj (2'!B11)*A20/(1-((1+A20)^-'Tableaux amortissement proj (2'!C11)),_nbdeci1t),ROUND('Tableaux amortissement proj (2'!K11/'Tableaux amortissement proj (2'!C11,_nbdeci1t)),B19))</f>
        <v>606.91999999999996</v>
      </c>
      <c r="C20" s="10"/>
      <c r="D20" s="10"/>
      <c r="E20" s="10"/>
      <c r="F20" s="10"/>
      <c r="H20" s="29">
        <f>IF('Tableaux amortissement proj (2'!Q11&gt;0,IF(_tauxactuariel1t1,(('Tableaux amortissement proj (2'!Q11+1)^(1/_nebchan1t))-1,'Tableaux amortissement proj (2'!Q11/_nebchan1t),H19)</f>
        <v>8.3333333333333339E-4</v>
      </c>
      <c r="I20" s="28">
        <f>IF('Tableaux amortissement proj (2'!T11&gt;0,'Tableaux amortissement proj (2'!T11,IF('Tableaux amortissement proj (2'!S11&gt;0,IF(AND(_echfixe12,H20&gt;0),ROUND(('Tableaux amortissement proj (2'!AA11-'Tableaux amortissement proj (2'!R11)*H20/(1-((1+H20)^-'Tableaux amortissement proj (2'!S11)),_nbdeci1t1),ROUND('Tableaux amortissement proj (2'!AA11/'Tableaux amortissement proj (2'!S11,_nbdeci1t1)),I19))</f>
        <v>240200</v>
      </c>
      <c r="J20" s="10"/>
      <c r="K20" s="10"/>
      <c r="L20" s="10"/>
      <c r="M20" s="10"/>
      <c r="O20" s="186">
        <v>18</v>
      </c>
      <c r="P20" s="185" t="s">
        <v>106</v>
      </c>
    </row>
    <row r="21" spans="1:16" x14ac:dyDescent="0.2">
      <c r="A21" s="29">
        <f>IF('Tableaux amortissement proj (2'!A12&gt;0,IF(_tauxactuariel1t,(('Tableaux amortissement proj (2'!A12+1)^(1/_nbechan1t))-1,'Tableaux amortissement proj (2'!A12/_nbechan1t),A20)</f>
        <v>1.5499999999999999E-3</v>
      </c>
      <c r="B21" s="28">
        <f>IF('Tableaux amortissement proj (2'!D12&gt;0,'Tableaux amortissement proj (2'!D12,IF('Tableaux amortissement proj (2'!C12&gt;0,IF(AND(_echfixe1t,A21&gt;0),ROUND(('Tableaux amortissement proj (2'!K12-'Tableaux amortissement proj (2'!B12)*A21/(1-((1+A21)^-'Tableaux amortissement proj (2'!C12)),_nbdeci1t),ROUND('Tableaux amortissement proj (2'!K12/'Tableaux amortissement proj (2'!C12,_nbdeci1t)),B20))</f>
        <v>606.91999999999996</v>
      </c>
      <c r="C21" s="10"/>
      <c r="D21" s="10"/>
      <c r="E21" s="10"/>
      <c r="F21" s="10"/>
      <c r="H21" s="29">
        <f>IF('Tableaux amortissement proj (2'!Q12&gt;0,IF(_tauxactuariel1t1,(('Tableaux amortissement proj (2'!Q12+1)^(1/_nebchan1t))-1,'Tableaux amortissement proj (2'!Q12/_nebchan1t),H20)</f>
        <v>8.3333333333333339E-4</v>
      </c>
      <c r="I21" s="28">
        <f>IF('Tableaux amortissement proj (2'!T12&gt;0,'Tableaux amortissement proj (2'!T12,IF('Tableaux amortissement proj (2'!S12&gt;0,IF(AND(_echfixe12,H21&gt;0),ROUND(('Tableaux amortissement proj (2'!AA12-'Tableaux amortissement proj (2'!R12)*H21/(1-((1+H21)^-'Tableaux amortissement proj (2'!S12)),_nbdeci1t1),ROUND('Tableaux amortissement proj (2'!AA12/'Tableaux amortissement proj (2'!S12,_nbdeci1t1)),I20))</f>
        <v>240200</v>
      </c>
      <c r="J21" s="10"/>
      <c r="K21" s="10"/>
      <c r="L21" s="10"/>
      <c r="M21" s="10"/>
      <c r="O21" s="186">
        <v>19</v>
      </c>
      <c r="P21" s="185" t="s">
        <v>107</v>
      </c>
    </row>
    <row r="22" spans="1:16" x14ac:dyDescent="0.2">
      <c r="A22" s="29">
        <f>IF('Tableaux amortissement proj (2'!A13&gt;0,IF(_tauxactuariel1t,(('Tableaux amortissement proj (2'!A13+1)^(1/_nbechan1t))-1,'Tableaux amortissement proj (2'!A13/_nbechan1t),A21)</f>
        <v>1.5499999999999999E-3</v>
      </c>
      <c r="B22" s="28">
        <f>IF('Tableaux amortissement proj (2'!D13&gt;0,'Tableaux amortissement proj (2'!D13,IF('Tableaux amortissement proj (2'!C13&gt;0,IF(AND(_echfixe1t,A22&gt;0),ROUND(('Tableaux amortissement proj (2'!K13-'Tableaux amortissement proj (2'!B13)*A22/(1-((1+A22)^-'Tableaux amortissement proj (2'!C13)),_nbdeci1t),ROUND('Tableaux amortissement proj (2'!K13/'Tableaux amortissement proj (2'!C13,_nbdeci1t)),B21))</f>
        <v>606.91999999999996</v>
      </c>
      <c r="C22" s="10"/>
      <c r="D22" s="10"/>
      <c r="E22" s="10"/>
      <c r="F22" s="10"/>
      <c r="H22" s="29">
        <f>IF('Tableaux amortissement proj (2'!Q13&gt;0,IF(_tauxactuariel1t1,(('Tableaux amortissement proj (2'!Q13+1)^(1/_nebchan1t))-1,'Tableaux amortissement proj (2'!Q13/_nebchan1t),H21)</f>
        <v>8.3333333333333339E-4</v>
      </c>
      <c r="I22" s="28">
        <f>IF('Tableaux amortissement proj (2'!T13&gt;0,'Tableaux amortissement proj (2'!T13,IF('Tableaux amortissement proj (2'!S13&gt;0,IF(AND(_echfixe12,H22&gt;0),ROUND(('Tableaux amortissement proj (2'!AA13-'Tableaux amortissement proj (2'!R13)*H22/(1-((1+H22)^-'Tableaux amortissement proj (2'!S13)),_nbdeci1t1),ROUND('Tableaux amortissement proj (2'!AA13/'Tableaux amortissement proj (2'!S13,_nbdeci1t1)),I21))</f>
        <v>240200</v>
      </c>
      <c r="J22" s="10"/>
      <c r="K22" s="10"/>
      <c r="L22" s="10"/>
      <c r="M22" s="10"/>
      <c r="O22" s="186">
        <v>20</v>
      </c>
      <c r="P22" s="185" t="s">
        <v>108</v>
      </c>
    </row>
    <row r="23" spans="1:16" x14ac:dyDescent="0.2">
      <c r="A23" s="29">
        <f>IF('Tableaux amortissement proj (2'!A14&gt;0,IF(_tauxactuariel1t,(('Tableaux amortissement proj (2'!A14+1)^(1/_nbechan1t))-1,'Tableaux amortissement proj (2'!A14/_nbechan1t),A22)</f>
        <v>1.5499999999999999E-3</v>
      </c>
      <c r="B23" s="28">
        <f>IF('Tableaux amortissement proj (2'!D14&gt;0,'Tableaux amortissement proj (2'!D14,IF('Tableaux amortissement proj (2'!C14&gt;0,IF(AND(_echfixe1t,A23&gt;0),ROUND(('Tableaux amortissement proj (2'!K14-'Tableaux amortissement proj (2'!B14)*A23/(1-((1+A23)^-'Tableaux amortissement proj (2'!C14)),_nbdeci1t),ROUND('Tableaux amortissement proj (2'!K14/'Tableaux amortissement proj (2'!C14,_nbdeci1t)),B22))</f>
        <v>606.91999999999996</v>
      </c>
      <c r="C23" s="10"/>
      <c r="D23" s="10"/>
      <c r="E23" s="10"/>
      <c r="F23" s="10"/>
      <c r="H23" s="29">
        <f>IF('Tableaux amortissement proj (2'!Q14&gt;0,IF(_tauxactuariel1t1,(('Tableaux amortissement proj (2'!Q14+1)^(1/_nebchan1t))-1,'Tableaux amortissement proj (2'!Q14/_nebchan1t),H22)</f>
        <v>8.3333333333333339E-4</v>
      </c>
      <c r="I23" s="28">
        <f>IF('Tableaux amortissement proj (2'!T14&gt;0,'Tableaux amortissement proj (2'!T14,IF('Tableaux amortissement proj (2'!S14&gt;0,IF(AND(_echfixe12,H23&gt;0),ROUND(('Tableaux amortissement proj (2'!AA14-'Tableaux amortissement proj (2'!R14)*H23/(1-((1+H23)^-'Tableaux amortissement proj (2'!S14)),_nbdeci1t1),ROUND('Tableaux amortissement proj (2'!AA14/'Tableaux amortissement proj (2'!S14,_nbdeci1t1)),I22))</f>
        <v>240200</v>
      </c>
      <c r="J23" s="10"/>
      <c r="K23" s="10"/>
      <c r="L23" s="10"/>
      <c r="M23" s="10"/>
      <c r="O23" s="186">
        <v>21</v>
      </c>
      <c r="P23" s="185" t="s">
        <v>109</v>
      </c>
    </row>
    <row r="24" spans="1:16" x14ac:dyDescent="0.2">
      <c r="A24" s="29">
        <f>IF('Tableaux amortissement proj (2'!A15&gt;0,IF(_tauxactuariel1t,(('Tableaux amortissement proj (2'!A15+1)^(1/_nbechan1t))-1,'Tableaux amortissement proj (2'!A15/_nbechan1t),A23)</f>
        <v>1.5499999999999999E-3</v>
      </c>
      <c r="B24" s="28">
        <f>IF('Tableaux amortissement proj (2'!D15&gt;0,'Tableaux amortissement proj (2'!D15,IF('Tableaux amortissement proj (2'!C15&gt;0,IF(AND(_echfixe1t,A24&gt;0),ROUND(('Tableaux amortissement proj (2'!K15-'Tableaux amortissement proj (2'!B15)*A24/(1-((1+A24)^-'Tableaux amortissement proj (2'!C15)),_nbdeci1t),ROUND('Tableaux amortissement proj (2'!K15/'Tableaux amortissement proj (2'!C15,_nbdeci1t)),B23))</f>
        <v>606.91999999999996</v>
      </c>
      <c r="C24" s="10"/>
      <c r="D24" s="10"/>
      <c r="E24" s="10"/>
      <c r="F24" s="10"/>
      <c r="H24" s="29">
        <f>IF('Tableaux amortissement proj (2'!Q15&gt;0,IF(_tauxactuariel1t1,(('Tableaux amortissement proj (2'!Q15+1)^(1/_nebchan1t))-1,'Tableaux amortissement proj (2'!Q15/_nebchan1t),H23)</f>
        <v>8.3333333333333339E-4</v>
      </c>
      <c r="I24" s="28">
        <f>IF('Tableaux amortissement proj (2'!T15&gt;0,'Tableaux amortissement proj (2'!T15,IF('Tableaux amortissement proj (2'!S15&gt;0,IF(AND(_echfixe12,H24&gt;0),ROUND(('Tableaux amortissement proj (2'!AA15-'Tableaux amortissement proj (2'!R15)*H24/(1-((1+H24)^-'Tableaux amortissement proj (2'!S15)),_nbdeci1t1),ROUND('Tableaux amortissement proj (2'!AA15/'Tableaux amortissement proj (2'!S15,_nbdeci1t1)),I23))</f>
        <v>240200</v>
      </c>
      <c r="J24" s="10"/>
      <c r="K24" s="10"/>
      <c r="L24" s="10"/>
      <c r="M24" s="10"/>
      <c r="O24" s="186">
        <v>22</v>
      </c>
      <c r="P24" s="185"/>
    </row>
    <row r="25" spans="1:16" x14ac:dyDescent="0.2">
      <c r="A25" s="29">
        <f>IF('Tableaux amortissement proj (2'!A16&gt;0,IF(_tauxactuariel1t,(('Tableaux amortissement proj (2'!A16+1)^(1/_nbechan1t))-1,'Tableaux amortissement proj (2'!A16/_nbechan1t),A24)</f>
        <v>1.5499999999999999E-3</v>
      </c>
      <c r="B25" s="28">
        <f>IF('Tableaux amortissement proj (2'!D16&gt;0,'Tableaux amortissement proj (2'!D16,IF('Tableaux amortissement proj (2'!C16&gt;0,IF(AND(_echfixe1t,A25&gt;0),ROUND(('Tableaux amortissement proj (2'!K16-'Tableaux amortissement proj (2'!B16)*A25/(1-((1+A25)^-'Tableaux amortissement proj (2'!C16)),_nbdeci1t),ROUND('Tableaux amortissement proj (2'!K16/'Tableaux amortissement proj (2'!C16,_nbdeci1t)),B24))</f>
        <v>606.91999999999996</v>
      </c>
      <c r="C25" s="10"/>
      <c r="D25" s="10"/>
      <c r="E25" s="10"/>
      <c r="F25" s="10"/>
      <c r="H25" s="29">
        <f>IF('Tableaux amortissement proj (2'!Q16&gt;0,IF(_tauxactuariel1t1,(('Tableaux amortissement proj (2'!Q16+1)^(1/_nebchan1t))-1,'Tableaux amortissement proj (2'!Q16/_nebchan1t),H24)</f>
        <v>8.3333333333333339E-4</v>
      </c>
      <c r="I25" s="28">
        <f>IF('Tableaux amortissement proj (2'!T16&gt;0,'Tableaux amortissement proj (2'!T16,IF('Tableaux amortissement proj (2'!S16&gt;0,IF(AND(_echfixe12,H25&gt;0),ROUND(('Tableaux amortissement proj (2'!AA16-'Tableaux amortissement proj (2'!R16)*H25/(1-((1+H25)^-'Tableaux amortissement proj (2'!S16)),_nbdeci1t1),ROUND('Tableaux amortissement proj (2'!AA16/'Tableaux amortissement proj (2'!S16,_nbdeci1t1)),I24))</f>
        <v>240200</v>
      </c>
      <c r="J25" s="10"/>
      <c r="K25" s="10"/>
      <c r="L25" s="10"/>
      <c r="M25" s="10"/>
      <c r="O25" s="186">
        <v>23</v>
      </c>
    </row>
    <row r="26" spans="1:16" x14ac:dyDescent="0.2">
      <c r="A26" s="29">
        <f>IF('Tableaux amortissement proj (2'!A17&gt;0,IF(_tauxactuariel1t,(('Tableaux amortissement proj (2'!A17+1)^(1/_nbechan1t))-1,'Tableaux amortissement proj (2'!A17/_nbechan1t),A25)</f>
        <v>1.5499999999999999E-3</v>
      </c>
      <c r="B26" s="28">
        <f>IF('Tableaux amortissement proj (2'!D17&gt;0,'Tableaux amortissement proj (2'!D17,IF('Tableaux amortissement proj (2'!C17&gt;0,IF(AND(_echfixe1t,A26&gt;0),ROUND(('Tableaux amortissement proj (2'!K17-'Tableaux amortissement proj (2'!B17)*A26/(1-((1+A26)^-'Tableaux amortissement proj (2'!C17)),_nbdeci1t),ROUND('Tableaux amortissement proj (2'!K17/'Tableaux amortissement proj (2'!C17,_nbdeci1t)),B25))</f>
        <v>606.91999999999996</v>
      </c>
      <c r="C26" s="10"/>
      <c r="D26" s="10"/>
      <c r="E26" s="10"/>
      <c r="F26" s="10"/>
      <c r="H26" s="29">
        <f>IF('Tableaux amortissement proj (2'!Q17&gt;0,IF(_tauxactuariel1t1,(('Tableaux amortissement proj (2'!Q17+1)^(1/_nebchan1t))-1,'Tableaux amortissement proj (2'!Q17/_nebchan1t),H25)</f>
        <v>8.3333333333333339E-4</v>
      </c>
      <c r="I26" s="28">
        <f>IF('Tableaux amortissement proj (2'!T17&gt;0,'Tableaux amortissement proj (2'!T17,IF('Tableaux amortissement proj (2'!S17&gt;0,IF(AND(_echfixe12,H26&gt;0),ROUND(('Tableaux amortissement proj (2'!AA17-'Tableaux amortissement proj (2'!R17)*H26/(1-((1+H26)^-'Tableaux amortissement proj (2'!S17)),_nbdeci1t1),ROUND('Tableaux amortissement proj (2'!AA17/'Tableaux amortissement proj (2'!S17,_nbdeci1t1)),I25))</f>
        <v>240200</v>
      </c>
      <c r="J26" s="10"/>
      <c r="K26" s="10"/>
      <c r="L26" s="10"/>
      <c r="M26" s="10"/>
      <c r="O26" s="186">
        <v>24</v>
      </c>
    </row>
    <row r="27" spans="1:16" x14ac:dyDescent="0.2">
      <c r="A27" s="29">
        <f>IF('Tableaux amortissement proj (2'!A18&gt;0,IF(_tauxactuariel1t,(('Tableaux amortissement proj (2'!A18+1)^(1/_nbechan1t))-1,'Tableaux amortissement proj (2'!A18/_nbechan1t),A26)</f>
        <v>1.5499999999999999E-3</v>
      </c>
      <c r="B27" s="28">
        <f>IF('Tableaux amortissement proj (2'!D18&gt;0,'Tableaux amortissement proj (2'!D18,IF('Tableaux amortissement proj (2'!C18&gt;0,IF(AND(_echfixe1t,A27&gt;0),ROUND(('Tableaux amortissement proj (2'!K18-'Tableaux amortissement proj (2'!B18)*A27/(1-((1+A27)^-'Tableaux amortissement proj (2'!C18)),_nbdeci1t),ROUND('Tableaux amortissement proj (2'!K18/'Tableaux amortissement proj (2'!C18,_nbdeci1t)),B26))</f>
        <v>606.91999999999996</v>
      </c>
      <c r="C27" s="10"/>
      <c r="D27" s="10"/>
      <c r="E27" s="10"/>
      <c r="F27" s="10"/>
      <c r="H27" s="29">
        <f>IF('Tableaux amortissement proj (2'!Q18&gt;0,IF(_tauxactuariel1t1,(('Tableaux amortissement proj (2'!Q18+1)^(1/_nebchan1t))-1,'Tableaux amortissement proj (2'!Q18/_nebchan1t),H26)</f>
        <v>8.3333333333333339E-4</v>
      </c>
      <c r="I27" s="28">
        <f>IF('Tableaux amortissement proj (2'!T18&gt;0,'Tableaux amortissement proj (2'!T18,IF('Tableaux amortissement proj (2'!S18&gt;0,IF(AND(_echfixe12,H27&gt;0),ROUND(('Tableaux amortissement proj (2'!AA18-'Tableaux amortissement proj (2'!R18)*H27/(1-((1+H27)^-'Tableaux amortissement proj (2'!S18)),_nbdeci1t1),ROUND('Tableaux amortissement proj (2'!AA18/'Tableaux amortissement proj (2'!S18,_nbdeci1t1)),I26))</f>
        <v>240200</v>
      </c>
      <c r="J27" s="10"/>
      <c r="K27" s="10"/>
      <c r="L27" s="10"/>
      <c r="M27" s="10"/>
      <c r="O27" s="186">
        <v>25</v>
      </c>
    </row>
    <row r="28" spans="1:16" x14ac:dyDescent="0.2">
      <c r="A28" s="29">
        <f>IF('Tableaux amortissement proj (2'!A19&gt;0,IF(_tauxactuariel1t,(('Tableaux amortissement proj (2'!A19+1)^(1/_nbechan1t))-1,'Tableaux amortissement proj (2'!A19/_nbechan1t),A27)</f>
        <v>1.5499999999999999E-3</v>
      </c>
      <c r="B28" s="28">
        <f>IF('Tableaux amortissement proj (2'!D19&gt;0,'Tableaux amortissement proj (2'!D19,IF('Tableaux amortissement proj (2'!C19&gt;0,IF(AND(_echfixe1t,A28&gt;0),ROUND(('Tableaux amortissement proj (2'!K19-'Tableaux amortissement proj (2'!B19)*A28/(1-((1+A28)^-'Tableaux amortissement proj (2'!C19)),_nbdeci1t),ROUND('Tableaux amortissement proj (2'!K19/'Tableaux amortissement proj (2'!C19,_nbdeci1t)),B27))</f>
        <v>606.91999999999996</v>
      </c>
      <c r="C28" s="10"/>
      <c r="D28" s="10"/>
      <c r="E28" s="10"/>
      <c r="F28" s="10"/>
      <c r="H28" s="29">
        <f>IF('Tableaux amortissement proj (2'!Q19&gt;0,IF(_tauxactuariel1t1,(('Tableaux amortissement proj (2'!Q19+1)^(1/_nebchan1t))-1,'Tableaux amortissement proj (2'!Q19/_nebchan1t),H27)</f>
        <v>8.3333333333333339E-4</v>
      </c>
      <c r="I28" s="28">
        <f>IF('Tableaux amortissement proj (2'!T19&gt;0,'Tableaux amortissement proj (2'!T19,IF('Tableaux amortissement proj (2'!S19&gt;0,IF(AND(_echfixe12,H28&gt;0),ROUND(('Tableaux amortissement proj (2'!AA19-'Tableaux amortissement proj (2'!R19)*H28/(1-((1+H28)^-'Tableaux amortissement proj (2'!S19)),_nbdeci1t1),ROUND('Tableaux amortissement proj (2'!AA19/'Tableaux amortissement proj (2'!S19,_nbdeci1t1)),I27))</f>
        <v>240200</v>
      </c>
      <c r="J28" s="10"/>
      <c r="K28" s="10"/>
      <c r="L28" s="10"/>
      <c r="M28" s="10"/>
      <c r="O28" s="186">
        <v>26</v>
      </c>
    </row>
    <row r="29" spans="1:16" x14ac:dyDescent="0.2">
      <c r="A29" s="29">
        <f>IF('Tableaux amortissement proj (2'!A20&gt;0,IF(_tauxactuariel1t,(('Tableaux amortissement proj (2'!A20+1)^(1/_nbechan1t))-1,'Tableaux amortissement proj (2'!A20/_nbechan1t),A28)</f>
        <v>1.5499999999999999E-3</v>
      </c>
      <c r="B29" s="28">
        <f>IF('Tableaux amortissement proj (2'!D20&gt;0,'Tableaux amortissement proj (2'!D20,IF('Tableaux amortissement proj (2'!C20&gt;0,IF(AND(_echfixe1t,A29&gt;0),ROUND(('Tableaux amortissement proj (2'!K20-'Tableaux amortissement proj (2'!B20)*A29/(1-((1+A29)^-'Tableaux amortissement proj (2'!C20)),_nbdeci1t),ROUND('Tableaux amortissement proj (2'!K20/'Tableaux amortissement proj (2'!C20,_nbdeci1t)),B28))</f>
        <v>606.91999999999996</v>
      </c>
      <c r="C29" s="10"/>
      <c r="D29" s="10"/>
      <c r="E29" s="10"/>
      <c r="F29" s="10"/>
      <c r="H29" s="29">
        <f>IF('Tableaux amortissement proj (2'!Q20&gt;0,IF(_tauxactuariel1t1,(('Tableaux amortissement proj (2'!Q20+1)^(1/_nebchan1t))-1,'Tableaux amortissement proj (2'!Q20/_nebchan1t),H28)</f>
        <v>8.3333333333333339E-4</v>
      </c>
      <c r="I29" s="28">
        <f>IF('Tableaux amortissement proj (2'!T20&gt;0,'Tableaux amortissement proj (2'!T20,IF('Tableaux amortissement proj (2'!S20&gt;0,IF(AND(_echfixe12,H29&gt;0),ROUND(('Tableaux amortissement proj (2'!AA20-'Tableaux amortissement proj (2'!R20)*H29/(1-((1+H29)^-'Tableaux amortissement proj (2'!S20)),_nbdeci1t1),ROUND('Tableaux amortissement proj (2'!AA20/'Tableaux amortissement proj (2'!S20,_nbdeci1t1)),I28))</f>
        <v>240200</v>
      </c>
      <c r="J29" s="10"/>
      <c r="K29" s="10"/>
      <c r="L29" s="10"/>
      <c r="M29" s="10"/>
      <c r="O29" s="186">
        <v>27</v>
      </c>
    </row>
    <row r="30" spans="1:16" x14ac:dyDescent="0.2">
      <c r="A30" s="29">
        <f>IF('Tableaux amortissement proj (2'!A21&gt;0,IF(_tauxactuariel1t,(('Tableaux amortissement proj (2'!A21+1)^(1/_nbechan1t))-1,'Tableaux amortissement proj (2'!A21/_nbechan1t),A29)</f>
        <v>1.5499999999999999E-3</v>
      </c>
      <c r="B30" s="28">
        <f>IF('Tableaux amortissement proj (2'!D21&gt;0,'Tableaux amortissement proj (2'!D21,IF('Tableaux amortissement proj (2'!C21&gt;0,IF(AND(_echfixe1t,A30&gt;0),ROUND(('Tableaux amortissement proj (2'!K21-'Tableaux amortissement proj (2'!B21)*A30/(1-((1+A30)^-'Tableaux amortissement proj (2'!C21)),_nbdeci1t),ROUND('Tableaux amortissement proj (2'!K21/'Tableaux amortissement proj (2'!C21,_nbdeci1t)),B29))</f>
        <v>606.91999999999996</v>
      </c>
      <c r="C30" s="10"/>
      <c r="D30" s="10"/>
      <c r="E30" s="10"/>
      <c r="F30" s="10"/>
      <c r="H30" s="29">
        <f>IF('Tableaux amortissement proj (2'!Q21&gt;0,IF(_tauxactuariel1t1,(('Tableaux amortissement proj (2'!Q21+1)^(1/_nebchan1t))-1,'Tableaux amortissement proj (2'!Q21/_nebchan1t),H29)</f>
        <v>8.3333333333333339E-4</v>
      </c>
      <c r="I30" s="28">
        <f>IF('Tableaux amortissement proj (2'!T21&gt;0,'Tableaux amortissement proj (2'!T21,IF('Tableaux amortissement proj (2'!S21&gt;0,IF(AND(_echfixe12,H30&gt;0),ROUND(('Tableaux amortissement proj (2'!AA21-'Tableaux amortissement proj (2'!R21)*H30/(1-((1+H30)^-'Tableaux amortissement proj (2'!S21)),_nbdeci1t1),ROUND('Tableaux amortissement proj (2'!AA21/'Tableaux amortissement proj (2'!S21,_nbdeci1t1)),I29))</f>
        <v>240200</v>
      </c>
      <c r="J30" s="10"/>
      <c r="K30" s="10"/>
      <c r="L30" s="10"/>
      <c r="M30" s="10"/>
      <c r="O30" s="186">
        <v>28</v>
      </c>
    </row>
    <row r="31" spans="1:16" x14ac:dyDescent="0.2">
      <c r="A31" s="29">
        <f>IF('Tableaux amortissement proj (2'!A22&gt;0,IF(_tauxactuariel1t,(('Tableaux amortissement proj (2'!A22+1)^(1/_nbechan1t))-1,'Tableaux amortissement proj (2'!A22/_nbechan1t),A30)</f>
        <v>1.5499999999999999E-3</v>
      </c>
      <c r="B31" s="28">
        <f>IF('Tableaux amortissement proj (2'!D22&gt;0,'Tableaux amortissement proj (2'!D22,IF('Tableaux amortissement proj (2'!C22&gt;0,IF(AND(_echfixe1t,A31&gt;0),ROUND(('Tableaux amortissement proj (2'!K22-'Tableaux amortissement proj (2'!B22)*A31/(1-((1+A31)^-'Tableaux amortissement proj (2'!C22)),_nbdeci1t),ROUND('Tableaux amortissement proj (2'!K22/'Tableaux amortissement proj (2'!C22,_nbdeci1t)),B30))</f>
        <v>606.91999999999996</v>
      </c>
      <c r="C31" s="10"/>
      <c r="D31" s="10"/>
      <c r="E31" s="10"/>
      <c r="F31" s="10"/>
      <c r="H31" s="29">
        <f>IF('Tableaux amortissement proj (2'!Q22&gt;0,IF(_tauxactuariel1t1,(('Tableaux amortissement proj (2'!Q22+1)^(1/_nebchan1t))-1,'Tableaux amortissement proj (2'!Q22/_nebchan1t),H30)</f>
        <v>8.3333333333333339E-4</v>
      </c>
      <c r="I31" s="28">
        <f>IF('Tableaux amortissement proj (2'!T22&gt;0,'Tableaux amortissement proj (2'!T22,IF('Tableaux amortissement proj (2'!S22&gt;0,IF(AND(_echfixe12,H31&gt;0),ROUND(('Tableaux amortissement proj (2'!AA22-'Tableaux amortissement proj (2'!R22)*H31/(1-((1+H31)^-'Tableaux amortissement proj (2'!S22)),_nbdeci1t1),ROUND('Tableaux amortissement proj (2'!AA22/'Tableaux amortissement proj (2'!S22,_nbdeci1t1)),I30))</f>
        <v>240200</v>
      </c>
      <c r="J31" s="10"/>
      <c r="K31" s="10"/>
      <c r="L31" s="10"/>
      <c r="M31" s="10"/>
      <c r="O31" s="186">
        <v>29</v>
      </c>
    </row>
    <row r="32" spans="1:16" x14ac:dyDescent="0.2">
      <c r="A32" s="29">
        <f>IF('Tableaux amortissement proj (2'!A23&gt;0,IF(_tauxactuariel1t,(('Tableaux amortissement proj (2'!A23+1)^(1/_nbechan1t))-1,'Tableaux amortissement proj (2'!A23/_nbechan1t),A31)</f>
        <v>1.5499999999999999E-3</v>
      </c>
      <c r="B32" s="28">
        <f>IF('Tableaux amortissement proj (2'!D23&gt;0,'Tableaux amortissement proj (2'!D23,IF('Tableaux amortissement proj (2'!C23&gt;0,IF(AND(_echfixe1t,A32&gt;0),ROUND(('Tableaux amortissement proj (2'!K23-'Tableaux amortissement proj (2'!B23)*A32/(1-((1+A32)^-'Tableaux amortissement proj (2'!C23)),_nbdeci1t),ROUND('Tableaux amortissement proj (2'!K23/'Tableaux amortissement proj (2'!C23,_nbdeci1t)),B31))</f>
        <v>606.91999999999996</v>
      </c>
      <c r="C32" s="10"/>
      <c r="D32" s="10"/>
      <c r="E32" s="10"/>
      <c r="F32" s="10"/>
      <c r="H32" s="29">
        <f>IF('Tableaux amortissement proj (2'!Q23&gt;0,IF(_tauxactuariel1t1,(('Tableaux amortissement proj (2'!Q23+1)^(1/_nebchan1t))-1,'Tableaux amortissement proj (2'!Q23/_nebchan1t),H31)</f>
        <v>8.3333333333333339E-4</v>
      </c>
      <c r="I32" s="28">
        <f>IF('Tableaux amortissement proj (2'!T23&gt;0,'Tableaux amortissement proj (2'!T23,IF('Tableaux amortissement proj (2'!S23&gt;0,IF(AND(_echfixe12,H32&gt;0),ROUND(('Tableaux amortissement proj (2'!AA23-'Tableaux amortissement proj (2'!R23)*H32/(1-((1+H32)^-'Tableaux amortissement proj (2'!S23)),_nbdeci1t1),ROUND('Tableaux amortissement proj (2'!AA23/'Tableaux amortissement proj (2'!S23,_nbdeci1t1)),I31))</f>
        <v>240200</v>
      </c>
      <c r="J32" s="10"/>
      <c r="K32" s="10"/>
      <c r="L32" s="10"/>
      <c r="M32" s="10"/>
      <c r="O32" s="186">
        <v>30</v>
      </c>
    </row>
    <row r="33" spans="1:15" x14ac:dyDescent="0.2">
      <c r="A33" s="29">
        <f>IF('Tableaux amortissement proj (2'!A24&gt;0,IF(_tauxactuariel1t,(('Tableaux amortissement proj (2'!A24+1)^(1/_nbechan1t))-1,'Tableaux amortissement proj (2'!A24/_nbechan1t),A32)</f>
        <v>1.5499999999999999E-3</v>
      </c>
      <c r="B33" s="28">
        <f>IF('Tableaux amortissement proj (2'!D24&gt;0,'Tableaux amortissement proj (2'!D24,IF('Tableaux amortissement proj (2'!C24&gt;0,IF(AND(_echfixe1t,A33&gt;0),ROUND(('Tableaux amortissement proj (2'!K24-'Tableaux amortissement proj (2'!B24)*A33/(1-((1+A33)^-'Tableaux amortissement proj (2'!C24)),_nbdeci1t),ROUND('Tableaux amortissement proj (2'!K24/'Tableaux amortissement proj (2'!C24,_nbdeci1t)),B32))</f>
        <v>606.91999999999996</v>
      </c>
      <c r="C33" s="10"/>
      <c r="D33" s="10"/>
      <c r="E33" s="10"/>
      <c r="F33" s="10"/>
      <c r="H33" s="29">
        <f>IF('Tableaux amortissement proj (2'!Q24&gt;0,IF(_tauxactuariel1t1,(('Tableaux amortissement proj (2'!Q24+1)^(1/_nebchan1t))-1,'Tableaux amortissement proj (2'!Q24/_nebchan1t),H32)</f>
        <v>8.3333333333333339E-4</v>
      </c>
      <c r="I33" s="28">
        <f>IF('Tableaux amortissement proj (2'!T24&gt;0,'Tableaux amortissement proj (2'!T24,IF('Tableaux amortissement proj (2'!S24&gt;0,IF(AND(_echfixe12,H33&gt;0),ROUND(('Tableaux amortissement proj (2'!AA24-'Tableaux amortissement proj (2'!R24)*H33/(1-((1+H33)^-'Tableaux amortissement proj (2'!S24)),_nbdeci1t1),ROUND('Tableaux amortissement proj (2'!AA24/'Tableaux amortissement proj (2'!S24,_nbdeci1t1)),I32))</f>
        <v>240200</v>
      </c>
      <c r="J33" s="10"/>
      <c r="K33" s="10"/>
      <c r="L33" s="10"/>
      <c r="M33" s="10"/>
      <c r="O33" s="186">
        <v>31</v>
      </c>
    </row>
    <row r="34" spans="1:15" x14ac:dyDescent="0.2">
      <c r="A34" s="29">
        <f>IF('Tableaux amortissement proj (2'!A25&gt;0,IF(_tauxactuariel1t,(('Tableaux amortissement proj (2'!A25+1)^(1/_nbechan1t))-1,'Tableaux amortissement proj (2'!A25/_nbechan1t),A33)</f>
        <v>1.5499999999999999E-3</v>
      </c>
      <c r="B34" s="28">
        <f>IF('Tableaux amortissement proj (2'!D25&gt;0,'Tableaux amortissement proj (2'!D25,IF('Tableaux amortissement proj (2'!C25&gt;0,IF(AND(_echfixe1t,A34&gt;0),ROUND(('Tableaux amortissement proj (2'!K25-'Tableaux amortissement proj (2'!B25)*A34/(1-((1+A34)^-'Tableaux amortissement proj (2'!C25)),_nbdeci1t),ROUND('Tableaux amortissement proj (2'!K25/'Tableaux amortissement proj (2'!C25,_nbdeci1t)),B33))</f>
        <v>606.91999999999996</v>
      </c>
      <c r="C34" s="10"/>
      <c r="D34" s="10"/>
      <c r="E34" s="10"/>
      <c r="F34" s="10"/>
      <c r="H34" s="29">
        <f>IF('Tableaux amortissement proj (2'!Q25&gt;0,IF(_tauxactuariel1t1,(('Tableaux amortissement proj (2'!Q25+1)^(1/_nebchan1t))-1,'Tableaux amortissement proj (2'!Q25/_nebchan1t),H33)</f>
        <v>8.3333333333333339E-4</v>
      </c>
      <c r="I34" s="28">
        <f>IF('Tableaux amortissement proj (2'!T25&gt;0,'Tableaux amortissement proj (2'!T25,IF('Tableaux amortissement proj (2'!S25&gt;0,IF(AND(_echfixe12,H34&gt;0),ROUND(('Tableaux amortissement proj (2'!AA25-'Tableaux amortissement proj (2'!R25)*H34/(1-((1+H34)^-'Tableaux amortissement proj (2'!S25)),_nbdeci1t1),ROUND('Tableaux amortissement proj (2'!AA25/'Tableaux amortissement proj (2'!S25,_nbdeci1t1)),I33))</f>
        <v>240200</v>
      </c>
      <c r="J34" s="10"/>
      <c r="K34" s="10"/>
      <c r="L34" s="10"/>
      <c r="M34" s="10"/>
      <c r="O34" s="186">
        <v>32</v>
      </c>
    </row>
    <row r="35" spans="1:15" x14ac:dyDescent="0.2">
      <c r="A35" s="29">
        <f>IF('Tableaux amortissement proj (2'!A26&gt;0,IF(_tauxactuariel1t,(('Tableaux amortissement proj (2'!A26+1)^(1/_nbechan1t))-1,'Tableaux amortissement proj (2'!A26/_nbechan1t),A34)</f>
        <v>1.5499999999999999E-3</v>
      </c>
      <c r="B35" s="28">
        <f>IF('Tableaux amortissement proj (2'!D26&gt;0,'Tableaux amortissement proj (2'!D26,IF('Tableaux amortissement proj (2'!C26&gt;0,IF(AND(_echfixe1t,A35&gt;0),ROUND(('Tableaux amortissement proj (2'!K26-'Tableaux amortissement proj (2'!B26)*A35/(1-((1+A35)^-'Tableaux amortissement proj (2'!C26)),_nbdeci1t),ROUND('Tableaux amortissement proj (2'!K26/'Tableaux amortissement proj (2'!C26,_nbdeci1t)),B34))</f>
        <v>606.91999999999996</v>
      </c>
      <c r="C35" s="10"/>
      <c r="D35" s="10"/>
      <c r="E35" s="10"/>
      <c r="F35" s="10"/>
      <c r="H35" s="29">
        <f>IF('Tableaux amortissement proj (2'!Q26&gt;0,IF(_tauxactuariel1t1,(('Tableaux amortissement proj (2'!Q26+1)^(1/_nebchan1t))-1,'Tableaux amortissement proj (2'!Q26/_nebchan1t),H34)</f>
        <v>8.3333333333333339E-4</v>
      </c>
      <c r="I35" s="28">
        <f>IF('Tableaux amortissement proj (2'!T26&gt;0,'Tableaux amortissement proj (2'!T26,IF('Tableaux amortissement proj (2'!S26&gt;0,IF(AND(_echfixe12,H35&gt;0),ROUND(('Tableaux amortissement proj (2'!AA26-'Tableaux amortissement proj (2'!R26)*H35/(1-((1+H35)^-'Tableaux amortissement proj (2'!S26)),_nbdeci1t1),ROUND('Tableaux amortissement proj (2'!AA26/'Tableaux amortissement proj (2'!S26,_nbdeci1t1)),I34))</f>
        <v>240200</v>
      </c>
      <c r="J35" s="10"/>
      <c r="K35" s="10"/>
      <c r="L35" s="10"/>
      <c r="M35" s="10"/>
      <c r="O35" s="186">
        <v>33</v>
      </c>
    </row>
    <row r="36" spans="1:15" x14ac:dyDescent="0.2">
      <c r="A36" s="29">
        <f>IF('Tableaux amortissement proj (2'!A27&gt;0,IF(_tauxactuariel1t,(('Tableaux amortissement proj (2'!A27+1)^(1/_nbechan1t))-1,'Tableaux amortissement proj (2'!A27/_nbechan1t),A35)</f>
        <v>1.5499999999999999E-3</v>
      </c>
      <c r="B36" s="28">
        <f>IF('Tableaux amortissement proj (2'!D27&gt;0,'Tableaux amortissement proj (2'!D27,IF('Tableaux amortissement proj (2'!C27&gt;0,IF(AND(_echfixe1t,A36&gt;0),ROUND(('Tableaux amortissement proj (2'!K27-'Tableaux amortissement proj (2'!B27)*A36/(1-((1+A36)^-'Tableaux amortissement proj (2'!C27)),_nbdeci1t),ROUND('Tableaux amortissement proj (2'!K27/'Tableaux amortissement proj (2'!C27,_nbdeci1t)),B35))</f>
        <v>606.91999999999996</v>
      </c>
      <c r="C36" s="10"/>
      <c r="D36" s="10"/>
      <c r="E36" s="10"/>
      <c r="F36" s="10"/>
      <c r="H36" s="29">
        <f>IF('Tableaux amortissement proj (2'!Q27&gt;0,IF(_tauxactuariel1t1,(('Tableaux amortissement proj (2'!Q27+1)^(1/_nebchan1t))-1,'Tableaux amortissement proj (2'!Q27/_nebchan1t),H35)</f>
        <v>8.3333333333333339E-4</v>
      </c>
      <c r="I36" s="28">
        <f>IF('Tableaux amortissement proj (2'!T27&gt;0,'Tableaux amortissement proj (2'!T27,IF('Tableaux amortissement proj (2'!S27&gt;0,IF(AND(_echfixe12,H36&gt;0),ROUND(('Tableaux amortissement proj (2'!AA27-'Tableaux amortissement proj (2'!R27)*H36/(1-((1+H36)^-'Tableaux amortissement proj (2'!S27)),_nbdeci1t1),ROUND('Tableaux amortissement proj (2'!AA27/'Tableaux amortissement proj (2'!S27,_nbdeci1t1)),I35))</f>
        <v>240200</v>
      </c>
      <c r="J36" s="10"/>
      <c r="K36" s="10"/>
      <c r="L36" s="10"/>
      <c r="M36" s="10"/>
      <c r="O36" s="186">
        <v>34</v>
      </c>
    </row>
    <row r="37" spans="1:15" x14ac:dyDescent="0.2">
      <c r="A37" s="29">
        <f>IF('Tableaux amortissement proj (2'!A28&gt;0,IF(_tauxactuariel1t,(('Tableaux amortissement proj (2'!A28+1)^(1/_nbechan1t))-1,'Tableaux amortissement proj (2'!A28/_nbechan1t),A36)</f>
        <v>1.5499999999999999E-3</v>
      </c>
      <c r="B37" s="28">
        <f>IF('Tableaux amortissement proj (2'!D28&gt;0,'Tableaux amortissement proj (2'!D28,IF('Tableaux amortissement proj (2'!C28&gt;0,IF(AND(_echfixe1t,A37&gt;0),ROUND(('Tableaux amortissement proj (2'!K28-'Tableaux amortissement proj (2'!B28)*A37/(1-((1+A37)^-'Tableaux amortissement proj (2'!C28)),_nbdeci1t),ROUND('Tableaux amortissement proj (2'!K28/'Tableaux amortissement proj (2'!C28,_nbdeci1t)),B36))</f>
        <v>606.91999999999996</v>
      </c>
      <c r="C37" s="10"/>
      <c r="D37" s="10"/>
      <c r="E37" s="10"/>
      <c r="F37" s="10"/>
      <c r="H37" s="29">
        <f>IF('Tableaux amortissement proj (2'!Q28&gt;0,IF(_tauxactuariel1t1,(('Tableaux amortissement proj (2'!Q28+1)^(1/_nebchan1t))-1,'Tableaux amortissement proj (2'!Q28/_nebchan1t),H36)</f>
        <v>8.3333333333333339E-4</v>
      </c>
      <c r="I37" s="28">
        <f>IF('Tableaux amortissement proj (2'!T28&gt;0,'Tableaux amortissement proj (2'!T28,IF('Tableaux amortissement proj (2'!S28&gt;0,IF(AND(_echfixe12,H37&gt;0),ROUND(('Tableaux amortissement proj (2'!AA28-'Tableaux amortissement proj (2'!R28)*H37/(1-((1+H37)^-'Tableaux amortissement proj (2'!S28)),_nbdeci1t1),ROUND('Tableaux amortissement proj (2'!AA28/'Tableaux amortissement proj (2'!S28,_nbdeci1t1)),I36))</f>
        <v>240200</v>
      </c>
      <c r="J37" s="10"/>
      <c r="K37" s="10"/>
      <c r="L37" s="10"/>
      <c r="M37" s="10"/>
      <c r="O37" s="186">
        <v>35</v>
      </c>
    </row>
    <row r="38" spans="1:15" x14ac:dyDescent="0.2">
      <c r="A38" s="29">
        <f>IF('Tableaux amortissement proj (2'!A29&gt;0,IF(_tauxactuariel1t,(('Tableaux amortissement proj (2'!A29+1)^(1/_nbechan1t))-1,'Tableaux amortissement proj (2'!A29/_nbechan1t),A37)</f>
        <v>1.5499999999999999E-3</v>
      </c>
      <c r="B38" s="28">
        <f>IF('Tableaux amortissement proj (2'!D29&gt;0,'Tableaux amortissement proj (2'!D29,IF('Tableaux amortissement proj (2'!C29&gt;0,IF(AND(_echfixe1t,A38&gt;0),ROUND(('Tableaux amortissement proj (2'!K29-'Tableaux amortissement proj (2'!B29)*A38/(1-((1+A38)^-'Tableaux amortissement proj (2'!C29)),_nbdeci1t),ROUND('Tableaux amortissement proj (2'!K29/'Tableaux amortissement proj (2'!C29,_nbdeci1t)),B37))</f>
        <v>606.91999999999996</v>
      </c>
      <c r="C38" s="10"/>
      <c r="D38" s="10"/>
      <c r="E38" s="10"/>
      <c r="F38" s="10"/>
      <c r="H38" s="29">
        <f>IF('Tableaux amortissement proj (2'!Q29&gt;0,IF(_tauxactuariel1t1,(('Tableaux amortissement proj (2'!Q29+1)^(1/_nebchan1t))-1,'Tableaux amortissement proj (2'!Q29/_nebchan1t),H37)</f>
        <v>8.3333333333333339E-4</v>
      </c>
      <c r="I38" s="28">
        <f>IF('Tableaux amortissement proj (2'!T29&gt;0,'Tableaux amortissement proj (2'!T29,IF('Tableaux amortissement proj (2'!S29&gt;0,IF(AND(_echfixe12,H38&gt;0),ROUND(('Tableaux amortissement proj (2'!AA29-'Tableaux amortissement proj (2'!R29)*H38/(1-((1+H38)^-'Tableaux amortissement proj (2'!S29)),_nbdeci1t1),ROUND('Tableaux amortissement proj (2'!AA29/'Tableaux amortissement proj (2'!S29,_nbdeci1t1)),I37))</f>
        <v>240200</v>
      </c>
      <c r="J38" s="10"/>
      <c r="K38" s="10"/>
      <c r="L38" s="10"/>
      <c r="M38" s="10"/>
      <c r="O38" s="186">
        <v>36</v>
      </c>
    </row>
    <row r="39" spans="1:15" x14ac:dyDescent="0.2">
      <c r="A39" s="29">
        <f>IF('Tableaux amortissement proj (2'!A30&gt;0,IF(_tauxactuariel1t,(('Tableaux amortissement proj (2'!A30+1)^(1/_nbechan1t))-1,'Tableaux amortissement proj (2'!A30/_nbechan1t),A38)</f>
        <v>1.5499999999999999E-3</v>
      </c>
      <c r="B39" s="28">
        <f>IF('Tableaux amortissement proj (2'!D30&gt;0,'Tableaux amortissement proj (2'!D30,IF('Tableaux amortissement proj (2'!C30&gt;0,IF(AND(_echfixe1t,A39&gt;0),ROUND(('Tableaux amortissement proj (2'!K30-'Tableaux amortissement proj (2'!B30)*A39/(1-((1+A39)^-'Tableaux amortissement proj (2'!C30)),_nbdeci1t),ROUND('Tableaux amortissement proj (2'!K30/'Tableaux amortissement proj (2'!C30,_nbdeci1t)),B38))</f>
        <v>606.91999999999996</v>
      </c>
      <c r="C39" s="10"/>
      <c r="D39" s="10"/>
      <c r="E39" s="10"/>
      <c r="F39" s="10"/>
      <c r="H39" s="29">
        <f>IF('Tableaux amortissement proj (2'!Q30&gt;0,IF(_tauxactuariel1t1,(('Tableaux amortissement proj (2'!Q30+1)^(1/_nebchan1t))-1,'Tableaux amortissement proj (2'!Q30/_nebchan1t),H38)</f>
        <v>8.3333333333333339E-4</v>
      </c>
      <c r="I39" s="28">
        <f>IF('Tableaux amortissement proj (2'!T30&gt;0,'Tableaux amortissement proj (2'!T30,IF('Tableaux amortissement proj (2'!S30&gt;0,IF(AND(_echfixe12,H39&gt;0),ROUND(('Tableaux amortissement proj (2'!AA30-'Tableaux amortissement proj (2'!R30)*H39/(1-((1+H39)^-'Tableaux amortissement proj (2'!S30)),_nbdeci1t1),ROUND('Tableaux amortissement proj (2'!AA30/'Tableaux amortissement proj (2'!S30,_nbdeci1t1)),I38))</f>
        <v>240200</v>
      </c>
      <c r="J39" s="10"/>
      <c r="K39" s="10"/>
      <c r="L39" s="10"/>
      <c r="M39" s="10"/>
      <c r="O39" s="186">
        <v>37</v>
      </c>
    </row>
    <row r="40" spans="1:15" x14ac:dyDescent="0.2">
      <c r="A40" s="29">
        <f>IF('Tableaux amortissement proj (2'!A31&gt;0,IF(_tauxactuariel1t,(('Tableaux amortissement proj (2'!A31+1)^(1/_nbechan1t))-1,'Tableaux amortissement proj (2'!A31/_nbechan1t),A39)</f>
        <v>1.5499999999999999E-3</v>
      </c>
      <c r="B40" s="28">
        <f>IF('Tableaux amortissement proj (2'!D31&gt;0,'Tableaux amortissement proj (2'!D31,IF('Tableaux amortissement proj (2'!C31&gt;0,IF(AND(_echfixe1t,A40&gt;0),ROUND(('Tableaux amortissement proj (2'!K31-'Tableaux amortissement proj (2'!B31)*A40/(1-((1+A40)^-'Tableaux amortissement proj (2'!C31)),_nbdeci1t),ROUND('Tableaux amortissement proj (2'!K31/'Tableaux amortissement proj (2'!C31,_nbdeci1t)),B39))</f>
        <v>606.91999999999996</v>
      </c>
      <c r="C40" s="10"/>
      <c r="D40" s="10"/>
      <c r="E40" s="10"/>
      <c r="F40" s="10"/>
      <c r="H40" s="29">
        <f>IF('Tableaux amortissement proj (2'!Q31&gt;0,IF(_tauxactuariel1t1,(('Tableaux amortissement proj (2'!Q31+1)^(1/_nebchan1t))-1,'Tableaux amortissement proj (2'!Q31/_nebchan1t),H39)</f>
        <v>8.3333333333333339E-4</v>
      </c>
      <c r="I40" s="28">
        <f>IF('Tableaux amortissement proj (2'!T31&gt;0,'Tableaux amortissement proj (2'!T31,IF('Tableaux amortissement proj (2'!S31&gt;0,IF(AND(_echfixe12,H40&gt;0),ROUND(('Tableaux amortissement proj (2'!AA31-'Tableaux amortissement proj (2'!R31)*H40/(1-((1+H40)^-'Tableaux amortissement proj (2'!S31)),_nbdeci1t1),ROUND('Tableaux amortissement proj (2'!AA31/'Tableaux amortissement proj (2'!S31,_nbdeci1t1)),I39))</f>
        <v>240200</v>
      </c>
      <c r="J40" s="10"/>
      <c r="K40" s="10"/>
      <c r="L40" s="10"/>
      <c r="M40" s="10"/>
      <c r="O40" s="186">
        <v>38</v>
      </c>
    </row>
    <row r="41" spans="1:15" x14ac:dyDescent="0.2">
      <c r="A41" s="29">
        <f>IF('Tableaux amortissement proj (2'!A32&gt;0,IF(_tauxactuariel1t,(('Tableaux amortissement proj (2'!A32+1)^(1/_nbechan1t))-1,'Tableaux amortissement proj (2'!A32/_nbechan1t),A40)</f>
        <v>1.5499999999999999E-3</v>
      </c>
      <c r="B41" s="28">
        <f>IF('Tableaux amortissement proj (2'!D32&gt;0,'Tableaux amortissement proj (2'!D32,IF('Tableaux amortissement proj (2'!C32&gt;0,IF(AND(_echfixe1t,A41&gt;0),ROUND(('Tableaux amortissement proj (2'!K32-'Tableaux amortissement proj (2'!B32)*A41/(1-((1+A41)^-'Tableaux amortissement proj (2'!C32)),_nbdeci1t),ROUND('Tableaux amortissement proj (2'!K32/'Tableaux amortissement proj (2'!C32,_nbdeci1t)),B40))</f>
        <v>606.91999999999996</v>
      </c>
      <c r="C41" s="10"/>
      <c r="D41" s="10"/>
      <c r="E41" s="10"/>
      <c r="F41" s="10"/>
      <c r="H41" s="29">
        <f>IF('Tableaux amortissement proj (2'!Q32&gt;0,IF(_tauxactuariel1t1,(('Tableaux amortissement proj (2'!Q32+1)^(1/_nebchan1t))-1,'Tableaux amortissement proj (2'!Q32/_nebchan1t),H40)</f>
        <v>8.3333333333333339E-4</v>
      </c>
      <c r="I41" s="28">
        <f>IF('Tableaux amortissement proj (2'!T32&gt;0,'Tableaux amortissement proj (2'!T32,IF('Tableaux amortissement proj (2'!S32&gt;0,IF(AND(_echfixe12,H41&gt;0),ROUND(('Tableaux amortissement proj (2'!AA32-'Tableaux amortissement proj (2'!R32)*H41/(1-((1+H41)^-'Tableaux amortissement proj (2'!S32)),_nbdeci1t1),ROUND('Tableaux amortissement proj (2'!AA32/'Tableaux amortissement proj (2'!S32,_nbdeci1t1)),I40))</f>
        <v>240200</v>
      </c>
      <c r="J41" s="10"/>
      <c r="K41" s="10"/>
      <c r="L41" s="10"/>
      <c r="M41" s="10"/>
      <c r="O41" s="186">
        <v>39</v>
      </c>
    </row>
    <row r="42" spans="1:15" x14ac:dyDescent="0.2">
      <c r="A42" s="29">
        <f>IF('Tableaux amortissement proj (2'!A33&gt;0,IF(_tauxactuariel1t,(('Tableaux amortissement proj (2'!A33+1)^(1/_nbechan1t))-1,'Tableaux amortissement proj (2'!A33/_nbechan1t),A41)</f>
        <v>1.5499999999999999E-3</v>
      </c>
      <c r="B42" s="28">
        <f>IF('Tableaux amortissement proj (2'!D33&gt;0,'Tableaux amortissement proj (2'!D33,IF('Tableaux amortissement proj (2'!C33&gt;0,IF(AND(_echfixe1t,A42&gt;0),ROUND(('Tableaux amortissement proj (2'!K33-'Tableaux amortissement proj (2'!B33)*A42/(1-((1+A42)^-'Tableaux amortissement proj (2'!C33)),_nbdeci1t),ROUND('Tableaux amortissement proj (2'!K33/'Tableaux amortissement proj (2'!C33,_nbdeci1t)),B41))</f>
        <v>606.91999999999996</v>
      </c>
      <c r="C42" s="10"/>
      <c r="D42" s="10"/>
      <c r="E42" s="10"/>
      <c r="F42" s="10"/>
      <c r="H42" s="29">
        <f>IF('Tableaux amortissement proj (2'!Q33&gt;0,IF(_tauxactuariel1t1,(('Tableaux amortissement proj (2'!Q33+1)^(1/_nebchan1t))-1,'Tableaux amortissement proj (2'!Q33/_nebchan1t),H41)</f>
        <v>8.3333333333333339E-4</v>
      </c>
      <c r="I42" s="28">
        <f>IF('Tableaux amortissement proj (2'!T33&gt;0,'Tableaux amortissement proj (2'!T33,IF('Tableaux amortissement proj (2'!S33&gt;0,IF(AND(_echfixe12,H42&gt;0),ROUND(('Tableaux amortissement proj (2'!AA33-'Tableaux amortissement proj (2'!R33)*H42/(1-((1+H42)^-'Tableaux amortissement proj (2'!S33)),_nbdeci1t1),ROUND('Tableaux amortissement proj (2'!AA33/'Tableaux amortissement proj (2'!S33,_nbdeci1t1)),I41))</f>
        <v>240200</v>
      </c>
      <c r="J42" s="10"/>
      <c r="K42" s="10"/>
      <c r="L42" s="10"/>
      <c r="M42" s="10"/>
      <c r="O42" s="186">
        <v>40</v>
      </c>
    </row>
    <row r="43" spans="1:15" x14ac:dyDescent="0.2">
      <c r="A43" s="29">
        <f>IF('Tableaux amortissement proj (2'!A34&gt;0,IF(_tauxactuariel1t,(('Tableaux amortissement proj (2'!A34+1)^(1/_nbechan1t))-1,'Tableaux amortissement proj (2'!A34/_nbechan1t),A42)</f>
        <v>1.5499999999999999E-3</v>
      </c>
      <c r="B43" s="28">
        <f>IF('Tableaux amortissement proj (2'!D34&gt;0,'Tableaux amortissement proj (2'!D34,IF('Tableaux amortissement proj (2'!C34&gt;0,IF(AND(_echfixe1t,A43&gt;0),ROUND(('Tableaux amortissement proj (2'!K34-'Tableaux amortissement proj (2'!B34)*A43/(1-((1+A43)^-'Tableaux amortissement proj (2'!C34)),_nbdeci1t),ROUND('Tableaux amortissement proj (2'!K34/'Tableaux amortissement proj (2'!C34,_nbdeci1t)),B42))</f>
        <v>606.91999999999996</v>
      </c>
      <c r="C43" s="10"/>
      <c r="D43" s="10"/>
      <c r="E43" s="10"/>
      <c r="F43" s="10"/>
      <c r="H43" s="29">
        <f>IF('Tableaux amortissement proj (2'!Q34&gt;0,IF(_tauxactuariel1t1,(('Tableaux amortissement proj (2'!Q34+1)^(1/_nebchan1t))-1,'Tableaux amortissement proj (2'!Q34/_nebchan1t),H42)</f>
        <v>8.3333333333333339E-4</v>
      </c>
      <c r="I43" s="28">
        <f>IF('Tableaux amortissement proj (2'!T34&gt;0,'Tableaux amortissement proj (2'!T34,IF('Tableaux amortissement proj (2'!S34&gt;0,IF(AND(_echfixe12,H43&gt;0),ROUND(('Tableaux amortissement proj (2'!AA34-'Tableaux amortissement proj (2'!R34)*H43/(1-((1+H43)^-'Tableaux amortissement proj (2'!S34)),_nbdeci1t1),ROUND('Tableaux amortissement proj (2'!AA34/'Tableaux amortissement proj (2'!S34,_nbdeci1t1)),I42))</f>
        <v>240200</v>
      </c>
      <c r="J43" s="10"/>
      <c r="K43" s="10"/>
      <c r="L43" s="10"/>
      <c r="M43" s="10"/>
      <c r="O43" s="186">
        <v>41</v>
      </c>
    </row>
    <row r="44" spans="1:15" x14ac:dyDescent="0.2">
      <c r="A44" s="29">
        <f>IF('Tableaux amortissement proj (2'!A35&gt;0,IF(_tauxactuariel1t,(('Tableaux amortissement proj (2'!A35+1)^(1/_nbechan1t))-1,'Tableaux amortissement proj (2'!A35/_nbechan1t),A43)</f>
        <v>1.5499999999999999E-3</v>
      </c>
      <c r="B44" s="28">
        <f>IF('Tableaux amortissement proj (2'!D35&gt;0,'Tableaux amortissement proj (2'!D35,IF('Tableaux amortissement proj (2'!C35&gt;0,IF(AND(_echfixe1t,A44&gt;0),ROUND(('Tableaux amortissement proj (2'!K35-'Tableaux amortissement proj (2'!B35)*A44/(1-((1+A44)^-'Tableaux amortissement proj (2'!C35)),_nbdeci1t),ROUND('Tableaux amortissement proj (2'!K35/'Tableaux amortissement proj (2'!C35,_nbdeci1t)),B43))</f>
        <v>606.91999999999996</v>
      </c>
      <c r="C44" s="10"/>
      <c r="D44" s="10"/>
      <c r="E44" s="10"/>
      <c r="F44" s="10"/>
      <c r="H44" s="29">
        <f>IF('Tableaux amortissement proj (2'!Q35&gt;0,IF(_tauxactuariel1t1,(('Tableaux amortissement proj (2'!Q35+1)^(1/_nebchan1t))-1,'Tableaux amortissement proj (2'!Q35/_nebchan1t),H43)</f>
        <v>8.3333333333333339E-4</v>
      </c>
      <c r="I44" s="28">
        <f>IF('Tableaux amortissement proj (2'!T35&gt;0,'Tableaux amortissement proj (2'!T35,IF('Tableaux amortissement proj (2'!S35&gt;0,IF(AND(_echfixe12,H44&gt;0),ROUND(('Tableaux amortissement proj (2'!AA35-'Tableaux amortissement proj (2'!R35)*H44/(1-((1+H44)^-'Tableaux amortissement proj (2'!S35)),_nbdeci1t1),ROUND('Tableaux amortissement proj (2'!AA35/'Tableaux amortissement proj (2'!S35,_nbdeci1t1)),I43))</f>
        <v>240200</v>
      </c>
      <c r="J44" s="10"/>
      <c r="K44" s="10"/>
      <c r="L44" s="10"/>
      <c r="M44" s="10"/>
      <c r="O44" s="186">
        <v>42</v>
      </c>
    </row>
    <row r="45" spans="1:15" x14ac:dyDescent="0.2">
      <c r="A45" s="29">
        <f>IF('Tableaux amortissement proj (2'!A36&gt;0,IF(_tauxactuariel1t,(('Tableaux amortissement proj (2'!A36+1)^(1/_nbechan1t))-1,'Tableaux amortissement proj (2'!A36/_nbechan1t),A44)</f>
        <v>1.5499999999999999E-3</v>
      </c>
      <c r="B45" s="28">
        <f>IF('Tableaux amortissement proj (2'!D36&gt;0,'Tableaux amortissement proj (2'!D36,IF('Tableaux amortissement proj (2'!C36&gt;0,IF(AND(_echfixe1t,A45&gt;0),ROUND(('Tableaux amortissement proj (2'!K36-'Tableaux amortissement proj (2'!B36)*A45/(1-((1+A45)^-'Tableaux amortissement proj (2'!C36)),_nbdeci1t),ROUND('Tableaux amortissement proj (2'!K36/'Tableaux amortissement proj (2'!C36,_nbdeci1t)),B44))</f>
        <v>606.91999999999996</v>
      </c>
      <c r="C45" s="10"/>
      <c r="D45" s="10"/>
      <c r="E45" s="10"/>
      <c r="F45" s="10"/>
      <c r="H45" s="29">
        <f>IF('Tableaux amortissement proj (2'!Q36&gt;0,IF(_tauxactuariel1t1,(('Tableaux amortissement proj (2'!Q36+1)^(1/_nebchan1t))-1,'Tableaux amortissement proj (2'!Q36/_nebchan1t),H44)</f>
        <v>8.3333333333333339E-4</v>
      </c>
      <c r="I45" s="28">
        <f>IF('Tableaux amortissement proj (2'!T36&gt;0,'Tableaux amortissement proj (2'!T36,IF('Tableaux amortissement proj (2'!S36&gt;0,IF(AND(_echfixe12,H45&gt;0),ROUND(('Tableaux amortissement proj (2'!AA36-'Tableaux amortissement proj (2'!R36)*H45/(1-((1+H45)^-'Tableaux amortissement proj (2'!S36)),_nbdeci1t1),ROUND('Tableaux amortissement proj (2'!AA36/'Tableaux amortissement proj (2'!S36,_nbdeci1t1)),I44))</f>
        <v>240200</v>
      </c>
      <c r="J45" s="10"/>
      <c r="K45" s="10"/>
      <c r="L45" s="10"/>
      <c r="M45" s="10"/>
      <c r="O45" s="186">
        <v>43</v>
      </c>
    </row>
    <row r="46" spans="1:15" x14ac:dyDescent="0.2">
      <c r="A46" s="29">
        <f>IF('Tableaux amortissement proj (2'!A37&gt;0,IF(_tauxactuariel1t,(('Tableaux amortissement proj (2'!A37+1)^(1/_nbechan1t))-1,'Tableaux amortissement proj (2'!A37/_nbechan1t),A45)</f>
        <v>1.5499999999999999E-3</v>
      </c>
      <c r="B46" s="28">
        <f>IF('Tableaux amortissement proj (2'!D37&gt;0,'Tableaux amortissement proj (2'!D37,IF('Tableaux amortissement proj (2'!C37&gt;0,IF(AND(_echfixe1t,A46&gt;0),ROUND(('Tableaux amortissement proj (2'!K37-'Tableaux amortissement proj (2'!B37)*A46/(1-((1+A46)^-'Tableaux amortissement proj (2'!C37)),_nbdeci1t),ROUND('Tableaux amortissement proj (2'!K37/'Tableaux amortissement proj (2'!C37,_nbdeci1t)),B45))</f>
        <v>606.91999999999996</v>
      </c>
      <c r="C46" s="10"/>
      <c r="D46" s="10"/>
      <c r="E46" s="10"/>
      <c r="F46" s="10"/>
      <c r="H46" s="29">
        <f>IF('Tableaux amortissement proj (2'!Q37&gt;0,IF(_tauxactuariel1t1,(('Tableaux amortissement proj (2'!Q37+1)^(1/_nebchan1t))-1,'Tableaux amortissement proj (2'!Q37/_nebchan1t),H45)</f>
        <v>8.3333333333333339E-4</v>
      </c>
      <c r="I46" s="28">
        <f>IF('Tableaux amortissement proj (2'!T37&gt;0,'Tableaux amortissement proj (2'!T37,IF('Tableaux amortissement proj (2'!S37&gt;0,IF(AND(_echfixe12,H46&gt;0),ROUND(('Tableaux amortissement proj (2'!AA37-'Tableaux amortissement proj (2'!R37)*H46/(1-((1+H46)^-'Tableaux amortissement proj (2'!S37)),_nbdeci1t1),ROUND('Tableaux amortissement proj (2'!AA37/'Tableaux amortissement proj (2'!S37,_nbdeci1t1)),I45))</f>
        <v>240200</v>
      </c>
      <c r="J46" s="10"/>
      <c r="K46" s="10"/>
      <c r="L46" s="10"/>
      <c r="M46" s="10"/>
      <c r="O46" s="186">
        <v>44</v>
      </c>
    </row>
    <row r="47" spans="1:15" x14ac:dyDescent="0.2">
      <c r="A47" s="29">
        <f>IF('Tableaux amortissement proj (2'!A38&gt;0,IF(_tauxactuariel1t,(('Tableaux amortissement proj (2'!A38+1)^(1/_nbechan1t))-1,'Tableaux amortissement proj (2'!A38/_nbechan1t),A46)</f>
        <v>1.5499999999999999E-3</v>
      </c>
      <c r="B47" s="28">
        <f>IF('Tableaux amortissement proj (2'!D38&gt;0,'Tableaux amortissement proj (2'!D38,IF('Tableaux amortissement proj (2'!C38&gt;0,IF(AND(_echfixe1t,A47&gt;0),ROUND(('Tableaux amortissement proj (2'!K38-'Tableaux amortissement proj (2'!B38)*A47/(1-((1+A47)^-'Tableaux amortissement proj (2'!C38)),_nbdeci1t),ROUND('Tableaux amortissement proj (2'!K38/'Tableaux amortissement proj (2'!C38,_nbdeci1t)),B46))</f>
        <v>606.91999999999996</v>
      </c>
      <c r="C47" s="10"/>
      <c r="D47" s="10"/>
      <c r="E47" s="10"/>
      <c r="F47" s="10"/>
      <c r="H47" s="29">
        <f>IF('Tableaux amortissement proj (2'!Q38&gt;0,IF(_tauxactuariel1t1,(('Tableaux amortissement proj (2'!Q38+1)^(1/_nebchan1t))-1,'Tableaux amortissement proj (2'!Q38/_nebchan1t),H46)</f>
        <v>8.3333333333333339E-4</v>
      </c>
      <c r="I47" s="28">
        <f>IF('Tableaux amortissement proj (2'!T38&gt;0,'Tableaux amortissement proj (2'!T38,IF('Tableaux amortissement proj (2'!S38&gt;0,IF(AND(_echfixe12,H47&gt;0),ROUND(('Tableaux amortissement proj (2'!AA38-'Tableaux amortissement proj (2'!R38)*H47/(1-((1+H47)^-'Tableaux amortissement proj (2'!S38)),_nbdeci1t1),ROUND('Tableaux amortissement proj (2'!AA38/'Tableaux amortissement proj (2'!S38,_nbdeci1t1)),I46))</f>
        <v>240200</v>
      </c>
      <c r="J47" s="10"/>
      <c r="K47" s="10"/>
      <c r="L47" s="10"/>
      <c r="M47" s="10"/>
      <c r="O47" s="186">
        <v>45</v>
      </c>
    </row>
    <row r="48" spans="1:15" x14ac:dyDescent="0.2">
      <c r="A48" s="29">
        <f>IF('Tableaux amortissement proj (2'!A39&gt;0,IF(_tauxactuariel1t,(('Tableaux amortissement proj (2'!A39+1)^(1/_nbechan1t))-1,'Tableaux amortissement proj (2'!A39/_nbechan1t),A47)</f>
        <v>1.5499999999999999E-3</v>
      </c>
      <c r="B48" s="28">
        <f>IF('Tableaux amortissement proj (2'!D39&gt;0,'Tableaux amortissement proj (2'!D39,IF('Tableaux amortissement proj (2'!C39&gt;0,IF(AND(_echfixe1t,A48&gt;0),ROUND(('Tableaux amortissement proj (2'!K39-'Tableaux amortissement proj (2'!B39)*A48/(1-((1+A48)^-'Tableaux amortissement proj (2'!C39)),_nbdeci1t),ROUND('Tableaux amortissement proj (2'!K39/'Tableaux amortissement proj (2'!C39,_nbdeci1t)),B47))</f>
        <v>606.91999999999996</v>
      </c>
      <c r="C48" s="10"/>
      <c r="D48" s="10"/>
      <c r="E48" s="10"/>
      <c r="F48" s="10"/>
      <c r="H48" s="29">
        <f>IF('Tableaux amortissement proj (2'!Q39&gt;0,IF(_tauxactuariel1t1,(('Tableaux amortissement proj (2'!Q39+1)^(1/_nebchan1t))-1,'Tableaux amortissement proj (2'!Q39/_nebchan1t),H47)</f>
        <v>8.3333333333333339E-4</v>
      </c>
      <c r="I48" s="28">
        <f>IF('Tableaux amortissement proj (2'!T39&gt;0,'Tableaux amortissement proj (2'!T39,IF('Tableaux amortissement proj (2'!S39&gt;0,IF(AND(_echfixe12,H48&gt;0),ROUND(('Tableaux amortissement proj (2'!AA39-'Tableaux amortissement proj (2'!R39)*H48/(1-((1+H48)^-'Tableaux amortissement proj (2'!S39)),_nbdeci1t1),ROUND('Tableaux amortissement proj (2'!AA39/'Tableaux amortissement proj (2'!S39,_nbdeci1t1)),I47))</f>
        <v>240200</v>
      </c>
      <c r="J48" s="10"/>
      <c r="K48" s="10"/>
      <c r="L48" s="10"/>
      <c r="M48" s="10"/>
      <c r="O48" s="186">
        <v>46</v>
      </c>
    </row>
    <row r="49" spans="1:15" x14ac:dyDescent="0.2">
      <c r="A49" s="29">
        <f>IF('Tableaux amortissement proj (2'!A40&gt;0,IF(_tauxactuariel1t,(('Tableaux amortissement proj (2'!A40+1)^(1/_nbechan1t))-1,'Tableaux amortissement proj (2'!A40/_nbechan1t),A48)</f>
        <v>1.5499999999999999E-3</v>
      </c>
      <c r="B49" s="28">
        <f>IF('Tableaux amortissement proj (2'!D40&gt;0,'Tableaux amortissement proj (2'!D40,IF('Tableaux amortissement proj (2'!C40&gt;0,IF(AND(_echfixe1t,A49&gt;0),ROUND(('Tableaux amortissement proj (2'!K40-'Tableaux amortissement proj (2'!B40)*A49/(1-((1+A49)^-'Tableaux amortissement proj (2'!C40)),_nbdeci1t),ROUND('Tableaux amortissement proj (2'!K40/'Tableaux amortissement proj (2'!C40,_nbdeci1t)),B48))</f>
        <v>606.91999999999996</v>
      </c>
      <c r="C49" s="10"/>
      <c r="D49" s="10"/>
      <c r="E49" s="10"/>
      <c r="F49" s="10"/>
      <c r="H49" s="29">
        <f>IF('Tableaux amortissement proj (2'!Q40&gt;0,IF(_tauxactuariel1t1,(('Tableaux amortissement proj (2'!Q40+1)^(1/_nebchan1t))-1,'Tableaux amortissement proj (2'!Q40/_nebchan1t),H48)</f>
        <v>8.3333333333333339E-4</v>
      </c>
      <c r="I49" s="28">
        <f>IF('Tableaux amortissement proj (2'!T40&gt;0,'Tableaux amortissement proj (2'!T40,IF('Tableaux amortissement proj (2'!S40&gt;0,IF(AND(_echfixe12,H49&gt;0),ROUND(('Tableaux amortissement proj (2'!AA40-'Tableaux amortissement proj (2'!R40)*H49/(1-((1+H49)^-'Tableaux amortissement proj (2'!S40)),_nbdeci1t1),ROUND('Tableaux amortissement proj (2'!AA40/'Tableaux amortissement proj (2'!S40,_nbdeci1t1)),I48))</f>
        <v>240200</v>
      </c>
      <c r="J49" s="10"/>
      <c r="K49" s="10"/>
      <c r="L49" s="10"/>
      <c r="M49" s="10"/>
      <c r="O49" s="186">
        <v>47</v>
      </c>
    </row>
    <row r="50" spans="1:15" x14ac:dyDescent="0.2">
      <c r="A50" s="29">
        <f>IF('Tableaux amortissement proj (2'!A41&gt;0,IF(_tauxactuariel1t,(('Tableaux amortissement proj (2'!A41+1)^(1/_nbechan1t))-1,'Tableaux amortissement proj (2'!A41/_nbechan1t),A49)</f>
        <v>1.5499999999999999E-3</v>
      </c>
      <c r="B50" s="28">
        <f>IF('Tableaux amortissement proj (2'!D41&gt;0,'Tableaux amortissement proj (2'!D41,IF('Tableaux amortissement proj (2'!C41&gt;0,IF(AND(_echfixe1t,A50&gt;0),ROUND(('Tableaux amortissement proj (2'!K41-'Tableaux amortissement proj (2'!B41)*A50/(1-((1+A50)^-'Tableaux amortissement proj (2'!C41)),_nbdeci1t),ROUND('Tableaux amortissement proj (2'!K41/'Tableaux amortissement proj (2'!C41,_nbdeci1t)),B49))</f>
        <v>606.91999999999996</v>
      </c>
      <c r="C50" s="10"/>
      <c r="D50" s="10"/>
      <c r="E50" s="10"/>
      <c r="F50" s="10"/>
      <c r="H50" s="29">
        <f>IF('Tableaux amortissement proj (2'!Q41&gt;0,IF(_tauxactuariel1t1,(('Tableaux amortissement proj (2'!Q41+1)^(1/_nebchan1t))-1,'Tableaux amortissement proj (2'!Q41/_nebchan1t),H49)</f>
        <v>8.3333333333333339E-4</v>
      </c>
      <c r="I50" s="28">
        <f>IF('Tableaux amortissement proj (2'!T41&gt;0,'Tableaux amortissement proj (2'!T41,IF('Tableaux amortissement proj (2'!S41&gt;0,IF(AND(_echfixe12,H50&gt;0),ROUND(('Tableaux amortissement proj (2'!AA41-'Tableaux amortissement proj (2'!R41)*H50/(1-((1+H50)^-'Tableaux amortissement proj (2'!S41)),_nbdeci1t1),ROUND('Tableaux amortissement proj (2'!AA41/'Tableaux amortissement proj (2'!S41,_nbdeci1t1)),I49))</f>
        <v>240200</v>
      </c>
      <c r="J50" s="10"/>
      <c r="K50" s="10"/>
      <c r="L50" s="10"/>
      <c r="M50" s="10"/>
      <c r="O50" s="186">
        <v>48</v>
      </c>
    </row>
    <row r="51" spans="1:15" x14ac:dyDescent="0.2">
      <c r="A51" s="29">
        <f>IF('Tableaux amortissement proj (2'!A42&gt;0,IF(_tauxactuariel1t,(('Tableaux amortissement proj (2'!A42+1)^(1/_nbechan1t))-1,'Tableaux amortissement proj (2'!A42/_nbechan1t),A50)</f>
        <v>1.5499999999999999E-3</v>
      </c>
      <c r="B51" s="28">
        <f>IF('Tableaux amortissement proj (2'!D42&gt;0,'Tableaux amortissement proj (2'!D42,IF('Tableaux amortissement proj (2'!C42&gt;0,IF(AND(_echfixe1t,A51&gt;0),ROUND(('Tableaux amortissement proj (2'!K42-'Tableaux amortissement proj (2'!B42)*A51/(1-((1+A51)^-'Tableaux amortissement proj (2'!C42)),_nbdeci1t),ROUND('Tableaux amortissement proj (2'!K42/'Tableaux amortissement proj (2'!C42,_nbdeci1t)),B50))</f>
        <v>606.91999999999996</v>
      </c>
      <c r="C51" s="10"/>
      <c r="D51" s="10"/>
      <c r="E51" s="10"/>
      <c r="F51" s="10"/>
      <c r="H51" s="29">
        <f>IF('Tableaux amortissement proj (2'!Q42&gt;0,IF(_tauxactuariel1t1,(('Tableaux amortissement proj (2'!Q42+1)^(1/_nebchan1t))-1,'Tableaux amortissement proj (2'!Q42/_nebchan1t),H50)</f>
        <v>8.3333333333333339E-4</v>
      </c>
      <c r="I51" s="28">
        <f>IF('Tableaux amortissement proj (2'!T42&gt;0,'Tableaux amortissement proj (2'!T42,IF('Tableaux amortissement proj (2'!S42&gt;0,IF(AND(_echfixe12,H51&gt;0),ROUND(('Tableaux amortissement proj (2'!AA42-'Tableaux amortissement proj (2'!R42)*H51/(1-((1+H51)^-'Tableaux amortissement proj (2'!S42)),_nbdeci1t1),ROUND('Tableaux amortissement proj (2'!AA42/'Tableaux amortissement proj (2'!S42,_nbdeci1t1)),I50))</f>
        <v>240200</v>
      </c>
      <c r="J51" s="10"/>
      <c r="K51" s="10"/>
      <c r="L51" s="10"/>
      <c r="M51" s="10"/>
      <c r="O51" s="186">
        <v>49</v>
      </c>
    </row>
    <row r="52" spans="1:15" x14ac:dyDescent="0.2">
      <c r="A52" s="29">
        <f>IF('Tableaux amortissement proj (2'!A43&gt;0,IF(_tauxactuariel1t,(('Tableaux amortissement proj (2'!A43+1)^(1/_nbechan1t))-1,'Tableaux amortissement proj (2'!A43/_nbechan1t),A51)</f>
        <v>1.5499999999999999E-3</v>
      </c>
      <c r="B52" s="28">
        <f>IF('Tableaux amortissement proj (2'!D43&gt;0,'Tableaux amortissement proj (2'!D43,IF('Tableaux amortissement proj (2'!C43&gt;0,IF(AND(_echfixe1t,A52&gt;0),ROUND(('Tableaux amortissement proj (2'!K43-'Tableaux amortissement proj (2'!B43)*A52/(1-((1+A52)^-'Tableaux amortissement proj (2'!C43)),_nbdeci1t),ROUND('Tableaux amortissement proj (2'!K43/'Tableaux amortissement proj (2'!C43,_nbdeci1t)),B51))</f>
        <v>606.91999999999996</v>
      </c>
      <c r="C52" s="10"/>
      <c r="D52" s="10"/>
      <c r="E52" s="10"/>
      <c r="F52" s="10"/>
      <c r="H52" s="29">
        <f>IF('Tableaux amortissement proj (2'!Q43&gt;0,IF(_tauxactuariel1t1,(('Tableaux amortissement proj (2'!Q43+1)^(1/_nebchan1t))-1,'Tableaux amortissement proj (2'!Q43/_nebchan1t),H51)</f>
        <v>8.3333333333333339E-4</v>
      </c>
      <c r="I52" s="28">
        <f>IF('Tableaux amortissement proj (2'!T43&gt;0,'Tableaux amortissement proj (2'!T43,IF('Tableaux amortissement proj (2'!S43&gt;0,IF(AND(_echfixe12,H52&gt;0),ROUND(('Tableaux amortissement proj (2'!AA43-'Tableaux amortissement proj (2'!R43)*H52/(1-((1+H52)^-'Tableaux amortissement proj (2'!S43)),_nbdeci1t1),ROUND('Tableaux amortissement proj (2'!AA43/'Tableaux amortissement proj (2'!S43,_nbdeci1t1)),I51))</f>
        <v>240200</v>
      </c>
      <c r="J52" s="10"/>
      <c r="K52" s="10"/>
      <c r="L52" s="10"/>
      <c r="M52" s="10"/>
      <c r="O52" s="186">
        <v>50</v>
      </c>
    </row>
    <row r="53" spans="1:15" x14ac:dyDescent="0.2">
      <c r="A53" s="29">
        <f>IF('Tableaux amortissement proj (2'!A44&gt;0,IF(_tauxactuariel1t,(('Tableaux amortissement proj (2'!A44+1)^(1/_nbechan1t))-1,'Tableaux amortissement proj (2'!A44/_nbechan1t),A52)</f>
        <v>1.5499999999999999E-3</v>
      </c>
      <c r="B53" s="28">
        <f>IF('Tableaux amortissement proj (2'!D44&gt;0,'Tableaux amortissement proj (2'!D44,IF('Tableaux amortissement proj (2'!C44&gt;0,IF(AND(_echfixe1t,A53&gt;0),ROUND(('Tableaux amortissement proj (2'!K44-'Tableaux amortissement proj (2'!B44)*A53/(1-((1+A53)^-'Tableaux amortissement proj (2'!C44)),_nbdeci1t),ROUND('Tableaux amortissement proj (2'!K44/'Tableaux amortissement proj (2'!C44,_nbdeci1t)),B52))</f>
        <v>606.91999999999996</v>
      </c>
      <c r="C53" s="10"/>
      <c r="D53" s="10"/>
      <c r="E53" s="10"/>
      <c r="F53" s="10"/>
      <c r="H53" s="29">
        <f>IF('Tableaux amortissement proj (2'!Q44&gt;0,IF(_tauxactuariel1t1,(('Tableaux amortissement proj (2'!Q44+1)^(1/_nebchan1t))-1,'Tableaux amortissement proj (2'!Q44/_nebchan1t),H52)</f>
        <v>8.3333333333333339E-4</v>
      </c>
      <c r="I53" s="28">
        <f>IF('Tableaux amortissement proj (2'!T44&gt;0,'Tableaux amortissement proj (2'!T44,IF('Tableaux amortissement proj (2'!S44&gt;0,IF(AND(_echfixe12,H53&gt;0),ROUND(('Tableaux amortissement proj (2'!AA44-'Tableaux amortissement proj (2'!R44)*H53/(1-((1+H53)^-'Tableaux amortissement proj (2'!S44)),_nbdeci1t1),ROUND('Tableaux amortissement proj (2'!AA44/'Tableaux amortissement proj (2'!S44,_nbdeci1t1)),I52))</f>
        <v>240200</v>
      </c>
      <c r="J53" s="10"/>
      <c r="K53" s="10"/>
      <c r="L53" s="10"/>
      <c r="M53" s="10"/>
      <c r="O53" s="186">
        <v>51</v>
      </c>
    </row>
    <row r="54" spans="1:15" x14ac:dyDescent="0.2">
      <c r="A54" s="29">
        <f>IF('Tableaux amortissement proj (2'!A45&gt;0,IF(_tauxactuariel1t,(('Tableaux amortissement proj (2'!A45+1)^(1/_nbechan1t))-1,'Tableaux amortissement proj (2'!A45/_nbechan1t),A53)</f>
        <v>1.5499999999999999E-3</v>
      </c>
      <c r="B54" s="28">
        <f>IF('Tableaux amortissement proj (2'!D45&gt;0,'Tableaux amortissement proj (2'!D45,IF('Tableaux amortissement proj (2'!C45&gt;0,IF(AND(_echfixe1t,A54&gt;0),ROUND(('Tableaux amortissement proj (2'!K45-'Tableaux amortissement proj (2'!B45)*A54/(1-((1+A54)^-'Tableaux amortissement proj (2'!C45)),_nbdeci1t),ROUND('Tableaux amortissement proj (2'!K45/'Tableaux amortissement proj (2'!C45,_nbdeci1t)),B53))</f>
        <v>606.91999999999996</v>
      </c>
      <c r="C54" s="10"/>
      <c r="D54" s="10"/>
      <c r="E54" s="10"/>
      <c r="F54" s="10"/>
      <c r="H54" s="29">
        <f>IF('Tableaux amortissement proj (2'!Q45&gt;0,IF(_tauxactuariel1t1,(('Tableaux amortissement proj (2'!Q45+1)^(1/_nebchan1t))-1,'Tableaux amortissement proj (2'!Q45/_nebchan1t),H53)</f>
        <v>8.3333333333333339E-4</v>
      </c>
      <c r="I54" s="28">
        <f>IF('Tableaux amortissement proj (2'!T45&gt;0,'Tableaux amortissement proj (2'!T45,IF('Tableaux amortissement proj (2'!S45&gt;0,IF(AND(_echfixe12,H54&gt;0),ROUND(('Tableaux amortissement proj (2'!AA45-'Tableaux amortissement proj (2'!R45)*H54/(1-((1+H54)^-'Tableaux amortissement proj (2'!S45)),_nbdeci1t1),ROUND('Tableaux amortissement proj (2'!AA45/'Tableaux amortissement proj (2'!S45,_nbdeci1t1)),I53))</f>
        <v>240200</v>
      </c>
      <c r="J54" s="10"/>
      <c r="K54" s="10"/>
      <c r="L54" s="10"/>
      <c r="M54" s="10"/>
      <c r="O54" s="186">
        <v>52</v>
      </c>
    </row>
    <row r="55" spans="1:15" x14ac:dyDescent="0.2">
      <c r="A55" s="29">
        <f>IF('Tableaux amortissement proj (2'!A46&gt;0,IF(_tauxactuariel1t,(('Tableaux amortissement proj (2'!A46+1)^(1/_nbechan1t))-1,'Tableaux amortissement proj (2'!A46/_nbechan1t),A54)</f>
        <v>1.5499999999999999E-3</v>
      </c>
      <c r="B55" s="28">
        <f>IF('Tableaux amortissement proj (2'!D46&gt;0,'Tableaux amortissement proj (2'!D46,IF('Tableaux amortissement proj (2'!C46&gt;0,IF(AND(_echfixe1t,A55&gt;0),ROUND(('Tableaux amortissement proj (2'!K46-'Tableaux amortissement proj (2'!B46)*A55/(1-((1+A55)^-'Tableaux amortissement proj (2'!C46)),_nbdeci1t),ROUND('Tableaux amortissement proj (2'!K46/'Tableaux amortissement proj (2'!C46,_nbdeci1t)),B54))</f>
        <v>606.91999999999996</v>
      </c>
      <c r="C55" s="10"/>
      <c r="D55" s="10"/>
      <c r="E55" s="10"/>
      <c r="F55" s="10"/>
      <c r="H55" s="29">
        <f>IF('Tableaux amortissement proj (2'!Q46&gt;0,IF(_tauxactuariel1t1,(('Tableaux amortissement proj (2'!Q46+1)^(1/_nebchan1t))-1,'Tableaux amortissement proj (2'!Q46/_nebchan1t),H54)</f>
        <v>8.3333333333333339E-4</v>
      </c>
      <c r="I55" s="28">
        <f>IF('Tableaux amortissement proj (2'!T46&gt;0,'Tableaux amortissement proj (2'!T46,IF('Tableaux amortissement proj (2'!S46&gt;0,IF(AND(_echfixe12,H55&gt;0),ROUND(('Tableaux amortissement proj (2'!AA46-'Tableaux amortissement proj (2'!R46)*H55/(1-((1+H55)^-'Tableaux amortissement proj (2'!S46)),_nbdeci1t1),ROUND('Tableaux amortissement proj (2'!AA46/'Tableaux amortissement proj (2'!S46,_nbdeci1t1)),I54))</f>
        <v>240200</v>
      </c>
      <c r="J55" s="10"/>
      <c r="K55" s="10"/>
      <c r="L55" s="10"/>
      <c r="M55" s="10"/>
      <c r="O55" s="186">
        <v>53</v>
      </c>
    </row>
    <row r="56" spans="1:15" x14ac:dyDescent="0.2">
      <c r="A56" s="29">
        <f>IF('Tableaux amortissement proj (2'!A47&gt;0,IF(_tauxactuariel1t,(('Tableaux amortissement proj (2'!A47+1)^(1/_nbechan1t))-1,'Tableaux amortissement proj (2'!A47/_nbechan1t),A55)</f>
        <v>1.5499999999999999E-3</v>
      </c>
      <c r="B56" s="28">
        <f>IF('Tableaux amortissement proj (2'!D47&gt;0,'Tableaux amortissement proj (2'!D47,IF('Tableaux amortissement proj (2'!C47&gt;0,IF(AND(_echfixe1t,A56&gt;0),ROUND(('Tableaux amortissement proj (2'!K47-'Tableaux amortissement proj (2'!B47)*A56/(1-((1+A56)^-'Tableaux amortissement proj (2'!C47)),_nbdeci1t),ROUND('Tableaux amortissement proj (2'!K47/'Tableaux amortissement proj (2'!C47,_nbdeci1t)),B55))</f>
        <v>606.91999999999996</v>
      </c>
      <c r="C56" s="10"/>
      <c r="D56" s="10"/>
      <c r="E56" s="10"/>
      <c r="F56" s="10"/>
      <c r="H56" s="29">
        <f>IF('Tableaux amortissement proj (2'!Q47&gt;0,IF(_tauxactuariel1t1,(('Tableaux amortissement proj (2'!Q47+1)^(1/_nebchan1t))-1,'Tableaux amortissement proj (2'!Q47/_nebchan1t),H55)</f>
        <v>8.3333333333333339E-4</v>
      </c>
      <c r="I56" s="28">
        <f>IF('Tableaux amortissement proj (2'!T47&gt;0,'Tableaux amortissement proj (2'!T47,IF('Tableaux amortissement proj (2'!S47&gt;0,IF(AND(_echfixe12,H56&gt;0),ROUND(('Tableaux amortissement proj (2'!AA47-'Tableaux amortissement proj (2'!R47)*H56/(1-((1+H56)^-'Tableaux amortissement proj (2'!S47)),_nbdeci1t1),ROUND('Tableaux amortissement proj (2'!AA47/'Tableaux amortissement proj (2'!S47,_nbdeci1t1)),I55))</f>
        <v>240200</v>
      </c>
      <c r="J56" s="10"/>
      <c r="K56" s="10"/>
      <c r="L56" s="10"/>
      <c r="M56" s="10"/>
      <c r="O56" s="186">
        <v>54</v>
      </c>
    </row>
    <row r="57" spans="1:15" x14ac:dyDescent="0.2">
      <c r="A57" s="29">
        <f>IF('Tableaux amortissement proj (2'!A48&gt;0,IF(_tauxactuariel1t,(('Tableaux amortissement proj (2'!A48+1)^(1/_nbechan1t))-1,'Tableaux amortissement proj (2'!A48/_nbechan1t),A56)</f>
        <v>1.5499999999999999E-3</v>
      </c>
      <c r="B57" s="28">
        <f>IF('Tableaux amortissement proj (2'!D48&gt;0,'Tableaux amortissement proj (2'!D48,IF('Tableaux amortissement proj (2'!C48&gt;0,IF(AND(_echfixe1t,A57&gt;0),ROUND(('Tableaux amortissement proj (2'!K48-'Tableaux amortissement proj (2'!B48)*A57/(1-((1+A57)^-'Tableaux amortissement proj (2'!C48)),_nbdeci1t),ROUND('Tableaux amortissement proj (2'!K48/'Tableaux amortissement proj (2'!C48,_nbdeci1t)),B56))</f>
        <v>606.91999999999996</v>
      </c>
      <c r="C57" s="10"/>
      <c r="D57" s="10"/>
      <c r="E57" s="10"/>
      <c r="F57" s="10"/>
      <c r="H57" s="29">
        <f>IF('Tableaux amortissement proj (2'!Q48&gt;0,IF(_tauxactuariel1t1,(('Tableaux amortissement proj (2'!Q48+1)^(1/_nebchan1t))-1,'Tableaux amortissement proj (2'!Q48/_nebchan1t),H56)</f>
        <v>8.3333333333333339E-4</v>
      </c>
      <c r="I57" s="28">
        <f>IF('Tableaux amortissement proj (2'!T48&gt;0,'Tableaux amortissement proj (2'!T48,IF('Tableaux amortissement proj (2'!S48&gt;0,IF(AND(_echfixe12,H57&gt;0),ROUND(('Tableaux amortissement proj (2'!AA48-'Tableaux amortissement proj (2'!R48)*H57/(1-((1+H57)^-'Tableaux amortissement proj (2'!S48)),_nbdeci1t1),ROUND('Tableaux amortissement proj (2'!AA48/'Tableaux amortissement proj (2'!S48,_nbdeci1t1)),I56))</f>
        <v>240200</v>
      </c>
      <c r="J57" s="10"/>
      <c r="K57" s="10"/>
      <c r="L57" s="10"/>
      <c r="M57" s="10"/>
      <c r="O57" s="186">
        <v>55</v>
      </c>
    </row>
    <row r="58" spans="1:15" x14ac:dyDescent="0.2">
      <c r="A58" s="29">
        <f>IF('Tableaux amortissement proj (2'!A49&gt;0,IF(_tauxactuariel1t,(('Tableaux amortissement proj (2'!A49+1)^(1/_nbechan1t))-1,'Tableaux amortissement proj (2'!A49/_nbechan1t),A57)</f>
        <v>1.5499999999999999E-3</v>
      </c>
      <c r="B58" s="28">
        <f>IF('Tableaux amortissement proj (2'!D49&gt;0,'Tableaux amortissement proj (2'!D49,IF('Tableaux amortissement proj (2'!C49&gt;0,IF(AND(_echfixe1t,A58&gt;0),ROUND(('Tableaux amortissement proj (2'!K49-'Tableaux amortissement proj (2'!B49)*A58/(1-((1+A58)^-'Tableaux amortissement proj (2'!C49)),_nbdeci1t),ROUND('Tableaux amortissement proj (2'!K49/'Tableaux amortissement proj (2'!C49,_nbdeci1t)),B57))</f>
        <v>606.91999999999996</v>
      </c>
      <c r="C58" s="10"/>
      <c r="D58" s="10"/>
      <c r="E58" s="10"/>
      <c r="F58" s="10"/>
      <c r="H58" s="29">
        <f>IF('Tableaux amortissement proj (2'!Q49&gt;0,IF(_tauxactuariel1t1,(('Tableaux amortissement proj (2'!Q49+1)^(1/_nebchan1t))-1,'Tableaux amortissement proj (2'!Q49/_nebchan1t),H57)</f>
        <v>8.3333333333333339E-4</v>
      </c>
      <c r="I58" s="28">
        <f>IF('Tableaux amortissement proj (2'!T49&gt;0,'Tableaux amortissement proj (2'!T49,IF('Tableaux amortissement proj (2'!S49&gt;0,IF(AND(_echfixe12,H58&gt;0),ROUND(('Tableaux amortissement proj (2'!AA49-'Tableaux amortissement proj (2'!R49)*H58/(1-((1+H58)^-'Tableaux amortissement proj (2'!S49)),_nbdeci1t1),ROUND('Tableaux amortissement proj (2'!AA49/'Tableaux amortissement proj (2'!S49,_nbdeci1t1)),I57))</f>
        <v>240200</v>
      </c>
      <c r="J58" s="10"/>
      <c r="K58" s="10"/>
      <c r="L58" s="10"/>
      <c r="M58" s="10"/>
      <c r="O58" s="186">
        <v>56</v>
      </c>
    </row>
    <row r="59" spans="1:15" x14ac:dyDescent="0.2">
      <c r="A59" s="29">
        <f>IF('Tableaux amortissement proj (2'!A50&gt;0,IF(_tauxactuariel1t,(('Tableaux amortissement proj (2'!A50+1)^(1/_nbechan1t))-1,'Tableaux amortissement proj (2'!A50/_nbechan1t),A58)</f>
        <v>1.5499999999999999E-3</v>
      </c>
      <c r="B59" s="28">
        <f>IF('Tableaux amortissement proj (2'!D50&gt;0,'Tableaux amortissement proj (2'!D50,IF('Tableaux amortissement proj (2'!C50&gt;0,IF(AND(_echfixe1t,A59&gt;0),ROUND(('Tableaux amortissement proj (2'!K50-'Tableaux amortissement proj (2'!B50)*A59/(1-((1+A59)^-'Tableaux amortissement proj (2'!C50)),_nbdeci1t),ROUND('Tableaux amortissement proj (2'!K50/'Tableaux amortissement proj (2'!C50,_nbdeci1t)),B58))</f>
        <v>606.91999999999996</v>
      </c>
      <c r="C59" s="10"/>
      <c r="D59" s="10"/>
      <c r="E59" s="10"/>
      <c r="F59" s="10"/>
      <c r="H59" s="29">
        <f>IF('Tableaux amortissement proj (2'!Q50&gt;0,IF(_tauxactuariel1t1,(('Tableaux amortissement proj (2'!Q50+1)^(1/_nebchan1t))-1,'Tableaux amortissement proj (2'!Q50/_nebchan1t),H58)</f>
        <v>8.3333333333333339E-4</v>
      </c>
      <c r="I59" s="28">
        <f>IF('Tableaux amortissement proj (2'!T50&gt;0,'Tableaux amortissement proj (2'!T50,IF('Tableaux amortissement proj (2'!S50&gt;0,IF(AND(_echfixe12,H59&gt;0),ROUND(('Tableaux amortissement proj (2'!AA50-'Tableaux amortissement proj (2'!R50)*H59/(1-((1+H59)^-'Tableaux amortissement proj (2'!S50)),_nbdeci1t1),ROUND('Tableaux amortissement proj (2'!AA50/'Tableaux amortissement proj (2'!S50,_nbdeci1t1)),I58))</f>
        <v>240200</v>
      </c>
      <c r="J59" s="10"/>
      <c r="K59" s="10"/>
      <c r="L59" s="10"/>
      <c r="M59" s="10"/>
      <c r="O59" s="186">
        <v>57</v>
      </c>
    </row>
    <row r="60" spans="1:15" x14ac:dyDescent="0.2">
      <c r="A60" s="29">
        <f>IF('Tableaux amortissement proj (2'!A51&gt;0,IF(_tauxactuariel1t,(('Tableaux amortissement proj (2'!A51+1)^(1/_nbechan1t))-1,'Tableaux amortissement proj (2'!A51/_nbechan1t),A59)</f>
        <v>1.5499999999999999E-3</v>
      </c>
      <c r="B60" s="28">
        <f>IF('Tableaux amortissement proj (2'!D51&gt;0,'Tableaux amortissement proj (2'!D51,IF('Tableaux amortissement proj (2'!C51&gt;0,IF(AND(_echfixe1t,A60&gt;0),ROUND(('Tableaux amortissement proj (2'!K51-'Tableaux amortissement proj (2'!B51)*A60/(1-((1+A60)^-'Tableaux amortissement proj (2'!C51)),_nbdeci1t),ROUND('Tableaux amortissement proj (2'!K51/'Tableaux amortissement proj (2'!C51,_nbdeci1t)),B59))</f>
        <v>606.91999999999996</v>
      </c>
      <c r="C60" s="10"/>
      <c r="D60" s="10"/>
      <c r="E60" s="10"/>
      <c r="F60" s="10"/>
      <c r="H60" s="29">
        <f>IF('Tableaux amortissement proj (2'!Q51&gt;0,IF(_tauxactuariel1t1,(('Tableaux amortissement proj (2'!Q51+1)^(1/_nebchan1t))-1,'Tableaux amortissement proj (2'!Q51/_nebchan1t),H59)</f>
        <v>8.3333333333333339E-4</v>
      </c>
      <c r="I60" s="28">
        <f>IF('Tableaux amortissement proj (2'!T51&gt;0,'Tableaux amortissement proj (2'!T51,IF('Tableaux amortissement proj (2'!S51&gt;0,IF(AND(_echfixe12,H60&gt;0),ROUND(('Tableaux amortissement proj (2'!AA51-'Tableaux amortissement proj (2'!R51)*H60/(1-((1+H60)^-'Tableaux amortissement proj (2'!S51)),_nbdeci1t1),ROUND('Tableaux amortissement proj (2'!AA51/'Tableaux amortissement proj (2'!S51,_nbdeci1t1)),I59))</f>
        <v>240200</v>
      </c>
      <c r="J60" s="10"/>
      <c r="K60" s="10"/>
      <c r="L60" s="10"/>
      <c r="M60" s="10"/>
      <c r="O60" s="186">
        <v>58</v>
      </c>
    </row>
    <row r="61" spans="1:15" x14ac:dyDescent="0.2">
      <c r="A61" s="29">
        <f>IF('Tableaux amortissement proj (2'!A52&gt;0,IF(_tauxactuariel1t,(('Tableaux amortissement proj (2'!A52+1)^(1/_nbechan1t))-1,'Tableaux amortissement proj (2'!A52/_nbechan1t),A60)</f>
        <v>1.5499999999999999E-3</v>
      </c>
      <c r="B61" s="28">
        <f>IF('Tableaux amortissement proj (2'!D52&gt;0,'Tableaux amortissement proj (2'!D52,IF('Tableaux amortissement proj (2'!C52&gt;0,IF(AND(_echfixe1t,A61&gt;0),ROUND(('Tableaux amortissement proj (2'!K52-'Tableaux amortissement proj (2'!B52)*A61/(1-((1+A61)^-'Tableaux amortissement proj (2'!C52)),_nbdeci1t),ROUND('Tableaux amortissement proj (2'!K52/'Tableaux amortissement proj (2'!C52,_nbdeci1t)),B60))</f>
        <v>606.91999999999996</v>
      </c>
      <c r="C61" s="10"/>
      <c r="D61" s="10"/>
      <c r="E61" s="10"/>
      <c r="F61" s="10"/>
      <c r="H61" s="29">
        <f>IF('Tableaux amortissement proj (2'!Q52&gt;0,IF(_tauxactuariel1t1,(('Tableaux amortissement proj (2'!Q52+1)^(1/_nebchan1t))-1,'Tableaux amortissement proj (2'!Q52/_nebchan1t),H60)</f>
        <v>8.3333333333333339E-4</v>
      </c>
      <c r="I61" s="28">
        <f>IF('Tableaux amortissement proj (2'!T52&gt;0,'Tableaux amortissement proj (2'!T52,IF('Tableaux amortissement proj (2'!S52&gt;0,IF(AND(_echfixe12,H61&gt;0),ROUND(('Tableaux amortissement proj (2'!AA52-'Tableaux amortissement proj (2'!R52)*H61/(1-((1+H61)^-'Tableaux amortissement proj (2'!S52)),_nbdeci1t1),ROUND('Tableaux amortissement proj (2'!AA52/'Tableaux amortissement proj (2'!S52,_nbdeci1t1)),I60))</f>
        <v>240200</v>
      </c>
      <c r="J61" s="10"/>
      <c r="K61" s="10"/>
      <c r="L61" s="10"/>
      <c r="M61" s="10"/>
      <c r="O61" s="186">
        <v>59</v>
      </c>
    </row>
    <row r="62" spans="1:15" x14ac:dyDescent="0.2">
      <c r="A62" s="29">
        <f>IF('Tableaux amortissement proj (2'!A53&gt;0,IF(_tauxactuariel1t,(('Tableaux amortissement proj (2'!A53+1)^(1/_nbechan1t))-1,'Tableaux amortissement proj (2'!A53/_nbechan1t),A61)</f>
        <v>1.5499999999999999E-3</v>
      </c>
      <c r="B62" s="28">
        <f>IF('Tableaux amortissement proj (2'!D53&gt;0,'Tableaux amortissement proj (2'!D53,IF('Tableaux amortissement proj (2'!C53&gt;0,IF(AND(_echfixe1t,A62&gt;0),ROUND(('Tableaux amortissement proj (2'!K53-'Tableaux amortissement proj (2'!B53)*A62/(1-((1+A62)^-'Tableaux amortissement proj (2'!C53)),_nbdeci1t),ROUND('Tableaux amortissement proj (2'!K53/'Tableaux amortissement proj (2'!C53,_nbdeci1t)),B61))</f>
        <v>606.91999999999996</v>
      </c>
      <c r="C62" s="10"/>
      <c r="D62" s="10"/>
      <c r="E62" s="10"/>
      <c r="F62" s="10"/>
      <c r="H62" s="29">
        <f>IF('Tableaux amortissement proj (2'!Q53&gt;0,IF(_tauxactuariel1t1,(('Tableaux amortissement proj (2'!Q53+1)^(1/_nebchan1t))-1,'Tableaux amortissement proj (2'!Q53/_nebchan1t),H61)</f>
        <v>8.3333333333333339E-4</v>
      </c>
      <c r="I62" s="28">
        <f>IF('Tableaux amortissement proj (2'!T53&gt;0,'Tableaux amortissement proj (2'!T53,IF('Tableaux amortissement proj (2'!S53&gt;0,IF(AND(_echfixe12,H62&gt;0),ROUND(('Tableaux amortissement proj (2'!AA53-'Tableaux amortissement proj (2'!R53)*H62/(1-((1+H62)^-'Tableaux amortissement proj (2'!S53)),_nbdeci1t1),ROUND('Tableaux amortissement proj (2'!AA53/'Tableaux amortissement proj (2'!S53,_nbdeci1t1)),I61))</f>
        <v>240200</v>
      </c>
      <c r="J62" s="10"/>
      <c r="K62" s="10"/>
      <c r="L62" s="10"/>
      <c r="M62" s="10"/>
      <c r="O62" s="186">
        <v>60</v>
      </c>
    </row>
    <row r="63" spans="1:15" x14ac:dyDescent="0.2">
      <c r="A63" s="29">
        <f>IF('Tableaux amortissement proj (2'!A54&gt;0,IF(_tauxactuariel1t,(('Tableaux amortissement proj (2'!A54+1)^(1/_nbechan1t))-1,'Tableaux amortissement proj (2'!A54/_nbechan1t),A62)</f>
        <v>1.5499999999999999E-3</v>
      </c>
      <c r="B63" s="28">
        <f>IF('Tableaux amortissement proj (2'!D54&gt;0,'Tableaux amortissement proj (2'!D54,IF('Tableaux amortissement proj (2'!C54&gt;0,IF(AND(_echfixe1t,A63&gt;0),ROUND(('Tableaux amortissement proj (2'!K54-'Tableaux amortissement proj (2'!B54)*A63/(1-((1+A63)^-'Tableaux amortissement proj (2'!C54)),_nbdeci1t),ROUND('Tableaux amortissement proj (2'!K54/'Tableaux amortissement proj (2'!C54,_nbdeci1t)),B62))</f>
        <v>606.91999999999996</v>
      </c>
      <c r="C63" s="10"/>
      <c r="D63" s="10"/>
      <c r="E63" s="10"/>
      <c r="F63" s="10"/>
      <c r="H63" s="29">
        <f>IF('Tableaux amortissement proj (2'!Q54&gt;0,IF(_tauxactuariel1t1,(('Tableaux amortissement proj (2'!Q54+1)^(1/_nebchan1t))-1,'Tableaux amortissement proj (2'!Q54/_nebchan1t),H62)</f>
        <v>8.3333333333333339E-4</v>
      </c>
      <c r="I63" s="28">
        <f>IF('Tableaux amortissement proj (2'!T54&gt;0,'Tableaux amortissement proj (2'!T54,IF('Tableaux amortissement proj (2'!S54&gt;0,IF(AND(_echfixe12,H63&gt;0),ROUND(('Tableaux amortissement proj (2'!AA54-'Tableaux amortissement proj (2'!R54)*H63/(1-((1+H63)^-'Tableaux amortissement proj (2'!S54)),_nbdeci1t1),ROUND('Tableaux amortissement proj (2'!AA54/'Tableaux amortissement proj (2'!S54,_nbdeci1t1)),I62))</f>
        <v>240200</v>
      </c>
      <c r="J63" s="10"/>
      <c r="K63" s="10"/>
      <c r="L63" s="10"/>
      <c r="M63" s="10"/>
      <c r="O63" s="186">
        <v>61</v>
      </c>
    </row>
    <row r="64" spans="1:15" x14ac:dyDescent="0.2">
      <c r="A64" s="29">
        <f>IF('Tableaux amortissement proj (2'!A55&gt;0,IF(_tauxactuariel1t,(('Tableaux amortissement proj (2'!A55+1)^(1/_nbechan1t))-1,'Tableaux amortissement proj (2'!A55/_nbechan1t),A63)</f>
        <v>1.5499999999999999E-3</v>
      </c>
      <c r="B64" s="28">
        <f>IF('Tableaux amortissement proj (2'!D55&gt;0,'Tableaux amortissement proj (2'!D55,IF('Tableaux amortissement proj (2'!C55&gt;0,IF(AND(_echfixe1t,A64&gt;0),ROUND(('Tableaux amortissement proj (2'!K55-'Tableaux amortissement proj (2'!B55)*A64/(1-((1+A64)^-'Tableaux amortissement proj (2'!C55)),_nbdeci1t),ROUND('Tableaux amortissement proj (2'!K55/'Tableaux amortissement proj (2'!C55,_nbdeci1t)),B63))</f>
        <v>606.91999999999996</v>
      </c>
      <c r="C64" s="10"/>
      <c r="D64" s="10"/>
      <c r="E64" s="10"/>
      <c r="F64" s="10"/>
      <c r="H64" s="29">
        <f>IF('Tableaux amortissement proj (2'!Q55&gt;0,IF(_tauxactuariel1t1,(('Tableaux amortissement proj (2'!Q55+1)^(1/_nebchan1t))-1,'Tableaux amortissement proj (2'!Q55/_nebchan1t),H63)</f>
        <v>8.3333333333333339E-4</v>
      </c>
      <c r="I64" s="28">
        <f>IF('Tableaux amortissement proj (2'!T55&gt;0,'Tableaux amortissement proj (2'!T55,IF('Tableaux amortissement proj (2'!S55&gt;0,IF(AND(_echfixe12,H64&gt;0),ROUND(('Tableaux amortissement proj (2'!AA55-'Tableaux amortissement proj (2'!R55)*H64/(1-((1+H64)^-'Tableaux amortissement proj (2'!S55)),_nbdeci1t1),ROUND('Tableaux amortissement proj (2'!AA55/'Tableaux amortissement proj (2'!S55,_nbdeci1t1)),I63))</f>
        <v>240200</v>
      </c>
      <c r="J64" s="10"/>
      <c r="K64" s="10"/>
      <c r="L64" s="10"/>
      <c r="M64" s="10"/>
      <c r="O64" s="186">
        <v>62</v>
      </c>
    </row>
    <row r="65" spans="1:15" x14ac:dyDescent="0.2">
      <c r="A65" s="29">
        <f>IF('Tableaux amortissement proj (2'!A56&gt;0,IF(_tauxactuariel1t,(('Tableaux amortissement proj (2'!A56+1)^(1/_nbechan1t))-1,'Tableaux amortissement proj (2'!A56/_nbechan1t),A64)</f>
        <v>1.5499999999999999E-3</v>
      </c>
      <c r="B65" s="28">
        <f>IF('Tableaux amortissement proj (2'!D56&gt;0,'Tableaux amortissement proj (2'!D56,IF('Tableaux amortissement proj (2'!C56&gt;0,IF(AND(_echfixe1t,A65&gt;0),ROUND(('Tableaux amortissement proj (2'!K56-'Tableaux amortissement proj (2'!B56)*A65/(1-((1+A65)^-'Tableaux amortissement proj (2'!C56)),_nbdeci1t),ROUND('Tableaux amortissement proj (2'!K56/'Tableaux amortissement proj (2'!C56,_nbdeci1t)),B64))</f>
        <v>606.91999999999996</v>
      </c>
      <c r="C65" s="10"/>
      <c r="D65" s="10"/>
      <c r="E65" s="10"/>
      <c r="F65" s="10"/>
      <c r="H65" s="29">
        <f>IF('Tableaux amortissement proj (2'!Q56&gt;0,IF(_tauxactuariel1t1,(('Tableaux amortissement proj (2'!Q56+1)^(1/_nebchan1t))-1,'Tableaux amortissement proj (2'!Q56/_nebchan1t),H64)</f>
        <v>8.3333333333333339E-4</v>
      </c>
      <c r="I65" s="28">
        <f>IF('Tableaux amortissement proj (2'!T56&gt;0,'Tableaux amortissement proj (2'!T56,IF('Tableaux amortissement proj (2'!S56&gt;0,IF(AND(_echfixe12,H65&gt;0),ROUND(('Tableaux amortissement proj (2'!AA56-'Tableaux amortissement proj (2'!R56)*H65/(1-((1+H65)^-'Tableaux amortissement proj (2'!S56)),_nbdeci1t1),ROUND('Tableaux amortissement proj (2'!AA56/'Tableaux amortissement proj (2'!S56,_nbdeci1t1)),I64))</f>
        <v>240200</v>
      </c>
      <c r="J65" s="10"/>
      <c r="K65" s="10"/>
      <c r="L65" s="10"/>
      <c r="M65" s="10"/>
      <c r="O65" s="186">
        <v>63</v>
      </c>
    </row>
    <row r="66" spans="1:15" x14ac:dyDescent="0.2">
      <c r="A66" s="29">
        <f>IF('Tableaux amortissement proj (2'!A57&gt;0,IF(_tauxactuariel1t,(('Tableaux amortissement proj (2'!A57+1)^(1/_nbechan1t))-1,'Tableaux amortissement proj (2'!A57/_nbechan1t),A65)</f>
        <v>1.5499999999999999E-3</v>
      </c>
      <c r="B66" s="28">
        <f>IF('Tableaux amortissement proj (2'!D57&gt;0,'Tableaux amortissement proj (2'!D57,IF('Tableaux amortissement proj (2'!C57&gt;0,IF(AND(_echfixe1t,A66&gt;0),ROUND(('Tableaux amortissement proj (2'!K57-'Tableaux amortissement proj (2'!B57)*A66/(1-((1+A66)^-'Tableaux amortissement proj (2'!C57)),_nbdeci1t),ROUND('Tableaux amortissement proj (2'!K57/'Tableaux amortissement proj (2'!C57,_nbdeci1t)),B65))</f>
        <v>606.91999999999996</v>
      </c>
      <c r="C66" s="10"/>
      <c r="D66" s="10"/>
      <c r="E66" s="10"/>
      <c r="F66" s="10"/>
      <c r="H66" s="29">
        <f>IF('Tableaux amortissement proj (2'!Q57&gt;0,IF(_tauxactuariel1t1,(('Tableaux amortissement proj (2'!Q57+1)^(1/_nebchan1t))-1,'Tableaux amortissement proj (2'!Q57/_nebchan1t),H65)</f>
        <v>8.3333333333333339E-4</v>
      </c>
      <c r="I66" s="28">
        <f>IF('Tableaux amortissement proj (2'!T57&gt;0,'Tableaux amortissement proj (2'!T57,IF('Tableaux amortissement proj (2'!S57&gt;0,IF(AND(_echfixe12,H66&gt;0),ROUND(('Tableaux amortissement proj (2'!AA57-'Tableaux amortissement proj (2'!R57)*H66/(1-((1+H66)^-'Tableaux amortissement proj (2'!S57)),_nbdeci1t1),ROUND('Tableaux amortissement proj (2'!AA57/'Tableaux amortissement proj (2'!S57,_nbdeci1t1)),I65))</f>
        <v>240200</v>
      </c>
      <c r="J66" s="10"/>
      <c r="K66" s="10"/>
      <c r="L66" s="10"/>
      <c r="M66" s="10"/>
      <c r="O66" s="186">
        <v>64</v>
      </c>
    </row>
    <row r="67" spans="1:15" x14ac:dyDescent="0.2">
      <c r="A67" s="29">
        <f>IF('Tableaux amortissement proj (2'!A58&gt;0,IF(_tauxactuariel1t,(('Tableaux amortissement proj (2'!A58+1)^(1/_nbechan1t))-1,'Tableaux amortissement proj (2'!A58/_nbechan1t),A66)</f>
        <v>1.5499999999999999E-3</v>
      </c>
      <c r="B67" s="28">
        <f>IF('Tableaux amortissement proj (2'!D58&gt;0,'Tableaux amortissement proj (2'!D58,IF('Tableaux amortissement proj (2'!C58&gt;0,IF(AND(_echfixe1t,A67&gt;0),ROUND(('Tableaux amortissement proj (2'!K58-'Tableaux amortissement proj (2'!B58)*A67/(1-((1+A67)^-'Tableaux amortissement proj (2'!C58)),_nbdeci1t),ROUND('Tableaux amortissement proj (2'!K58/'Tableaux amortissement proj (2'!C58,_nbdeci1t)),B66))</f>
        <v>606.91999999999996</v>
      </c>
      <c r="C67" s="10"/>
      <c r="D67" s="10"/>
      <c r="E67" s="10"/>
      <c r="F67" s="10"/>
      <c r="H67" s="29">
        <f>IF('Tableaux amortissement proj (2'!Q58&gt;0,IF(_tauxactuariel1t1,(('Tableaux amortissement proj (2'!Q58+1)^(1/_nebchan1t))-1,'Tableaux amortissement proj (2'!Q58/_nebchan1t),H66)</f>
        <v>8.3333333333333339E-4</v>
      </c>
      <c r="I67" s="28">
        <f>IF('Tableaux amortissement proj (2'!T58&gt;0,'Tableaux amortissement proj (2'!T58,IF('Tableaux amortissement proj (2'!S58&gt;0,IF(AND(_echfixe12,H67&gt;0),ROUND(('Tableaux amortissement proj (2'!AA58-'Tableaux amortissement proj (2'!R58)*H67/(1-((1+H67)^-'Tableaux amortissement proj (2'!S58)),_nbdeci1t1),ROUND('Tableaux amortissement proj (2'!AA58/'Tableaux amortissement proj (2'!S58,_nbdeci1t1)),I66))</f>
        <v>240200</v>
      </c>
      <c r="J67" s="10"/>
      <c r="K67" s="10"/>
      <c r="L67" s="10"/>
      <c r="M67" s="10"/>
      <c r="O67" s="186">
        <v>65</v>
      </c>
    </row>
    <row r="68" spans="1:15" x14ac:dyDescent="0.2">
      <c r="A68" s="29">
        <f>IF('Tableaux amortissement proj (2'!A59&gt;0,IF(_tauxactuariel1t,(('Tableaux amortissement proj (2'!A59+1)^(1/_nbechan1t))-1,'Tableaux amortissement proj (2'!A59/_nbechan1t),A67)</f>
        <v>1.5499999999999999E-3</v>
      </c>
      <c r="B68" s="28">
        <f>IF('Tableaux amortissement proj (2'!D59&gt;0,'Tableaux amortissement proj (2'!D59,IF('Tableaux amortissement proj (2'!C59&gt;0,IF(AND(_echfixe1t,A68&gt;0),ROUND(('Tableaux amortissement proj (2'!K59-'Tableaux amortissement proj (2'!B59)*A68/(1-((1+A68)^-'Tableaux amortissement proj (2'!C59)),_nbdeci1t),ROUND('Tableaux amortissement proj (2'!K59/'Tableaux amortissement proj (2'!C59,_nbdeci1t)),B67))</f>
        <v>606.91999999999996</v>
      </c>
      <c r="C68" s="10"/>
      <c r="D68" s="10"/>
      <c r="E68" s="10"/>
      <c r="F68" s="10"/>
      <c r="H68" s="29">
        <f>IF('Tableaux amortissement proj (2'!Q59&gt;0,IF(_tauxactuariel1t1,(('Tableaux amortissement proj (2'!Q59+1)^(1/_nebchan1t))-1,'Tableaux amortissement proj (2'!Q59/_nebchan1t),H67)</f>
        <v>8.3333333333333339E-4</v>
      </c>
      <c r="I68" s="28">
        <f>IF('Tableaux amortissement proj (2'!T59&gt;0,'Tableaux amortissement proj (2'!T59,IF('Tableaux amortissement proj (2'!S59&gt;0,IF(AND(_echfixe12,H68&gt;0),ROUND(('Tableaux amortissement proj (2'!AA59-'Tableaux amortissement proj (2'!R59)*H68/(1-((1+H68)^-'Tableaux amortissement proj (2'!S59)),_nbdeci1t1),ROUND('Tableaux amortissement proj (2'!AA59/'Tableaux amortissement proj (2'!S59,_nbdeci1t1)),I67))</f>
        <v>240200</v>
      </c>
      <c r="J68" s="10"/>
      <c r="K68" s="10"/>
      <c r="L68" s="10"/>
      <c r="M68" s="10"/>
      <c r="O68" s="186">
        <v>66</v>
      </c>
    </row>
    <row r="69" spans="1:15" x14ac:dyDescent="0.2">
      <c r="A69" s="29">
        <f>IF('Tableaux amortissement proj (2'!A60&gt;0,IF(_tauxactuariel1t,(('Tableaux amortissement proj (2'!A60+1)^(1/_nbechan1t))-1,'Tableaux amortissement proj (2'!A60/_nbechan1t),A68)</f>
        <v>1.5499999999999999E-3</v>
      </c>
      <c r="B69" s="28">
        <f>IF('Tableaux amortissement proj (2'!D60&gt;0,'Tableaux amortissement proj (2'!D60,IF('Tableaux amortissement proj (2'!C60&gt;0,IF(AND(_echfixe1t,A69&gt;0),ROUND(('Tableaux amortissement proj (2'!K60-'Tableaux amortissement proj (2'!B60)*A69/(1-((1+A69)^-'Tableaux amortissement proj (2'!C60)),_nbdeci1t),ROUND('Tableaux amortissement proj (2'!K60/'Tableaux amortissement proj (2'!C60,_nbdeci1t)),B68))</f>
        <v>606.91999999999996</v>
      </c>
      <c r="C69" s="10"/>
      <c r="D69" s="10"/>
      <c r="E69" s="10"/>
      <c r="F69" s="10"/>
      <c r="H69" s="29">
        <f>IF('Tableaux amortissement proj (2'!Q60&gt;0,IF(_tauxactuariel1t1,(('Tableaux amortissement proj (2'!Q60+1)^(1/_nebchan1t))-1,'Tableaux amortissement proj (2'!Q60/_nebchan1t),H68)</f>
        <v>8.3333333333333339E-4</v>
      </c>
      <c r="I69" s="28">
        <f>IF('Tableaux amortissement proj (2'!T60&gt;0,'Tableaux amortissement proj (2'!T60,IF('Tableaux amortissement proj (2'!S60&gt;0,IF(AND(_echfixe12,H69&gt;0),ROUND(('Tableaux amortissement proj (2'!AA60-'Tableaux amortissement proj (2'!R60)*H69/(1-((1+H69)^-'Tableaux amortissement proj (2'!S60)),_nbdeci1t1),ROUND('Tableaux amortissement proj (2'!AA60/'Tableaux amortissement proj (2'!S60,_nbdeci1t1)),I68))</f>
        <v>240200</v>
      </c>
      <c r="J69" s="10"/>
      <c r="K69" s="10"/>
      <c r="L69" s="10"/>
      <c r="M69" s="10"/>
      <c r="O69" s="186">
        <v>67</v>
      </c>
    </row>
    <row r="70" spans="1:15" x14ac:dyDescent="0.2">
      <c r="A70" s="29">
        <f>IF('Tableaux amortissement proj (2'!A61&gt;0,IF(_tauxactuariel1t,(('Tableaux amortissement proj (2'!A61+1)^(1/_nbechan1t))-1,'Tableaux amortissement proj (2'!A61/_nbechan1t),A69)</f>
        <v>1.5499999999999999E-3</v>
      </c>
      <c r="B70" s="28">
        <f>IF('Tableaux amortissement proj (2'!D61&gt;0,'Tableaux amortissement proj (2'!D61,IF('Tableaux amortissement proj (2'!C61&gt;0,IF(AND(_echfixe1t,A70&gt;0),ROUND(('Tableaux amortissement proj (2'!K61-'Tableaux amortissement proj (2'!B61)*A70/(1-((1+A70)^-'Tableaux amortissement proj (2'!C61)),_nbdeci1t),ROUND('Tableaux amortissement proj (2'!K61/'Tableaux amortissement proj (2'!C61,_nbdeci1t)),B69))</f>
        <v>606.91999999999996</v>
      </c>
      <c r="C70" s="10"/>
      <c r="D70" s="10"/>
      <c r="E70" s="10"/>
      <c r="F70" s="10"/>
      <c r="H70" s="29">
        <f>IF('Tableaux amortissement proj (2'!Q61&gt;0,IF(_tauxactuariel1t1,(('Tableaux amortissement proj (2'!Q61+1)^(1/_nebchan1t))-1,'Tableaux amortissement proj (2'!Q61/_nebchan1t),H69)</f>
        <v>8.3333333333333339E-4</v>
      </c>
      <c r="I70" s="28">
        <f>IF('Tableaux amortissement proj (2'!T61&gt;0,'Tableaux amortissement proj (2'!T61,IF('Tableaux amortissement proj (2'!S61&gt;0,IF(AND(_echfixe12,H70&gt;0),ROUND(('Tableaux amortissement proj (2'!AA61-'Tableaux amortissement proj (2'!R61)*H70/(1-((1+H70)^-'Tableaux amortissement proj (2'!S61)),_nbdeci1t1),ROUND('Tableaux amortissement proj (2'!AA61/'Tableaux amortissement proj (2'!S61,_nbdeci1t1)),I69))</f>
        <v>240200</v>
      </c>
      <c r="J70" s="10"/>
      <c r="K70" s="10"/>
      <c r="L70" s="10"/>
      <c r="M70" s="10"/>
      <c r="O70" s="186">
        <v>68</v>
      </c>
    </row>
    <row r="71" spans="1:15" x14ac:dyDescent="0.2">
      <c r="A71" s="29">
        <f>IF('Tableaux amortissement proj (2'!A62&gt;0,IF(_tauxactuariel1t,(('Tableaux amortissement proj (2'!A62+1)^(1/_nbechan1t))-1,'Tableaux amortissement proj (2'!A62/_nbechan1t),A70)</f>
        <v>1.5499999999999999E-3</v>
      </c>
      <c r="B71" s="28">
        <f>IF('Tableaux amortissement proj (2'!D62&gt;0,'Tableaux amortissement proj (2'!D62,IF('Tableaux amortissement proj (2'!C62&gt;0,IF(AND(_echfixe1t,A71&gt;0),ROUND(('Tableaux amortissement proj (2'!K62-'Tableaux amortissement proj (2'!B62)*A71/(1-((1+A71)^-'Tableaux amortissement proj (2'!C62)),_nbdeci1t),ROUND('Tableaux amortissement proj (2'!K62/'Tableaux amortissement proj (2'!C62,_nbdeci1t)),B70))</f>
        <v>606.91999999999996</v>
      </c>
      <c r="C71" s="10"/>
      <c r="D71" s="10"/>
      <c r="E71" s="10"/>
      <c r="F71" s="10"/>
      <c r="H71" s="29">
        <f>IF('Tableaux amortissement proj (2'!Q62&gt;0,IF(_tauxactuariel1t1,(('Tableaux amortissement proj (2'!Q62+1)^(1/_nebchan1t))-1,'Tableaux amortissement proj (2'!Q62/_nebchan1t),H70)</f>
        <v>8.3333333333333339E-4</v>
      </c>
      <c r="I71" s="28">
        <f>IF('Tableaux amortissement proj (2'!T62&gt;0,'Tableaux amortissement proj (2'!T62,IF('Tableaux amortissement proj (2'!S62&gt;0,IF(AND(_echfixe12,H71&gt;0),ROUND(('Tableaux amortissement proj (2'!AA62-'Tableaux amortissement proj (2'!R62)*H71/(1-((1+H71)^-'Tableaux amortissement proj (2'!S62)),_nbdeci1t1),ROUND('Tableaux amortissement proj (2'!AA62/'Tableaux amortissement proj (2'!S62,_nbdeci1t1)),I70))</f>
        <v>240200</v>
      </c>
      <c r="J71" s="10"/>
      <c r="K71" s="10"/>
      <c r="L71" s="10"/>
      <c r="M71" s="10"/>
      <c r="O71" s="186">
        <v>69</v>
      </c>
    </row>
    <row r="72" spans="1:15" x14ac:dyDescent="0.2">
      <c r="A72" s="29">
        <f>IF('Tableaux amortissement proj (2'!A63&gt;0,IF(_tauxactuariel1t,(('Tableaux amortissement proj (2'!A63+1)^(1/_nbechan1t))-1,'Tableaux amortissement proj (2'!A63/_nbechan1t),A71)</f>
        <v>1.5499999999999999E-3</v>
      </c>
      <c r="B72" s="28">
        <f>IF('Tableaux amortissement proj (2'!D63&gt;0,'Tableaux amortissement proj (2'!D63,IF('Tableaux amortissement proj (2'!C63&gt;0,IF(AND(_echfixe1t,A72&gt;0),ROUND(('Tableaux amortissement proj (2'!K63-'Tableaux amortissement proj (2'!B63)*A72/(1-((1+A72)^-'Tableaux amortissement proj (2'!C63)),_nbdeci1t),ROUND('Tableaux amortissement proj (2'!K63/'Tableaux amortissement proj (2'!C63,_nbdeci1t)),B71))</f>
        <v>606.91999999999996</v>
      </c>
      <c r="C72" s="10"/>
      <c r="D72" s="10"/>
      <c r="E72" s="10"/>
      <c r="F72" s="10"/>
      <c r="H72" s="29">
        <f>IF('Tableaux amortissement proj (2'!Q63&gt;0,IF(_tauxactuariel1t1,(('Tableaux amortissement proj (2'!Q63+1)^(1/_nebchan1t))-1,'Tableaux amortissement proj (2'!Q63/_nebchan1t),H71)</f>
        <v>8.3333333333333339E-4</v>
      </c>
      <c r="I72" s="28">
        <f>IF('Tableaux amortissement proj (2'!T63&gt;0,'Tableaux amortissement proj (2'!T63,IF('Tableaux amortissement proj (2'!S63&gt;0,IF(AND(_echfixe12,H72&gt;0),ROUND(('Tableaux amortissement proj (2'!AA63-'Tableaux amortissement proj (2'!R63)*H72/(1-((1+H72)^-'Tableaux amortissement proj (2'!S63)),_nbdeci1t1),ROUND('Tableaux amortissement proj (2'!AA63/'Tableaux amortissement proj (2'!S63,_nbdeci1t1)),I71))</f>
        <v>240200</v>
      </c>
      <c r="J72" s="10"/>
      <c r="K72" s="10"/>
      <c r="L72" s="10"/>
      <c r="M72" s="10"/>
      <c r="O72" s="186">
        <v>70</v>
      </c>
    </row>
    <row r="73" spans="1:15" x14ac:dyDescent="0.2">
      <c r="A73" s="29">
        <f>IF('Tableaux amortissement proj (2'!A64&gt;0,IF(_tauxactuariel1t,(('Tableaux amortissement proj (2'!A64+1)^(1/_nbechan1t))-1,'Tableaux amortissement proj (2'!A64/_nbechan1t),A72)</f>
        <v>1.5499999999999999E-3</v>
      </c>
      <c r="B73" s="28">
        <f>IF('Tableaux amortissement proj (2'!D64&gt;0,'Tableaux amortissement proj (2'!D64,IF('Tableaux amortissement proj (2'!C64&gt;0,IF(AND(_echfixe1t,A73&gt;0),ROUND(('Tableaux amortissement proj (2'!K64-'Tableaux amortissement proj (2'!B64)*A73/(1-((1+A73)^-'Tableaux amortissement proj (2'!C64)),_nbdeci1t),ROUND('Tableaux amortissement proj (2'!K64/'Tableaux amortissement proj (2'!C64,_nbdeci1t)),B72))</f>
        <v>606.91999999999996</v>
      </c>
      <c r="C73" s="10"/>
      <c r="D73" s="10"/>
      <c r="E73" s="10"/>
      <c r="F73" s="10"/>
      <c r="H73" s="29">
        <f>IF('Tableaux amortissement proj (2'!Q64&gt;0,IF(_tauxactuariel1t1,(('Tableaux amortissement proj (2'!Q64+1)^(1/_nebchan1t))-1,'Tableaux amortissement proj (2'!Q64/_nebchan1t),H72)</f>
        <v>8.3333333333333339E-4</v>
      </c>
      <c r="I73" s="28">
        <f>IF('Tableaux amortissement proj (2'!T64&gt;0,'Tableaux amortissement proj (2'!T64,IF('Tableaux amortissement proj (2'!S64&gt;0,IF(AND(_echfixe12,H73&gt;0),ROUND(('Tableaux amortissement proj (2'!AA64-'Tableaux amortissement proj (2'!R64)*H73/(1-((1+H73)^-'Tableaux amortissement proj (2'!S64)),_nbdeci1t1),ROUND('Tableaux amortissement proj (2'!AA64/'Tableaux amortissement proj (2'!S64,_nbdeci1t1)),I72))</f>
        <v>240200</v>
      </c>
      <c r="J73" s="10"/>
      <c r="K73" s="10"/>
      <c r="L73" s="10"/>
      <c r="M73" s="10"/>
      <c r="O73" s="186">
        <v>71</v>
      </c>
    </row>
    <row r="74" spans="1:15" x14ac:dyDescent="0.2">
      <c r="A74" s="29">
        <f>IF('Tableaux amortissement proj (2'!A65&gt;0,IF(_tauxactuariel1t,(('Tableaux amortissement proj (2'!A65+1)^(1/_nbechan1t))-1,'Tableaux amortissement proj (2'!A65/_nbechan1t),A73)</f>
        <v>1.5499999999999999E-3</v>
      </c>
      <c r="B74" s="28">
        <f>IF('Tableaux amortissement proj (2'!D65&gt;0,'Tableaux amortissement proj (2'!D65,IF('Tableaux amortissement proj (2'!C65&gt;0,IF(AND(_echfixe1t,A74&gt;0),ROUND(('Tableaux amortissement proj (2'!K65-'Tableaux amortissement proj (2'!B65)*A74/(1-((1+A74)^-'Tableaux amortissement proj (2'!C65)),_nbdeci1t),ROUND('Tableaux amortissement proj (2'!K65/'Tableaux amortissement proj (2'!C65,_nbdeci1t)),B73))</f>
        <v>606.91999999999996</v>
      </c>
      <c r="C74" s="10"/>
      <c r="D74" s="10"/>
      <c r="E74" s="10"/>
      <c r="F74" s="10"/>
      <c r="H74" s="29">
        <f>IF('Tableaux amortissement proj (2'!Q65&gt;0,IF(_tauxactuariel1t1,(('Tableaux amortissement proj (2'!Q65+1)^(1/_nebchan1t))-1,'Tableaux amortissement proj (2'!Q65/_nebchan1t),H73)</f>
        <v>8.3333333333333339E-4</v>
      </c>
      <c r="I74" s="28">
        <f>IF('Tableaux amortissement proj (2'!T65&gt;0,'Tableaux amortissement proj (2'!T65,IF('Tableaux amortissement proj (2'!S65&gt;0,IF(AND(_echfixe12,H74&gt;0),ROUND(('Tableaux amortissement proj (2'!AA65-'Tableaux amortissement proj (2'!R65)*H74/(1-((1+H74)^-'Tableaux amortissement proj (2'!S65)),_nbdeci1t1),ROUND('Tableaux amortissement proj (2'!AA65/'Tableaux amortissement proj (2'!S65,_nbdeci1t1)),I73))</f>
        <v>240200</v>
      </c>
      <c r="J74" s="10"/>
      <c r="K74" s="10"/>
      <c r="L74" s="10"/>
      <c r="M74" s="10"/>
      <c r="O74" s="186">
        <v>72</v>
      </c>
    </row>
    <row r="75" spans="1:15" x14ac:dyDescent="0.2">
      <c r="A75" s="29">
        <f>IF('Tableaux amortissement proj (2'!A66&gt;0,IF(_tauxactuariel1t,(('Tableaux amortissement proj (2'!A66+1)^(1/_nbechan1t))-1,'Tableaux amortissement proj (2'!A66/_nbechan1t),A74)</f>
        <v>1.5499999999999999E-3</v>
      </c>
      <c r="B75" s="28">
        <f>IF('Tableaux amortissement proj (2'!D66&gt;0,'Tableaux amortissement proj (2'!D66,IF('Tableaux amortissement proj (2'!C66&gt;0,IF(AND(_echfixe1t,A75&gt;0),ROUND(('Tableaux amortissement proj (2'!K66-'Tableaux amortissement proj (2'!B66)*A75/(1-((1+A75)^-'Tableaux amortissement proj (2'!C66)),_nbdeci1t),ROUND('Tableaux amortissement proj (2'!K66/'Tableaux amortissement proj (2'!C66,_nbdeci1t)),B74))</f>
        <v>606.91999999999996</v>
      </c>
      <c r="C75" s="10"/>
      <c r="D75" s="10"/>
      <c r="E75" s="10"/>
      <c r="F75" s="10"/>
      <c r="H75" s="29">
        <f>IF('Tableaux amortissement proj (2'!Q66&gt;0,IF(_tauxactuariel1t1,(('Tableaux amortissement proj (2'!Q66+1)^(1/_nebchan1t))-1,'Tableaux amortissement proj (2'!Q66/_nebchan1t),H74)</f>
        <v>8.3333333333333339E-4</v>
      </c>
      <c r="I75" s="28">
        <f>IF('Tableaux amortissement proj (2'!T66&gt;0,'Tableaux amortissement proj (2'!T66,IF('Tableaux amortissement proj (2'!S66&gt;0,IF(AND(_echfixe12,H75&gt;0),ROUND(('Tableaux amortissement proj (2'!AA66-'Tableaux amortissement proj (2'!R66)*H75/(1-((1+H75)^-'Tableaux amortissement proj (2'!S66)),_nbdeci1t1),ROUND('Tableaux amortissement proj (2'!AA66/'Tableaux amortissement proj (2'!S66,_nbdeci1t1)),I74))</f>
        <v>240200</v>
      </c>
      <c r="J75" s="10"/>
      <c r="K75" s="10"/>
      <c r="L75" s="10"/>
      <c r="M75" s="10"/>
      <c r="O75" s="186">
        <v>73</v>
      </c>
    </row>
    <row r="76" spans="1:15" x14ac:dyDescent="0.2">
      <c r="A76" s="29">
        <f>IF('Tableaux amortissement proj (2'!A67&gt;0,IF(_tauxactuariel1t,(('Tableaux amortissement proj (2'!A67+1)^(1/_nbechan1t))-1,'Tableaux amortissement proj (2'!A67/_nbechan1t),A75)</f>
        <v>1.5499999999999999E-3</v>
      </c>
      <c r="B76" s="28">
        <f>IF('Tableaux amortissement proj (2'!D67&gt;0,'Tableaux amortissement proj (2'!D67,IF('Tableaux amortissement proj (2'!C67&gt;0,IF(AND(_echfixe1t,A76&gt;0),ROUND(('Tableaux amortissement proj (2'!K67-'Tableaux amortissement proj (2'!B67)*A76/(1-((1+A76)^-'Tableaux amortissement proj (2'!C67)),_nbdeci1t),ROUND('Tableaux amortissement proj (2'!K67/'Tableaux amortissement proj (2'!C67,_nbdeci1t)),B75))</f>
        <v>606.91999999999996</v>
      </c>
      <c r="C76" s="10"/>
      <c r="D76" s="10"/>
      <c r="E76" s="10"/>
      <c r="F76" s="10"/>
      <c r="H76" s="29">
        <f>IF('Tableaux amortissement proj (2'!Q67&gt;0,IF(_tauxactuariel1t1,(('Tableaux amortissement proj (2'!Q67+1)^(1/_nebchan1t))-1,'Tableaux amortissement proj (2'!Q67/_nebchan1t),H75)</f>
        <v>8.3333333333333339E-4</v>
      </c>
      <c r="I76" s="28">
        <f>IF('Tableaux amortissement proj (2'!T67&gt;0,'Tableaux amortissement proj (2'!T67,IF('Tableaux amortissement proj (2'!S67&gt;0,IF(AND(_echfixe12,H76&gt;0),ROUND(('Tableaux amortissement proj (2'!AA67-'Tableaux amortissement proj (2'!R67)*H76/(1-((1+H76)^-'Tableaux amortissement proj (2'!S67)),_nbdeci1t1),ROUND('Tableaux amortissement proj (2'!AA67/'Tableaux amortissement proj (2'!S67,_nbdeci1t1)),I75))</f>
        <v>240200</v>
      </c>
      <c r="J76" s="10"/>
      <c r="K76" s="10"/>
      <c r="L76" s="10"/>
      <c r="M76" s="10"/>
      <c r="O76" s="186">
        <v>74</v>
      </c>
    </row>
    <row r="77" spans="1:15" x14ac:dyDescent="0.2">
      <c r="A77" s="29">
        <f>IF('Tableaux amortissement proj (2'!A68&gt;0,IF(_tauxactuariel1t,(('Tableaux amortissement proj (2'!A68+1)^(1/_nbechan1t))-1,'Tableaux amortissement proj (2'!A68/_nbechan1t),A76)</f>
        <v>1.5499999999999999E-3</v>
      </c>
      <c r="B77" s="28">
        <f>IF('Tableaux amortissement proj (2'!D68&gt;0,'Tableaux amortissement proj (2'!D68,IF('Tableaux amortissement proj (2'!C68&gt;0,IF(AND(_echfixe1t,A77&gt;0),ROUND(('Tableaux amortissement proj (2'!K68-'Tableaux amortissement proj (2'!B68)*A77/(1-((1+A77)^-'Tableaux amortissement proj (2'!C68)),_nbdeci1t),ROUND('Tableaux amortissement proj (2'!K68/'Tableaux amortissement proj (2'!C68,_nbdeci1t)),B76))</f>
        <v>606.91999999999996</v>
      </c>
      <c r="C77" s="10"/>
      <c r="D77" s="10"/>
      <c r="E77" s="10"/>
      <c r="F77" s="10"/>
      <c r="H77" s="29">
        <f>IF('Tableaux amortissement proj (2'!Q68&gt;0,IF(_tauxactuariel1t1,(('Tableaux amortissement proj (2'!Q68+1)^(1/_nebchan1t))-1,'Tableaux amortissement proj (2'!Q68/_nebchan1t),H76)</f>
        <v>8.3333333333333339E-4</v>
      </c>
      <c r="I77" s="28">
        <f>IF('Tableaux amortissement proj (2'!T68&gt;0,'Tableaux amortissement proj (2'!T68,IF('Tableaux amortissement proj (2'!S68&gt;0,IF(AND(_echfixe12,H77&gt;0),ROUND(('Tableaux amortissement proj (2'!AA68-'Tableaux amortissement proj (2'!R68)*H77/(1-((1+H77)^-'Tableaux amortissement proj (2'!S68)),_nbdeci1t1),ROUND('Tableaux amortissement proj (2'!AA68/'Tableaux amortissement proj (2'!S68,_nbdeci1t1)),I76))</f>
        <v>240200</v>
      </c>
      <c r="J77" s="10"/>
      <c r="K77" s="10"/>
      <c r="L77" s="10"/>
      <c r="M77" s="10"/>
      <c r="O77" s="186">
        <v>75</v>
      </c>
    </row>
    <row r="78" spans="1:15" x14ac:dyDescent="0.2">
      <c r="A78" s="29">
        <f>IF('Tableaux amortissement proj (2'!A69&gt;0,IF(_tauxactuariel1t,(('Tableaux amortissement proj (2'!A69+1)^(1/_nbechan1t))-1,'Tableaux amortissement proj (2'!A69/_nbechan1t),A77)</f>
        <v>1.5499999999999999E-3</v>
      </c>
      <c r="B78" s="28">
        <f>IF('Tableaux amortissement proj (2'!D69&gt;0,'Tableaux amortissement proj (2'!D69,IF('Tableaux amortissement proj (2'!C69&gt;0,IF(AND(_echfixe1t,A78&gt;0),ROUND(('Tableaux amortissement proj (2'!K69-'Tableaux amortissement proj (2'!B69)*A78/(1-((1+A78)^-'Tableaux amortissement proj (2'!C69)),_nbdeci1t),ROUND('Tableaux amortissement proj (2'!K69/'Tableaux amortissement proj (2'!C69,_nbdeci1t)),B77))</f>
        <v>606.91999999999996</v>
      </c>
      <c r="C78" s="10"/>
      <c r="D78" s="10"/>
      <c r="E78" s="10"/>
      <c r="F78" s="10"/>
      <c r="H78" s="29">
        <f>IF('Tableaux amortissement proj (2'!Q69&gt;0,IF(_tauxactuariel1t1,(('Tableaux amortissement proj (2'!Q69+1)^(1/_nebchan1t))-1,'Tableaux amortissement proj (2'!Q69/_nebchan1t),H77)</f>
        <v>8.3333333333333339E-4</v>
      </c>
      <c r="I78" s="28">
        <f>IF('Tableaux amortissement proj (2'!T69&gt;0,'Tableaux amortissement proj (2'!T69,IF('Tableaux amortissement proj (2'!S69&gt;0,IF(AND(_echfixe12,H78&gt;0),ROUND(('Tableaux amortissement proj (2'!AA69-'Tableaux amortissement proj (2'!R69)*H78/(1-((1+H78)^-'Tableaux amortissement proj (2'!S69)),_nbdeci1t1),ROUND('Tableaux amortissement proj (2'!AA69/'Tableaux amortissement proj (2'!S69,_nbdeci1t1)),I77))</f>
        <v>240200</v>
      </c>
      <c r="J78" s="10"/>
      <c r="K78" s="10"/>
      <c r="L78" s="10"/>
      <c r="M78" s="10"/>
      <c r="O78" s="186">
        <v>76</v>
      </c>
    </row>
    <row r="79" spans="1:15" x14ac:dyDescent="0.2">
      <c r="A79" s="29">
        <f>IF('Tableaux amortissement proj (2'!A70&gt;0,IF(_tauxactuariel1t,(('Tableaux amortissement proj (2'!A70+1)^(1/_nbechan1t))-1,'Tableaux amortissement proj (2'!A70/_nbechan1t),A78)</f>
        <v>1.5499999999999999E-3</v>
      </c>
      <c r="B79" s="28">
        <f>IF('Tableaux amortissement proj (2'!D70&gt;0,'Tableaux amortissement proj (2'!D70,IF('Tableaux amortissement proj (2'!C70&gt;0,IF(AND(_echfixe1t,A79&gt;0),ROUND(('Tableaux amortissement proj (2'!K70-'Tableaux amortissement proj (2'!B70)*A79/(1-((1+A79)^-'Tableaux amortissement proj (2'!C70)),_nbdeci1t),ROUND('Tableaux amortissement proj (2'!K70/'Tableaux amortissement proj (2'!C70,_nbdeci1t)),B78))</f>
        <v>606.91999999999996</v>
      </c>
      <c r="C79" s="10"/>
      <c r="D79" s="10"/>
      <c r="E79" s="10"/>
      <c r="F79" s="10"/>
      <c r="H79" s="29">
        <f>IF('Tableaux amortissement proj (2'!Q70&gt;0,IF(_tauxactuariel1t1,(('Tableaux amortissement proj (2'!Q70+1)^(1/_nebchan1t))-1,'Tableaux amortissement proj (2'!Q70/_nebchan1t),H78)</f>
        <v>8.3333333333333339E-4</v>
      </c>
      <c r="I79" s="28">
        <f>IF('Tableaux amortissement proj (2'!T70&gt;0,'Tableaux amortissement proj (2'!T70,IF('Tableaux amortissement proj (2'!S70&gt;0,IF(AND(_echfixe12,H79&gt;0),ROUND(('Tableaux amortissement proj (2'!AA70-'Tableaux amortissement proj (2'!R70)*H79/(1-((1+H79)^-'Tableaux amortissement proj (2'!S70)),_nbdeci1t1),ROUND('Tableaux amortissement proj (2'!AA70/'Tableaux amortissement proj (2'!S70,_nbdeci1t1)),I78))</f>
        <v>240200</v>
      </c>
      <c r="J79" s="10"/>
      <c r="K79" s="10"/>
      <c r="L79" s="10"/>
      <c r="M79" s="10"/>
      <c r="O79" s="186">
        <v>77</v>
      </c>
    </row>
    <row r="80" spans="1:15" x14ac:dyDescent="0.2">
      <c r="A80" s="29">
        <f>IF('Tableaux amortissement proj (2'!A71&gt;0,IF(_tauxactuariel1t,(('Tableaux amortissement proj (2'!A71+1)^(1/_nbechan1t))-1,'Tableaux amortissement proj (2'!A71/_nbechan1t),A79)</f>
        <v>1.5499999999999999E-3</v>
      </c>
      <c r="B80" s="28">
        <f>IF('Tableaux amortissement proj (2'!D71&gt;0,'Tableaux amortissement proj (2'!D71,IF('Tableaux amortissement proj (2'!C71&gt;0,IF(AND(_echfixe1t,A80&gt;0),ROUND(('Tableaux amortissement proj (2'!K71-'Tableaux amortissement proj (2'!B71)*A80/(1-((1+A80)^-'Tableaux amortissement proj (2'!C71)),_nbdeci1t),ROUND('Tableaux amortissement proj (2'!K71/'Tableaux amortissement proj (2'!C71,_nbdeci1t)),B79))</f>
        <v>606.91999999999996</v>
      </c>
      <c r="C80" s="10"/>
      <c r="D80" s="10"/>
      <c r="E80" s="10"/>
      <c r="F80" s="10"/>
      <c r="H80" s="29">
        <f>IF('Tableaux amortissement proj (2'!Q71&gt;0,IF(_tauxactuariel1t1,(('Tableaux amortissement proj (2'!Q71+1)^(1/_nebchan1t))-1,'Tableaux amortissement proj (2'!Q71/_nebchan1t),H79)</f>
        <v>8.3333333333333339E-4</v>
      </c>
      <c r="I80" s="28">
        <f>IF('Tableaux amortissement proj (2'!T71&gt;0,'Tableaux amortissement proj (2'!T71,IF('Tableaux amortissement proj (2'!S71&gt;0,IF(AND(_echfixe12,H80&gt;0),ROUND(('Tableaux amortissement proj (2'!AA71-'Tableaux amortissement proj (2'!R71)*H80/(1-((1+H80)^-'Tableaux amortissement proj (2'!S71)),_nbdeci1t1),ROUND('Tableaux amortissement proj (2'!AA71/'Tableaux amortissement proj (2'!S71,_nbdeci1t1)),I79))</f>
        <v>240200</v>
      </c>
      <c r="J80" s="10"/>
      <c r="K80" s="10"/>
      <c r="L80" s="10"/>
      <c r="M80" s="10"/>
      <c r="O80" s="186">
        <v>78</v>
      </c>
    </row>
    <row r="81" spans="1:15" x14ac:dyDescent="0.2">
      <c r="A81" s="29">
        <f>IF('Tableaux amortissement proj (2'!A72&gt;0,IF(_tauxactuariel1t,(('Tableaux amortissement proj (2'!A72+1)^(1/_nbechan1t))-1,'Tableaux amortissement proj (2'!A72/_nbechan1t),A80)</f>
        <v>1.5499999999999999E-3</v>
      </c>
      <c r="B81" s="28">
        <f>IF('Tableaux amortissement proj (2'!D72&gt;0,'Tableaux amortissement proj (2'!D72,IF('Tableaux amortissement proj (2'!C72&gt;0,IF(AND(_echfixe1t,A81&gt;0),ROUND(('Tableaux amortissement proj (2'!K72-'Tableaux amortissement proj (2'!B72)*A81/(1-((1+A81)^-'Tableaux amortissement proj (2'!C72)),_nbdeci1t),ROUND('Tableaux amortissement proj (2'!K72/'Tableaux amortissement proj (2'!C72,_nbdeci1t)),B80))</f>
        <v>606.91999999999996</v>
      </c>
      <c r="C81" s="10"/>
      <c r="D81" s="10"/>
      <c r="E81" s="10"/>
      <c r="F81" s="10"/>
      <c r="H81" s="29">
        <f>IF('Tableaux amortissement proj (2'!Q72&gt;0,IF(_tauxactuariel1t1,(('Tableaux amortissement proj (2'!Q72+1)^(1/_nebchan1t))-1,'Tableaux amortissement proj (2'!Q72/_nebchan1t),H80)</f>
        <v>8.3333333333333339E-4</v>
      </c>
      <c r="I81" s="28">
        <f>IF('Tableaux amortissement proj (2'!T72&gt;0,'Tableaux amortissement proj (2'!T72,IF('Tableaux amortissement proj (2'!S72&gt;0,IF(AND(_echfixe12,H81&gt;0),ROUND(('Tableaux amortissement proj (2'!AA72-'Tableaux amortissement proj (2'!R72)*H81/(1-((1+H81)^-'Tableaux amortissement proj (2'!S72)),_nbdeci1t1),ROUND('Tableaux amortissement proj (2'!AA72/'Tableaux amortissement proj (2'!S72,_nbdeci1t1)),I80))</f>
        <v>240200</v>
      </c>
      <c r="J81" s="10"/>
      <c r="K81" s="10"/>
      <c r="L81" s="10"/>
      <c r="M81" s="10"/>
      <c r="O81" s="186">
        <v>79</v>
      </c>
    </row>
    <row r="82" spans="1:15" x14ac:dyDescent="0.2">
      <c r="A82" s="29">
        <f>IF('Tableaux amortissement proj (2'!A73&gt;0,IF(_tauxactuariel1t,(('Tableaux amortissement proj (2'!A73+1)^(1/_nbechan1t))-1,'Tableaux amortissement proj (2'!A73/_nbechan1t),A81)</f>
        <v>1.5499999999999999E-3</v>
      </c>
      <c r="B82" s="28">
        <f>IF('Tableaux amortissement proj (2'!D73&gt;0,'Tableaux amortissement proj (2'!D73,IF('Tableaux amortissement proj (2'!C73&gt;0,IF(AND(_echfixe1t,A82&gt;0),ROUND(('Tableaux amortissement proj (2'!K73-'Tableaux amortissement proj (2'!B73)*A82/(1-((1+A82)^-'Tableaux amortissement proj (2'!C73)),_nbdeci1t),ROUND('Tableaux amortissement proj (2'!K73/'Tableaux amortissement proj (2'!C73,_nbdeci1t)),B81))</f>
        <v>606.91999999999996</v>
      </c>
      <c r="C82" s="10"/>
      <c r="D82" s="10"/>
      <c r="E82" s="10"/>
      <c r="F82" s="10"/>
      <c r="H82" s="29">
        <f>IF('Tableaux amortissement proj (2'!Q73&gt;0,IF(_tauxactuariel1t1,(('Tableaux amortissement proj (2'!Q73+1)^(1/_nebchan1t))-1,'Tableaux amortissement proj (2'!Q73/_nebchan1t),H81)</f>
        <v>8.3333333333333339E-4</v>
      </c>
      <c r="I82" s="28">
        <f>IF('Tableaux amortissement proj (2'!T73&gt;0,'Tableaux amortissement proj (2'!T73,IF('Tableaux amortissement proj (2'!S73&gt;0,IF(AND(_echfixe12,H82&gt;0),ROUND(('Tableaux amortissement proj (2'!AA73-'Tableaux amortissement proj (2'!R73)*H82/(1-((1+H82)^-'Tableaux amortissement proj (2'!S73)),_nbdeci1t1),ROUND('Tableaux amortissement proj (2'!AA73/'Tableaux amortissement proj (2'!S73,_nbdeci1t1)),I81))</f>
        <v>240200</v>
      </c>
      <c r="J82" s="10"/>
      <c r="K82" s="10"/>
      <c r="L82" s="10"/>
      <c r="M82" s="10"/>
      <c r="O82" s="186">
        <v>80</v>
      </c>
    </row>
    <row r="83" spans="1:15" x14ac:dyDescent="0.2">
      <c r="A83" s="29">
        <f>IF('Tableaux amortissement proj (2'!A74&gt;0,IF(_tauxactuariel1t,(('Tableaux amortissement proj (2'!A74+1)^(1/_nbechan1t))-1,'Tableaux amortissement proj (2'!A74/_nbechan1t),A82)</f>
        <v>1.5499999999999999E-3</v>
      </c>
      <c r="B83" s="28">
        <f>IF('Tableaux amortissement proj (2'!D74&gt;0,'Tableaux amortissement proj (2'!D74,IF('Tableaux amortissement proj (2'!C74&gt;0,IF(AND(_echfixe1t,A83&gt;0),ROUND(('Tableaux amortissement proj (2'!K74-'Tableaux amortissement proj (2'!B74)*A83/(1-((1+A83)^-'Tableaux amortissement proj (2'!C74)),_nbdeci1t),ROUND('Tableaux amortissement proj (2'!K74/'Tableaux amortissement proj (2'!C74,_nbdeci1t)),B82))</f>
        <v>606.91999999999996</v>
      </c>
      <c r="C83" s="10"/>
      <c r="D83" s="10"/>
      <c r="E83" s="10"/>
      <c r="F83" s="10"/>
      <c r="H83" s="29">
        <f>IF('Tableaux amortissement proj (2'!Q74&gt;0,IF(_tauxactuariel1t1,(('Tableaux amortissement proj (2'!Q74+1)^(1/_nebchan1t))-1,'Tableaux amortissement proj (2'!Q74/_nebchan1t),H82)</f>
        <v>8.3333333333333339E-4</v>
      </c>
      <c r="I83" s="28">
        <f>IF('Tableaux amortissement proj (2'!T74&gt;0,'Tableaux amortissement proj (2'!T74,IF('Tableaux amortissement proj (2'!S74&gt;0,IF(AND(_echfixe12,H83&gt;0),ROUND(('Tableaux amortissement proj (2'!AA74-'Tableaux amortissement proj (2'!R74)*H83/(1-((1+H83)^-'Tableaux amortissement proj (2'!S74)),_nbdeci1t1),ROUND('Tableaux amortissement proj (2'!AA74/'Tableaux amortissement proj (2'!S74,_nbdeci1t1)),I82))</f>
        <v>240200</v>
      </c>
      <c r="J83" s="10"/>
      <c r="K83" s="10"/>
      <c r="L83" s="10"/>
      <c r="M83" s="10"/>
      <c r="O83" s="186">
        <v>81</v>
      </c>
    </row>
    <row r="84" spans="1:15" x14ac:dyDescent="0.2">
      <c r="A84" s="29">
        <f>IF('Tableaux amortissement proj (2'!A75&gt;0,IF(_tauxactuariel1t,(('Tableaux amortissement proj (2'!A75+1)^(1/_nbechan1t))-1,'Tableaux amortissement proj (2'!A75/_nbechan1t),A83)</f>
        <v>1.5499999999999999E-3</v>
      </c>
      <c r="B84" s="28">
        <f>IF('Tableaux amortissement proj (2'!D75&gt;0,'Tableaux amortissement proj (2'!D75,IF('Tableaux amortissement proj (2'!C75&gt;0,IF(AND(_echfixe1t,A84&gt;0),ROUND(('Tableaux amortissement proj (2'!K75-'Tableaux amortissement proj (2'!B75)*A84/(1-((1+A84)^-'Tableaux amortissement proj (2'!C75)),_nbdeci1t),ROUND('Tableaux amortissement proj (2'!K75/'Tableaux amortissement proj (2'!C75,_nbdeci1t)),B83))</f>
        <v>606.91999999999996</v>
      </c>
      <c r="C84" s="10"/>
      <c r="D84" s="10"/>
      <c r="E84" s="10"/>
      <c r="F84" s="10"/>
      <c r="H84" s="29">
        <f>IF('Tableaux amortissement proj (2'!Q75&gt;0,IF(_tauxactuariel1t1,(('Tableaux amortissement proj (2'!Q75+1)^(1/_nebchan1t))-1,'Tableaux amortissement proj (2'!Q75/_nebchan1t),H83)</f>
        <v>8.3333333333333339E-4</v>
      </c>
      <c r="I84" s="28">
        <f>IF('Tableaux amortissement proj (2'!T75&gt;0,'Tableaux amortissement proj (2'!T75,IF('Tableaux amortissement proj (2'!S75&gt;0,IF(AND(_echfixe12,H84&gt;0),ROUND(('Tableaux amortissement proj (2'!AA75-'Tableaux amortissement proj (2'!R75)*H84/(1-((1+H84)^-'Tableaux amortissement proj (2'!S75)),_nbdeci1t1),ROUND('Tableaux amortissement proj (2'!AA75/'Tableaux amortissement proj (2'!S75,_nbdeci1t1)),I83))</f>
        <v>240200</v>
      </c>
      <c r="J84" s="10"/>
      <c r="K84" s="10"/>
      <c r="L84" s="10"/>
      <c r="M84" s="10"/>
      <c r="O84" s="186">
        <v>82</v>
      </c>
    </row>
    <row r="85" spans="1:15" x14ac:dyDescent="0.2">
      <c r="A85" s="29">
        <f>IF('Tableaux amortissement proj (2'!A76&gt;0,IF(_tauxactuariel1t,(('Tableaux amortissement proj (2'!A76+1)^(1/_nbechan1t))-1,'Tableaux amortissement proj (2'!A76/_nbechan1t),A84)</f>
        <v>1.5499999999999999E-3</v>
      </c>
      <c r="B85" s="28">
        <f>IF('Tableaux amortissement proj (2'!D76&gt;0,'Tableaux amortissement proj (2'!D76,IF('Tableaux amortissement proj (2'!C76&gt;0,IF(AND(_echfixe1t,A85&gt;0),ROUND(('Tableaux amortissement proj (2'!K76-'Tableaux amortissement proj (2'!B76)*A85/(1-((1+A85)^-'Tableaux amortissement proj (2'!C76)),_nbdeci1t),ROUND('Tableaux amortissement proj (2'!K76/'Tableaux amortissement proj (2'!C76,_nbdeci1t)),B84))</f>
        <v>606.91999999999996</v>
      </c>
      <c r="C85" s="10"/>
      <c r="D85" s="10"/>
      <c r="E85" s="10"/>
      <c r="F85" s="10"/>
      <c r="H85" s="29">
        <f>IF('Tableaux amortissement proj (2'!Q76&gt;0,IF(_tauxactuariel1t1,(('Tableaux amortissement proj (2'!Q76+1)^(1/_nebchan1t))-1,'Tableaux amortissement proj (2'!Q76/_nebchan1t),H84)</f>
        <v>8.3333333333333339E-4</v>
      </c>
      <c r="I85" s="28">
        <f>IF('Tableaux amortissement proj (2'!T76&gt;0,'Tableaux amortissement proj (2'!T76,IF('Tableaux amortissement proj (2'!S76&gt;0,IF(AND(_echfixe12,H85&gt;0),ROUND(('Tableaux amortissement proj (2'!AA76-'Tableaux amortissement proj (2'!R76)*H85/(1-((1+H85)^-'Tableaux amortissement proj (2'!S76)),_nbdeci1t1),ROUND('Tableaux amortissement proj (2'!AA76/'Tableaux amortissement proj (2'!S76,_nbdeci1t1)),I84))</f>
        <v>240200</v>
      </c>
      <c r="J85" s="10"/>
      <c r="K85" s="10"/>
      <c r="L85" s="10"/>
      <c r="M85" s="10"/>
      <c r="O85" s="186">
        <v>83</v>
      </c>
    </row>
    <row r="86" spans="1:15" x14ac:dyDescent="0.2">
      <c r="A86" s="29">
        <f>IF('Tableaux amortissement proj (2'!A77&gt;0,IF(_tauxactuariel1t,(('Tableaux amortissement proj (2'!A77+1)^(1/_nbechan1t))-1,'Tableaux amortissement proj (2'!A77/_nbechan1t),A85)</f>
        <v>1.5499999999999999E-3</v>
      </c>
      <c r="B86" s="28">
        <f>IF('Tableaux amortissement proj (2'!D77&gt;0,'Tableaux amortissement proj (2'!D77,IF('Tableaux amortissement proj (2'!C77&gt;0,IF(AND(_echfixe1t,A86&gt;0),ROUND(('Tableaux amortissement proj (2'!K77-'Tableaux amortissement proj (2'!B77)*A86/(1-((1+A86)^-'Tableaux amortissement proj (2'!C77)),_nbdeci1t),ROUND('Tableaux amortissement proj (2'!K77/'Tableaux amortissement proj (2'!C77,_nbdeci1t)),B85))</f>
        <v>606.91999999999996</v>
      </c>
      <c r="C86" s="10"/>
      <c r="D86" s="10"/>
      <c r="E86" s="10"/>
      <c r="F86" s="10"/>
      <c r="H86" s="29">
        <f>IF('Tableaux amortissement proj (2'!Q77&gt;0,IF(_tauxactuariel1t1,(('Tableaux amortissement proj (2'!Q77+1)^(1/_nebchan1t))-1,'Tableaux amortissement proj (2'!Q77/_nebchan1t),H85)</f>
        <v>8.3333333333333339E-4</v>
      </c>
      <c r="I86" s="28">
        <f>IF('Tableaux amortissement proj (2'!T77&gt;0,'Tableaux amortissement proj (2'!T77,IF('Tableaux amortissement proj (2'!S77&gt;0,IF(AND(_echfixe12,H86&gt;0),ROUND(('Tableaux amortissement proj (2'!AA77-'Tableaux amortissement proj (2'!R77)*H86/(1-((1+H86)^-'Tableaux amortissement proj (2'!S77)),_nbdeci1t1),ROUND('Tableaux amortissement proj (2'!AA77/'Tableaux amortissement proj (2'!S77,_nbdeci1t1)),I85))</f>
        <v>240200</v>
      </c>
      <c r="J86" s="10"/>
      <c r="K86" s="10"/>
      <c r="L86" s="10"/>
      <c r="M86" s="10"/>
      <c r="O86" s="186">
        <v>84</v>
      </c>
    </row>
    <row r="87" spans="1:15" x14ac:dyDescent="0.2">
      <c r="A87" s="29">
        <f>IF('Tableaux amortissement proj (2'!A78&gt;0,IF(_tauxactuariel1t,(('Tableaux amortissement proj (2'!A78+1)^(1/_nbechan1t))-1,'Tableaux amortissement proj (2'!A78/_nbechan1t),A86)</f>
        <v>1.5499999999999999E-3</v>
      </c>
      <c r="B87" s="28">
        <f>IF('Tableaux amortissement proj (2'!D78&gt;0,'Tableaux amortissement proj (2'!D78,IF('Tableaux amortissement proj (2'!C78&gt;0,IF(AND(_echfixe1t,A87&gt;0),ROUND(('Tableaux amortissement proj (2'!K78-'Tableaux amortissement proj (2'!B78)*A87/(1-((1+A87)^-'Tableaux amortissement proj (2'!C78)),_nbdeci1t),ROUND('Tableaux amortissement proj (2'!K78/'Tableaux amortissement proj (2'!C78,_nbdeci1t)),B86))</f>
        <v>606.91999999999996</v>
      </c>
      <c r="C87" s="10"/>
      <c r="D87" s="10"/>
      <c r="E87" s="10"/>
      <c r="F87" s="10"/>
      <c r="H87" s="29">
        <f>IF('Tableaux amortissement proj (2'!Q78&gt;0,IF(_tauxactuariel1t1,(('Tableaux amortissement proj (2'!Q78+1)^(1/_nebchan1t))-1,'Tableaux amortissement proj (2'!Q78/_nebchan1t),H86)</f>
        <v>8.3333333333333339E-4</v>
      </c>
      <c r="I87" s="28">
        <f>IF('Tableaux amortissement proj (2'!T78&gt;0,'Tableaux amortissement proj (2'!T78,IF('Tableaux amortissement proj (2'!S78&gt;0,IF(AND(_echfixe12,H87&gt;0),ROUND(('Tableaux amortissement proj (2'!AA78-'Tableaux amortissement proj (2'!R78)*H87/(1-((1+H87)^-'Tableaux amortissement proj (2'!S78)),_nbdeci1t1),ROUND('Tableaux amortissement proj (2'!AA78/'Tableaux amortissement proj (2'!S78,_nbdeci1t1)),I86))</f>
        <v>240200</v>
      </c>
      <c r="J87" s="10"/>
      <c r="K87" s="10"/>
      <c r="L87" s="10"/>
      <c r="M87" s="10"/>
      <c r="O87" s="186">
        <v>85</v>
      </c>
    </row>
    <row r="88" spans="1:15" x14ac:dyDescent="0.2">
      <c r="A88" s="29">
        <f>IF('Tableaux amortissement proj (2'!A79&gt;0,IF(_tauxactuariel1t,(('Tableaux amortissement proj (2'!A79+1)^(1/_nbechan1t))-1,'Tableaux amortissement proj (2'!A79/_nbechan1t),A87)</f>
        <v>1.5499999999999999E-3</v>
      </c>
      <c r="B88" s="28">
        <f>IF('Tableaux amortissement proj (2'!D79&gt;0,'Tableaux amortissement proj (2'!D79,IF('Tableaux amortissement proj (2'!C79&gt;0,IF(AND(_echfixe1t,A88&gt;0),ROUND(('Tableaux amortissement proj (2'!K79-'Tableaux amortissement proj (2'!B79)*A88/(1-((1+A88)^-'Tableaux amortissement proj (2'!C79)),_nbdeci1t),ROUND('Tableaux amortissement proj (2'!K79/'Tableaux amortissement proj (2'!C79,_nbdeci1t)),B87))</f>
        <v>606.91999999999996</v>
      </c>
      <c r="C88" s="10"/>
      <c r="D88" s="10"/>
      <c r="E88" s="10"/>
      <c r="F88" s="10"/>
      <c r="H88" s="29">
        <f>IF('Tableaux amortissement proj (2'!Q79&gt;0,IF(_tauxactuariel1t1,(('Tableaux amortissement proj (2'!Q79+1)^(1/_nebchan1t))-1,'Tableaux amortissement proj (2'!Q79/_nebchan1t),H87)</f>
        <v>8.3333333333333339E-4</v>
      </c>
      <c r="I88" s="28">
        <f>IF('Tableaux amortissement proj (2'!T79&gt;0,'Tableaux amortissement proj (2'!T79,IF('Tableaux amortissement proj (2'!S79&gt;0,IF(AND(_echfixe12,H88&gt;0),ROUND(('Tableaux amortissement proj (2'!AA79-'Tableaux amortissement proj (2'!R79)*H88/(1-((1+H88)^-'Tableaux amortissement proj (2'!S79)),_nbdeci1t1),ROUND('Tableaux amortissement proj (2'!AA79/'Tableaux amortissement proj (2'!S79,_nbdeci1t1)),I87))</f>
        <v>240200</v>
      </c>
      <c r="J88" s="10"/>
      <c r="K88" s="10"/>
      <c r="L88" s="10"/>
      <c r="M88" s="10"/>
      <c r="O88" s="186">
        <v>86</v>
      </c>
    </row>
    <row r="89" spans="1:15" x14ac:dyDescent="0.2">
      <c r="A89" s="29">
        <f>IF('Tableaux amortissement proj (2'!A80&gt;0,IF(_tauxactuariel1t,(('Tableaux amortissement proj (2'!A80+1)^(1/_nbechan1t))-1,'Tableaux amortissement proj (2'!A80/_nbechan1t),A88)</f>
        <v>1.5499999999999999E-3</v>
      </c>
      <c r="B89" s="28">
        <f>IF('Tableaux amortissement proj (2'!D80&gt;0,'Tableaux amortissement proj (2'!D80,IF('Tableaux amortissement proj (2'!C80&gt;0,IF(AND(_echfixe1t,A89&gt;0),ROUND(('Tableaux amortissement proj (2'!K80-'Tableaux amortissement proj (2'!B80)*A89/(1-((1+A89)^-'Tableaux amortissement proj (2'!C80)),_nbdeci1t),ROUND('Tableaux amortissement proj (2'!K80/'Tableaux amortissement proj (2'!C80,_nbdeci1t)),B88))</f>
        <v>606.91999999999996</v>
      </c>
      <c r="C89" s="10"/>
      <c r="D89" s="10"/>
      <c r="E89" s="10"/>
      <c r="F89" s="10"/>
      <c r="H89" s="29">
        <f>IF('Tableaux amortissement proj (2'!Q80&gt;0,IF(_tauxactuariel1t1,(('Tableaux amortissement proj (2'!Q80+1)^(1/_nebchan1t))-1,'Tableaux amortissement proj (2'!Q80/_nebchan1t),H88)</f>
        <v>8.3333333333333339E-4</v>
      </c>
      <c r="I89" s="28">
        <f>IF('Tableaux amortissement proj (2'!T80&gt;0,'Tableaux amortissement proj (2'!T80,IF('Tableaux amortissement proj (2'!S80&gt;0,IF(AND(_echfixe12,H89&gt;0),ROUND(('Tableaux amortissement proj (2'!AA80-'Tableaux amortissement proj (2'!R80)*H89/(1-((1+H89)^-'Tableaux amortissement proj (2'!S80)),_nbdeci1t1),ROUND('Tableaux amortissement proj (2'!AA80/'Tableaux amortissement proj (2'!S80,_nbdeci1t1)),I88))</f>
        <v>240200</v>
      </c>
      <c r="J89" s="10"/>
      <c r="K89" s="10"/>
      <c r="L89" s="10"/>
      <c r="M89" s="10"/>
      <c r="O89" s="186">
        <v>87</v>
      </c>
    </row>
    <row r="90" spans="1:15" x14ac:dyDescent="0.2">
      <c r="A90" s="29">
        <f>IF('Tableaux amortissement proj (2'!A81&gt;0,IF(_tauxactuariel1t,(('Tableaux amortissement proj (2'!A81+1)^(1/_nbechan1t))-1,'Tableaux amortissement proj (2'!A81/_nbechan1t),A89)</f>
        <v>1.5499999999999999E-3</v>
      </c>
      <c r="B90" s="28">
        <f>IF('Tableaux amortissement proj (2'!D81&gt;0,'Tableaux amortissement proj (2'!D81,IF('Tableaux amortissement proj (2'!C81&gt;0,IF(AND(_echfixe1t,A90&gt;0),ROUND(('Tableaux amortissement proj (2'!K81-'Tableaux amortissement proj (2'!B81)*A90/(1-((1+A90)^-'Tableaux amortissement proj (2'!C81)),_nbdeci1t),ROUND('Tableaux amortissement proj (2'!K81/'Tableaux amortissement proj (2'!C81,_nbdeci1t)),B89))</f>
        <v>606.91999999999996</v>
      </c>
      <c r="C90" s="10"/>
      <c r="D90" s="10"/>
      <c r="E90" s="10"/>
      <c r="F90" s="10"/>
      <c r="H90" s="29">
        <f>IF('Tableaux amortissement proj (2'!Q81&gt;0,IF(_tauxactuariel1t1,(('Tableaux amortissement proj (2'!Q81+1)^(1/_nebchan1t))-1,'Tableaux amortissement proj (2'!Q81/_nebchan1t),H89)</f>
        <v>8.3333333333333339E-4</v>
      </c>
      <c r="I90" s="28">
        <f>IF('Tableaux amortissement proj (2'!T81&gt;0,'Tableaux amortissement proj (2'!T81,IF('Tableaux amortissement proj (2'!S81&gt;0,IF(AND(_echfixe12,H90&gt;0),ROUND(('Tableaux amortissement proj (2'!AA81-'Tableaux amortissement proj (2'!R81)*H90/(1-((1+H90)^-'Tableaux amortissement proj (2'!S81)),_nbdeci1t1),ROUND('Tableaux amortissement proj (2'!AA81/'Tableaux amortissement proj (2'!S81,_nbdeci1t1)),I89))</f>
        <v>240200</v>
      </c>
      <c r="J90" s="10"/>
      <c r="K90" s="10"/>
      <c r="L90" s="10"/>
      <c r="M90" s="10"/>
      <c r="O90" s="186">
        <v>88</v>
      </c>
    </row>
    <row r="91" spans="1:15" x14ac:dyDescent="0.2">
      <c r="A91" s="29">
        <f>IF('Tableaux amortissement proj (2'!A82&gt;0,IF(_tauxactuariel1t,(('Tableaux amortissement proj (2'!A82+1)^(1/_nbechan1t))-1,'Tableaux amortissement proj (2'!A82/_nbechan1t),A90)</f>
        <v>1.5499999999999999E-3</v>
      </c>
      <c r="B91" s="28">
        <f>IF('Tableaux amortissement proj (2'!D82&gt;0,'Tableaux amortissement proj (2'!D82,IF('Tableaux amortissement proj (2'!C82&gt;0,IF(AND(_echfixe1t,A91&gt;0),ROUND(('Tableaux amortissement proj (2'!K82-'Tableaux amortissement proj (2'!B82)*A91/(1-((1+A91)^-'Tableaux amortissement proj (2'!C82)),_nbdeci1t),ROUND('Tableaux amortissement proj (2'!K82/'Tableaux amortissement proj (2'!C82,_nbdeci1t)),B90))</f>
        <v>606.91999999999996</v>
      </c>
      <c r="C91" s="10"/>
      <c r="D91" s="10"/>
      <c r="E91" s="10"/>
      <c r="F91" s="10"/>
      <c r="H91" s="29">
        <f>IF('Tableaux amortissement proj (2'!Q82&gt;0,IF(_tauxactuariel1t1,(('Tableaux amortissement proj (2'!Q82+1)^(1/_nebchan1t))-1,'Tableaux amortissement proj (2'!Q82/_nebchan1t),H90)</f>
        <v>8.3333333333333339E-4</v>
      </c>
      <c r="I91" s="28">
        <f>IF('Tableaux amortissement proj (2'!T82&gt;0,'Tableaux amortissement proj (2'!T82,IF('Tableaux amortissement proj (2'!S82&gt;0,IF(AND(_echfixe12,H91&gt;0),ROUND(('Tableaux amortissement proj (2'!AA82-'Tableaux amortissement proj (2'!R82)*H91/(1-((1+H91)^-'Tableaux amortissement proj (2'!S82)),_nbdeci1t1),ROUND('Tableaux amortissement proj (2'!AA82/'Tableaux amortissement proj (2'!S82,_nbdeci1t1)),I90))</f>
        <v>240200</v>
      </c>
      <c r="J91" s="10"/>
      <c r="K91" s="10"/>
      <c r="L91" s="10"/>
      <c r="M91" s="10"/>
      <c r="O91" s="186">
        <v>89</v>
      </c>
    </row>
    <row r="92" spans="1:15" x14ac:dyDescent="0.2">
      <c r="A92" s="29">
        <f>IF('Tableaux amortissement proj (2'!A83&gt;0,IF(_tauxactuariel1t,(('Tableaux amortissement proj (2'!A83+1)^(1/_nbechan1t))-1,'Tableaux amortissement proj (2'!A83/_nbechan1t),A91)</f>
        <v>1.5499999999999999E-3</v>
      </c>
      <c r="B92" s="28">
        <f>IF('Tableaux amortissement proj (2'!D83&gt;0,'Tableaux amortissement proj (2'!D83,IF('Tableaux amortissement proj (2'!C83&gt;0,IF(AND(_echfixe1t,A92&gt;0),ROUND(('Tableaux amortissement proj (2'!K83-'Tableaux amortissement proj (2'!B83)*A92/(1-((1+A92)^-'Tableaux amortissement proj (2'!C83)),_nbdeci1t),ROUND('Tableaux amortissement proj (2'!K83/'Tableaux amortissement proj (2'!C83,_nbdeci1t)),B91))</f>
        <v>606.91999999999996</v>
      </c>
      <c r="C92" s="10"/>
      <c r="D92" s="10"/>
      <c r="E92" s="10"/>
      <c r="F92" s="10"/>
      <c r="H92" s="29">
        <f>IF('Tableaux amortissement proj (2'!Q83&gt;0,IF(_tauxactuariel1t1,(('Tableaux amortissement proj (2'!Q83+1)^(1/_nebchan1t))-1,'Tableaux amortissement proj (2'!Q83/_nebchan1t),H91)</f>
        <v>8.3333333333333339E-4</v>
      </c>
      <c r="I92" s="28">
        <f>IF('Tableaux amortissement proj (2'!T83&gt;0,'Tableaux amortissement proj (2'!T83,IF('Tableaux amortissement proj (2'!S83&gt;0,IF(AND(_echfixe12,H92&gt;0),ROUND(('Tableaux amortissement proj (2'!AA83-'Tableaux amortissement proj (2'!R83)*H92/(1-((1+H92)^-'Tableaux amortissement proj (2'!S83)),_nbdeci1t1),ROUND('Tableaux amortissement proj (2'!AA83/'Tableaux amortissement proj (2'!S83,_nbdeci1t1)),I91))</f>
        <v>240200</v>
      </c>
      <c r="J92" s="10"/>
      <c r="K92" s="10"/>
      <c r="L92" s="10"/>
      <c r="M92" s="10"/>
      <c r="O92" s="186">
        <v>90</v>
      </c>
    </row>
    <row r="93" spans="1:15" x14ac:dyDescent="0.2">
      <c r="A93" s="29">
        <f>IF('Tableaux amortissement proj (2'!A84&gt;0,IF(_tauxactuariel1t,(('Tableaux amortissement proj (2'!A84+1)^(1/_nbechan1t))-1,'Tableaux amortissement proj (2'!A84/_nbechan1t),A92)</f>
        <v>1.5499999999999999E-3</v>
      </c>
      <c r="B93" s="28">
        <f>IF('Tableaux amortissement proj (2'!D84&gt;0,'Tableaux amortissement proj (2'!D84,IF('Tableaux amortissement proj (2'!C84&gt;0,IF(AND(_echfixe1t,A93&gt;0),ROUND(('Tableaux amortissement proj (2'!K84-'Tableaux amortissement proj (2'!B84)*A93/(1-((1+A93)^-'Tableaux amortissement proj (2'!C84)),_nbdeci1t),ROUND('Tableaux amortissement proj (2'!K84/'Tableaux amortissement proj (2'!C84,_nbdeci1t)),B92))</f>
        <v>606.91999999999996</v>
      </c>
      <c r="C93" s="10"/>
      <c r="D93" s="10"/>
      <c r="E93" s="10"/>
      <c r="F93" s="10"/>
      <c r="H93" s="29">
        <f>IF('Tableaux amortissement proj (2'!Q84&gt;0,IF(_tauxactuariel1t1,(('Tableaux amortissement proj (2'!Q84+1)^(1/_nebchan1t))-1,'Tableaux amortissement proj (2'!Q84/_nebchan1t),H92)</f>
        <v>8.3333333333333339E-4</v>
      </c>
      <c r="I93" s="28">
        <f>IF('Tableaux amortissement proj (2'!T84&gt;0,'Tableaux amortissement proj (2'!T84,IF('Tableaux amortissement proj (2'!S84&gt;0,IF(AND(_echfixe12,H93&gt;0),ROUND(('Tableaux amortissement proj (2'!AA84-'Tableaux amortissement proj (2'!R84)*H93/(1-((1+H93)^-'Tableaux amortissement proj (2'!S84)),_nbdeci1t1),ROUND('Tableaux amortissement proj (2'!AA84/'Tableaux amortissement proj (2'!S84,_nbdeci1t1)),I92))</f>
        <v>240200</v>
      </c>
      <c r="J93" s="10"/>
      <c r="K93" s="10"/>
      <c r="L93" s="10"/>
      <c r="M93" s="10"/>
      <c r="O93" s="186">
        <v>91</v>
      </c>
    </row>
    <row r="94" spans="1:15" x14ac:dyDescent="0.2">
      <c r="A94" s="29">
        <f>IF('Tableaux amortissement proj (2'!A85&gt;0,IF(_tauxactuariel1t,(('Tableaux amortissement proj (2'!A85+1)^(1/_nbechan1t))-1,'Tableaux amortissement proj (2'!A85/_nbechan1t),A93)</f>
        <v>1.5499999999999999E-3</v>
      </c>
      <c r="B94" s="28">
        <f>IF('Tableaux amortissement proj (2'!D85&gt;0,'Tableaux amortissement proj (2'!D85,IF('Tableaux amortissement proj (2'!C85&gt;0,IF(AND(_echfixe1t,A94&gt;0),ROUND(('Tableaux amortissement proj (2'!K85-'Tableaux amortissement proj (2'!B85)*A94/(1-((1+A94)^-'Tableaux amortissement proj (2'!C85)),_nbdeci1t),ROUND('Tableaux amortissement proj (2'!K85/'Tableaux amortissement proj (2'!C85,_nbdeci1t)),B93))</f>
        <v>606.91999999999996</v>
      </c>
      <c r="C94" s="10"/>
      <c r="D94" s="10"/>
      <c r="E94" s="10"/>
      <c r="F94" s="10"/>
      <c r="H94" s="29">
        <f>IF('Tableaux amortissement proj (2'!Q85&gt;0,IF(_tauxactuariel1t1,(('Tableaux amortissement proj (2'!Q85+1)^(1/_nebchan1t))-1,'Tableaux amortissement proj (2'!Q85/_nebchan1t),H93)</f>
        <v>8.3333333333333339E-4</v>
      </c>
      <c r="I94" s="28">
        <f>IF('Tableaux amortissement proj (2'!T85&gt;0,'Tableaux amortissement proj (2'!T85,IF('Tableaux amortissement proj (2'!S85&gt;0,IF(AND(_echfixe12,H94&gt;0),ROUND(('Tableaux amortissement proj (2'!AA85-'Tableaux amortissement proj (2'!R85)*H94/(1-((1+H94)^-'Tableaux amortissement proj (2'!S85)),_nbdeci1t1),ROUND('Tableaux amortissement proj (2'!AA85/'Tableaux amortissement proj (2'!S85,_nbdeci1t1)),I93))</f>
        <v>240200</v>
      </c>
      <c r="J94" s="10"/>
      <c r="K94" s="10"/>
      <c r="L94" s="10"/>
      <c r="M94" s="10"/>
      <c r="O94" s="186">
        <v>92</v>
      </c>
    </row>
    <row r="95" spans="1:15" x14ac:dyDescent="0.2">
      <c r="A95" s="29">
        <f>IF('Tableaux amortissement proj (2'!A86&gt;0,IF(_tauxactuariel1t,(('Tableaux amortissement proj (2'!A86+1)^(1/_nbechan1t))-1,'Tableaux amortissement proj (2'!A86/_nbechan1t),A94)</f>
        <v>1.5499999999999999E-3</v>
      </c>
      <c r="B95" s="28">
        <f>IF('Tableaux amortissement proj (2'!D86&gt;0,'Tableaux amortissement proj (2'!D86,IF('Tableaux amortissement proj (2'!C86&gt;0,IF(AND(_echfixe1t,A95&gt;0),ROUND(('Tableaux amortissement proj (2'!K86-'Tableaux amortissement proj (2'!B86)*A95/(1-((1+A95)^-'Tableaux amortissement proj (2'!C86)),_nbdeci1t),ROUND('Tableaux amortissement proj (2'!K86/'Tableaux amortissement proj (2'!C86,_nbdeci1t)),B94))</f>
        <v>606.91999999999996</v>
      </c>
      <c r="C95" s="10"/>
      <c r="D95" s="10"/>
      <c r="E95" s="10"/>
      <c r="F95" s="10"/>
      <c r="H95" s="29">
        <f>IF('Tableaux amortissement proj (2'!Q86&gt;0,IF(_tauxactuariel1t1,(('Tableaux amortissement proj (2'!Q86+1)^(1/_nebchan1t))-1,'Tableaux amortissement proj (2'!Q86/_nebchan1t),H94)</f>
        <v>8.3333333333333339E-4</v>
      </c>
      <c r="I95" s="28">
        <f>IF('Tableaux amortissement proj (2'!T86&gt;0,'Tableaux amortissement proj (2'!T86,IF('Tableaux amortissement proj (2'!S86&gt;0,IF(AND(_echfixe12,H95&gt;0),ROUND(('Tableaux amortissement proj (2'!AA86-'Tableaux amortissement proj (2'!R86)*H95/(1-((1+H95)^-'Tableaux amortissement proj (2'!S86)),_nbdeci1t1),ROUND('Tableaux amortissement proj (2'!AA86/'Tableaux amortissement proj (2'!S86,_nbdeci1t1)),I94))</f>
        <v>240200</v>
      </c>
      <c r="J95" s="10"/>
      <c r="K95" s="10"/>
      <c r="L95" s="10"/>
      <c r="M95" s="10"/>
      <c r="O95" s="186">
        <v>93</v>
      </c>
    </row>
    <row r="96" spans="1:15" x14ac:dyDescent="0.2">
      <c r="A96" s="29">
        <f>IF('Tableaux amortissement proj (2'!A87&gt;0,IF(_tauxactuariel1t,(('Tableaux amortissement proj (2'!A87+1)^(1/_nbechan1t))-1,'Tableaux amortissement proj (2'!A87/_nbechan1t),A95)</f>
        <v>1.5499999999999999E-3</v>
      </c>
      <c r="B96" s="28">
        <f>IF('Tableaux amortissement proj (2'!D87&gt;0,'Tableaux amortissement proj (2'!D87,IF('Tableaux amortissement proj (2'!C87&gt;0,IF(AND(_echfixe1t,A96&gt;0),ROUND(('Tableaux amortissement proj (2'!K87-'Tableaux amortissement proj (2'!B87)*A96/(1-((1+A96)^-'Tableaux amortissement proj (2'!C87)),_nbdeci1t),ROUND('Tableaux amortissement proj (2'!K87/'Tableaux amortissement proj (2'!C87,_nbdeci1t)),B95))</f>
        <v>606.91999999999996</v>
      </c>
      <c r="C96" s="10"/>
      <c r="D96" s="10"/>
      <c r="E96" s="10"/>
      <c r="F96" s="10"/>
      <c r="H96" s="29">
        <f>IF('Tableaux amortissement proj (2'!Q87&gt;0,IF(_tauxactuariel1t1,(('Tableaux amortissement proj (2'!Q87+1)^(1/_nebchan1t))-1,'Tableaux amortissement proj (2'!Q87/_nebchan1t),H95)</f>
        <v>8.3333333333333339E-4</v>
      </c>
      <c r="I96" s="28">
        <f>IF('Tableaux amortissement proj (2'!T87&gt;0,'Tableaux amortissement proj (2'!T87,IF('Tableaux amortissement proj (2'!S87&gt;0,IF(AND(_echfixe12,H96&gt;0),ROUND(('Tableaux amortissement proj (2'!AA87-'Tableaux amortissement proj (2'!R87)*H96/(1-((1+H96)^-'Tableaux amortissement proj (2'!S87)),_nbdeci1t1),ROUND('Tableaux amortissement proj (2'!AA87/'Tableaux amortissement proj (2'!S87,_nbdeci1t1)),I95))</f>
        <v>240200</v>
      </c>
      <c r="J96" s="10"/>
      <c r="K96" s="10"/>
      <c r="L96" s="10"/>
      <c r="M96" s="10"/>
      <c r="O96" s="186">
        <v>94</v>
      </c>
    </row>
    <row r="97" spans="1:15" x14ac:dyDescent="0.2">
      <c r="A97" s="29">
        <f>IF('Tableaux amortissement proj (2'!A88&gt;0,IF(_tauxactuariel1t,(('Tableaux amortissement proj (2'!A88+1)^(1/_nbechan1t))-1,'Tableaux amortissement proj (2'!A88/_nbechan1t),A96)</f>
        <v>1.5499999999999999E-3</v>
      </c>
      <c r="B97" s="28">
        <f>IF('Tableaux amortissement proj (2'!D88&gt;0,'Tableaux amortissement proj (2'!D88,IF('Tableaux amortissement proj (2'!C88&gt;0,IF(AND(_echfixe1t,A97&gt;0),ROUND(('Tableaux amortissement proj (2'!K88-'Tableaux amortissement proj (2'!B88)*A97/(1-((1+A97)^-'Tableaux amortissement proj (2'!C88)),_nbdeci1t),ROUND('Tableaux amortissement proj (2'!K88/'Tableaux amortissement proj (2'!C88,_nbdeci1t)),B96))</f>
        <v>606.91999999999996</v>
      </c>
      <c r="C97" s="10"/>
      <c r="D97" s="10"/>
      <c r="E97" s="10"/>
      <c r="F97" s="10"/>
      <c r="H97" s="29">
        <f>IF('Tableaux amortissement proj (2'!Q88&gt;0,IF(_tauxactuariel1t1,(('Tableaux amortissement proj (2'!Q88+1)^(1/_nebchan1t))-1,'Tableaux amortissement proj (2'!Q88/_nebchan1t),H96)</f>
        <v>8.3333333333333339E-4</v>
      </c>
      <c r="I97" s="28">
        <f>IF('Tableaux amortissement proj (2'!T88&gt;0,'Tableaux amortissement proj (2'!T88,IF('Tableaux amortissement proj (2'!S88&gt;0,IF(AND(_echfixe12,H97&gt;0),ROUND(('Tableaux amortissement proj (2'!AA88-'Tableaux amortissement proj (2'!R88)*H97/(1-((1+H97)^-'Tableaux amortissement proj (2'!S88)),_nbdeci1t1),ROUND('Tableaux amortissement proj (2'!AA88/'Tableaux amortissement proj (2'!S88,_nbdeci1t1)),I96))</f>
        <v>240200</v>
      </c>
      <c r="J97" s="10"/>
      <c r="K97" s="10"/>
      <c r="L97" s="10"/>
      <c r="M97" s="10"/>
      <c r="O97" s="186">
        <v>95</v>
      </c>
    </row>
    <row r="98" spans="1:15" x14ac:dyDescent="0.2">
      <c r="A98" s="29">
        <f>IF('Tableaux amortissement proj (2'!A89&gt;0,IF(_tauxactuariel1t,(('Tableaux amortissement proj (2'!A89+1)^(1/_nbechan1t))-1,'Tableaux amortissement proj (2'!A89/_nbechan1t),A97)</f>
        <v>1.5499999999999999E-3</v>
      </c>
      <c r="B98" s="28">
        <f>IF('Tableaux amortissement proj (2'!D89&gt;0,'Tableaux amortissement proj (2'!D89,IF('Tableaux amortissement proj (2'!C89&gt;0,IF(AND(_echfixe1t,A98&gt;0),ROUND(('Tableaux amortissement proj (2'!K89-'Tableaux amortissement proj (2'!B89)*A98/(1-((1+A98)^-'Tableaux amortissement proj (2'!C89)),_nbdeci1t),ROUND('Tableaux amortissement proj (2'!K89/'Tableaux amortissement proj (2'!C89,_nbdeci1t)),B97))</f>
        <v>606.91999999999996</v>
      </c>
      <c r="C98" s="10"/>
      <c r="D98" s="10"/>
      <c r="E98" s="10"/>
      <c r="F98" s="10"/>
      <c r="H98" s="29">
        <f>IF('Tableaux amortissement proj (2'!Q89&gt;0,IF(_tauxactuariel1t1,(('Tableaux amortissement proj (2'!Q89+1)^(1/_nebchan1t))-1,'Tableaux amortissement proj (2'!Q89/_nebchan1t),H97)</f>
        <v>8.3333333333333339E-4</v>
      </c>
      <c r="I98" s="28">
        <f>IF('Tableaux amortissement proj (2'!T89&gt;0,'Tableaux amortissement proj (2'!T89,IF('Tableaux amortissement proj (2'!S89&gt;0,IF(AND(_echfixe12,H98&gt;0),ROUND(('Tableaux amortissement proj (2'!AA89-'Tableaux amortissement proj (2'!R89)*H98/(1-((1+H98)^-'Tableaux amortissement proj (2'!S89)),_nbdeci1t1),ROUND('Tableaux amortissement proj (2'!AA89/'Tableaux amortissement proj (2'!S89,_nbdeci1t1)),I97))</f>
        <v>240200</v>
      </c>
      <c r="J98" s="10"/>
      <c r="K98" s="10"/>
      <c r="L98" s="10"/>
      <c r="M98" s="10"/>
      <c r="O98" s="186">
        <v>96</v>
      </c>
    </row>
    <row r="99" spans="1:15" x14ac:dyDescent="0.2">
      <c r="A99" s="29">
        <f>IF('Tableaux amortissement proj (2'!A90&gt;0,IF(_tauxactuariel1t,(('Tableaux amortissement proj (2'!A90+1)^(1/_nbechan1t))-1,'Tableaux amortissement proj (2'!A90/_nbechan1t),A98)</f>
        <v>1.5499999999999999E-3</v>
      </c>
      <c r="B99" s="28">
        <f>IF('Tableaux amortissement proj (2'!D90&gt;0,'Tableaux amortissement proj (2'!D90,IF('Tableaux amortissement proj (2'!C90&gt;0,IF(AND(_echfixe1t,A99&gt;0),ROUND(('Tableaux amortissement proj (2'!K90-'Tableaux amortissement proj (2'!B90)*A99/(1-((1+A99)^-'Tableaux amortissement proj (2'!C90)),_nbdeci1t),ROUND('Tableaux amortissement proj (2'!K90/'Tableaux amortissement proj (2'!C90,_nbdeci1t)),B98))</f>
        <v>606.91999999999996</v>
      </c>
      <c r="C99" s="10"/>
      <c r="D99" s="10"/>
      <c r="E99" s="10"/>
      <c r="F99" s="10"/>
      <c r="H99" s="29">
        <f>IF('Tableaux amortissement proj (2'!Q90&gt;0,IF(_tauxactuariel1t1,(('Tableaux amortissement proj (2'!Q90+1)^(1/_nebchan1t))-1,'Tableaux amortissement proj (2'!Q90/_nebchan1t),H98)</f>
        <v>8.3333333333333339E-4</v>
      </c>
      <c r="I99" s="28">
        <f>IF('Tableaux amortissement proj (2'!T90&gt;0,'Tableaux amortissement proj (2'!T90,IF('Tableaux amortissement proj (2'!S90&gt;0,IF(AND(_echfixe12,H99&gt;0),ROUND(('Tableaux amortissement proj (2'!AA90-'Tableaux amortissement proj (2'!R90)*H99/(1-((1+H99)^-'Tableaux amortissement proj (2'!S90)),_nbdeci1t1),ROUND('Tableaux amortissement proj (2'!AA90/'Tableaux amortissement proj (2'!S90,_nbdeci1t1)),I98))</f>
        <v>240200</v>
      </c>
      <c r="J99" s="10"/>
      <c r="K99" s="10"/>
      <c r="L99" s="10"/>
      <c r="M99" s="10"/>
      <c r="O99" s="186">
        <v>97</v>
      </c>
    </row>
    <row r="100" spans="1:15" x14ac:dyDescent="0.2">
      <c r="A100" s="29">
        <f>IF('Tableaux amortissement proj (2'!A91&gt;0,IF(_tauxactuariel1t,(('Tableaux amortissement proj (2'!A91+1)^(1/_nbechan1t))-1,'Tableaux amortissement proj (2'!A91/_nbechan1t),A99)</f>
        <v>1.5499999999999999E-3</v>
      </c>
      <c r="B100" s="28">
        <f>IF('Tableaux amortissement proj (2'!D91&gt;0,'Tableaux amortissement proj (2'!D91,IF('Tableaux amortissement proj (2'!C91&gt;0,IF(AND(_echfixe1t,A100&gt;0),ROUND(('Tableaux amortissement proj (2'!K91-'Tableaux amortissement proj (2'!B91)*A100/(1-((1+A100)^-'Tableaux amortissement proj (2'!C91)),_nbdeci1t),ROUND('Tableaux amortissement proj (2'!K91/'Tableaux amortissement proj (2'!C91,_nbdeci1t)),B99))</f>
        <v>606.91999999999996</v>
      </c>
      <c r="C100" s="10"/>
      <c r="D100" s="10"/>
      <c r="E100" s="10"/>
      <c r="F100" s="10"/>
      <c r="H100" s="29">
        <f>IF('Tableaux amortissement proj (2'!Q91&gt;0,IF(_tauxactuariel1t1,(('Tableaux amortissement proj (2'!Q91+1)^(1/_nebchan1t))-1,'Tableaux amortissement proj (2'!Q91/_nebchan1t),H99)</f>
        <v>8.3333333333333339E-4</v>
      </c>
      <c r="I100" s="28">
        <f>IF('Tableaux amortissement proj (2'!T91&gt;0,'Tableaux amortissement proj (2'!T91,IF('Tableaux amortissement proj (2'!S91&gt;0,IF(AND(_echfixe12,H100&gt;0),ROUND(('Tableaux amortissement proj (2'!AA91-'Tableaux amortissement proj (2'!R91)*H100/(1-((1+H100)^-'Tableaux amortissement proj (2'!S91)),_nbdeci1t1),ROUND('Tableaux amortissement proj (2'!AA91/'Tableaux amortissement proj (2'!S91,_nbdeci1t1)),I99))</f>
        <v>240200</v>
      </c>
      <c r="J100" s="10"/>
      <c r="K100" s="10"/>
      <c r="L100" s="10"/>
      <c r="M100" s="10"/>
      <c r="O100" s="186">
        <v>98</v>
      </c>
    </row>
    <row r="101" spans="1:15" x14ac:dyDescent="0.2">
      <c r="A101" s="29">
        <f>IF('Tableaux amortissement proj (2'!A92&gt;0,IF(_tauxactuariel1t,(('Tableaux amortissement proj (2'!A92+1)^(1/_nbechan1t))-1,'Tableaux amortissement proj (2'!A92/_nbechan1t),A100)</f>
        <v>1.5499999999999999E-3</v>
      </c>
      <c r="B101" s="28">
        <f>IF('Tableaux amortissement proj (2'!D92&gt;0,'Tableaux amortissement proj (2'!D92,IF('Tableaux amortissement proj (2'!C92&gt;0,IF(AND(_echfixe1t,A101&gt;0),ROUND(('Tableaux amortissement proj (2'!K92-'Tableaux amortissement proj (2'!B92)*A101/(1-((1+A101)^-'Tableaux amortissement proj (2'!C92)),_nbdeci1t),ROUND('Tableaux amortissement proj (2'!K92/'Tableaux amortissement proj (2'!C92,_nbdeci1t)),B100))</f>
        <v>606.91999999999996</v>
      </c>
      <c r="C101" s="10"/>
      <c r="D101" s="10"/>
      <c r="E101" s="10"/>
      <c r="F101" s="10"/>
      <c r="H101" s="29">
        <f>IF('Tableaux amortissement proj (2'!Q92&gt;0,IF(_tauxactuariel1t1,(('Tableaux amortissement proj (2'!Q92+1)^(1/_nebchan1t))-1,'Tableaux amortissement proj (2'!Q92/_nebchan1t),H100)</f>
        <v>8.3333333333333339E-4</v>
      </c>
      <c r="I101" s="28">
        <f>IF('Tableaux amortissement proj (2'!T92&gt;0,'Tableaux amortissement proj (2'!T92,IF('Tableaux amortissement proj (2'!S92&gt;0,IF(AND(_echfixe12,H101&gt;0),ROUND(('Tableaux amortissement proj (2'!AA92-'Tableaux amortissement proj (2'!R92)*H101/(1-((1+H101)^-'Tableaux amortissement proj (2'!S92)),_nbdeci1t1),ROUND('Tableaux amortissement proj (2'!AA92/'Tableaux amortissement proj (2'!S92,_nbdeci1t1)),I100))</f>
        <v>240200</v>
      </c>
      <c r="J101" s="10"/>
      <c r="K101" s="10"/>
      <c r="L101" s="10"/>
      <c r="M101" s="10"/>
      <c r="O101" s="186">
        <v>99</v>
      </c>
    </row>
    <row r="102" spans="1:15" x14ac:dyDescent="0.2">
      <c r="A102" s="29">
        <f>IF('Tableaux amortissement proj (2'!A93&gt;0,IF(_tauxactuariel1t,(('Tableaux amortissement proj (2'!A93+1)^(1/_nbechan1t))-1,'Tableaux amortissement proj (2'!A93/_nbechan1t),A101)</f>
        <v>1.5499999999999999E-3</v>
      </c>
      <c r="B102" s="28">
        <f>IF('Tableaux amortissement proj (2'!D93&gt;0,'Tableaux amortissement proj (2'!D93,IF('Tableaux amortissement proj (2'!C93&gt;0,IF(AND(_echfixe1t,A102&gt;0),ROUND(('Tableaux amortissement proj (2'!K93-'Tableaux amortissement proj (2'!B93)*A102/(1-((1+A102)^-'Tableaux amortissement proj (2'!C93)),_nbdeci1t),ROUND('Tableaux amortissement proj (2'!K93/'Tableaux amortissement proj (2'!C93,_nbdeci1t)),B101))</f>
        <v>606.91999999999996</v>
      </c>
      <c r="C102" s="10"/>
      <c r="D102" s="10"/>
      <c r="E102" s="10"/>
      <c r="F102" s="10"/>
      <c r="H102" s="29">
        <f>IF('Tableaux amortissement proj (2'!Q93&gt;0,IF(_tauxactuariel1t1,(('Tableaux amortissement proj (2'!Q93+1)^(1/_nebchan1t))-1,'Tableaux amortissement proj (2'!Q93/_nebchan1t),H101)</f>
        <v>8.3333333333333339E-4</v>
      </c>
      <c r="I102" s="28">
        <f>IF('Tableaux amortissement proj (2'!T93&gt;0,'Tableaux amortissement proj (2'!T93,IF('Tableaux amortissement proj (2'!S93&gt;0,IF(AND(_echfixe12,H102&gt;0),ROUND(('Tableaux amortissement proj (2'!AA93-'Tableaux amortissement proj (2'!R93)*H102/(1-((1+H102)^-'Tableaux amortissement proj (2'!S93)),_nbdeci1t1),ROUND('Tableaux amortissement proj (2'!AA93/'Tableaux amortissement proj (2'!S93,_nbdeci1t1)),I101))</f>
        <v>240200</v>
      </c>
      <c r="J102" s="10"/>
      <c r="K102" s="10"/>
      <c r="L102" s="10"/>
      <c r="M102" s="10"/>
      <c r="O102" s="186">
        <v>100</v>
      </c>
    </row>
    <row r="103" spans="1:15" x14ac:dyDescent="0.2">
      <c r="A103" s="29">
        <f>IF('Tableaux amortissement proj (2'!A94&gt;0,IF(_tauxactuariel1t,(('Tableaux amortissement proj (2'!A94+1)^(1/_nbechan1t))-1,'Tableaux amortissement proj (2'!A94/_nbechan1t),A102)</f>
        <v>1.5499999999999999E-3</v>
      </c>
      <c r="B103" s="28">
        <f>IF('Tableaux amortissement proj (2'!D94&gt;0,'Tableaux amortissement proj (2'!D94,IF('Tableaux amortissement proj (2'!C94&gt;0,IF(AND(_echfixe1t,A103&gt;0),ROUND(('Tableaux amortissement proj (2'!K94-'Tableaux amortissement proj (2'!B94)*A103/(1-((1+A103)^-'Tableaux amortissement proj (2'!C94)),_nbdeci1t),ROUND('Tableaux amortissement proj (2'!K94/'Tableaux amortissement proj (2'!C94,_nbdeci1t)),B102))</f>
        <v>606.91999999999996</v>
      </c>
      <c r="C103" s="10"/>
      <c r="D103" s="10"/>
      <c r="E103" s="10"/>
      <c r="F103" s="10"/>
      <c r="H103" s="29">
        <f>IF('Tableaux amortissement proj (2'!Q94&gt;0,IF(_tauxactuariel1t1,(('Tableaux amortissement proj (2'!Q94+1)^(1/_nebchan1t))-1,'Tableaux amortissement proj (2'!Q94/_nebchan1t),H102)</f>
        <v>8.3333333333333339E-4</v>
      </c>
      <c r="I103" s="28">
        <f>IF('Tableaux amortissement proj (2'!T94&gt;0,'Tableaux amortissement proj (2'!T94,IF('Tableaux amortissement proj (2'!S94&gt;0,IF(AND(_echfixe12,H103&gt;0),ROUND(('Tableaux amortissement proj (2'!AA94-'Tableaux amortissement proj (2'!R94)*H103/(1-((1+H103)^-'Tableaux amortissement proj (2'!S94)),_nbdeci1t1),ROUND('Tableaux amortissement proj (2'!AA94/'Tableaux amortissement proj (2'!S94,_nbdeci1t1)),I102))</f>
        <v>240200</v>
      </c>
      <c r="J103" s="10"/>
      <c r="K103" s="10"/>
      <c r="L103" s="10"/>
      <c r="M103" s="10"/>
      <c r="O103" s="186">
        <v>101</v>
      </c>
    </row>
    <row r="104" spans="1:15" x14ac:dyDescent="0.2">
      <c r="A104" s="29">
        <f>IF('Tableaux amortissement proj (2'!A95&gt;0,IF(_tauxactuariel1t,(('Tableaux amortissement proj (2'!A95+1)^(1/_nbechan1t))-1,'Tableaux amortissement proj (2'!A95/_nbechan1t),A103)</f>
        <v>1.5499999999999999E-3</v>
      </c>
      <c r="B104" s="28">
        <f>IF('Tableaux amortissement proj (2'!D95&gt;0,'Tableaux amortissement proj (2'!D95,IF('Tableaux amortissement proj (2'!C95&gt;0,IF(AND(_echfixe1t,A104&gt;0),ROUND(('Tableaux amortissement proj (2'!K95-'Tableaux amortissement proj (2'!B95)*A104/(1-((1+A104)^-'Tableaux amortissement proj (2'!C95)),_nbdeci1t),ROUND('Tableaux amortissement proj (2'!K95/'Tableaux amortissement proj (2'!C95,_nbdeci1t)),B103))</f>
        <v>606.91999999999996</v>
      </c>
      <c r="C104" s="10"/>
      <c r="D104" s="10"/>
      <c r="E104" s="10"/>
      <c r="F104" s="10"/>
      <c r="H104" s="29">
        <f>IF('Tableaux amortissement proj (2'!Q95&gt;0,IF(_tauxactuariel1t1,(('Tableaux amortissement proj (2'!Q95+1)^(1/_nebchan1t))-1,'Tableaux amortissement proj (2'!Q95/_nebchan1t),H103)</f>
        <v>8.3333333333333339E-4</v>
      </c>
      <c r="I104" s="28">
        <f>IF('Tableaux amortissement proj (2'!T95&gt;0,'Tableaux amortissement proj (2'!T95,IF('Tableaux amortissement proj (2'!S95&gt;0,IF(AND(_echfixe12,H104&gt;0),ROUND(('Tableaux amortissement proj (2'!AA95-'Tableaux amortissement proj (2'!R95)*H104/(1-((1+H104)^-'Tableaux amortissement proj (2'!S95)),_nbdeci1t1),ROUND('Tableaux amortissement proj (2'!AA95/'Tableaux amortissement proj (2'!S95,_nbdeci1t1)),I103))</f>
        <v>240200</v>
      </c>
      <c r="J104" s="10"/>
      <c r="K104" s="10"/>
      <c r="L104" s="10"/>
      <c r="M104" s="10"/>
      <c r="O104" s="186">
        <v>102</v>
      </c>
    </row>
    <row r="105" spans="1:15" x14ac:dyDescent="0.2">
      <c r="A105" s="29">
        <f>IF('Tableaux amortissement proj (2'!A96&gt;0,IF(_tauxactuariel1t,(('Tableaux amortissement proj (2'!A96+1)^(1/_nbechan1t))-1,'Tableaux amortissement proj (2'!A96/_nbechan1t),A104)</f>
        <v>1.5499999999999999E-3</v>
      </c>
      <c r="B105" s="28">
        <f>IF('Tableaux amortissement proj (2'!D96&gt;0,'Tableaux amortissement proj (2'!D96,IF('Tableaux amortissement proj (2'!C96&gt;0,IF(AND(_echfixe1t,A105&gt;0),ROUND(('Tableaux amortissement proj (2'!K96-'Tableaux amortissement proj (2'!B96)*A105/(1-((1+A105)^-'Tableaux amortissement proj (2'!C96)),_nbdeci1t),ROUND('Tableaux amortissement proj (2'!K96/'Tableaux amortissement proj (2'!C96,_nbdeci1t)),B104))</f>
        <v>606.91999999999996</v>
      </c>
      <c r="C105" s="10"/>
      <c r="D105" s="10"/>
      <c r="E105" s="10"/>
      <c r="F105" s="10"/>
      <c r="H105" s="29">
        <f>IF('Tableaux amortissement proj (2'!Q96&gt;0,IF(_tauxactuariel1t1,(('Tableaux amortissement proj (2'!Q96+1)^(1/_nebchan1t))-1,'Tableaux amortissement proj (2'!Q96/_nebchan1t),H104)</f>
        <v>8.3333333333333339E-4</v>
      </c>
      <c r="I105" s="28">
        <f>IF('Tableaux amortissement proj (2'!T96&gt;0,'Tableaux amortissement proj (2'!T96,IF('Tableaux amortissement proj (2'!S96&gt;0,IF(AND(_echfixe12,H105&gt;0),ROUND(('Tableaux amortissement proj (2'!AA96-'Tableaux amortissement proj (2'!R96)*H105/(1-((1+H105)^-'Tableaux amortissement proj (2'!S96)),_nbdeci1t1),ROUND('Tableaux amortissement proj (2'!AA96/'Tableaux amortissement proj (2'!S96,_nbdeci1t1)),I104))</f>
        <v>240200</v>
      </c>
      <c r="J105" s="10"/>
      <c r="K105" s="10"/>
      <c r="L105" s="10"/>
      <c r="M105" s="10"/>
      <c r="O105" s="186">
        <v>103</v>
      </c>
    </row>
    <row r="106" spans="1:15" x14ac:dyDescent="0.2">
      <c r="A106" s="29">
        <f>IF('Tableaux amortissement proj (2'!A97&gt;0,IF(_tauxactuariel1t,(('Tableaux amortissement proj (2'!A97+1)^(1/_nbechan1t))-1,'Tableaux amortissement proj (2'!A97/_nbechan1t),A105)</f>
        <v>1.5499999999999999E-3</v>
      </c>
      <c r="B106" s="28">
        <f>IF('Tableaux amortissement proj (2'!D97&gt;0,'Tableaux amortissement proj (2'!D97,IF('Tableaux amortissement proj (2'!C97&gt;0,IF(AND(_echfixe1t,A106&gt;0),ROUND(('Tableaux amortissement proj (2'!K97-'Tableaux amortissement proj (2'!B97)*A106/(1-((1+A106)^-'Tableaux amortissement proj (2'!C97)),_nbdeci1t),ROUND('Tableaux amortissement proj (2'!K97/'Tableaux amortissement proj (2'!C97,_nbdeci1t)),B105))</f>
        <v>606.91999999999996</v>
      </c>
      <c r="C106" s="10"/>
      <c r="D106" s="10"/>
      <c r="E106" s="10"/>
      <c r="F106" s="10"/>
      <c r="H106" s="29">
        <f>IF('Tableaux amortissement proj (2'!Q97&gt;0,IF(_tauxactuariel1t1,(('Tableaux amortissement proj (2'!Q97+1)^(1/_nebchan1t))-1,'Tableaux amortissement proj (2'!Q97/_nebchan1t),H105)</f>
        <v>8.3333333333333339E-4</v>
      </c>
      <c r="I106" s="28">
        <f>IF('Tableaux amortissement proj (2'!T97&gt;0,'Tableaux amortissement proj (2'!T97,IF('Tableaux amortissement proj (2'!S97&gt;0,IF(AND(_echfixe12,H106&gt;0),ROUND(('Tableaux amortissement proj (2'!AA97-'Tableaux amortissement proj (2'!R97)*H106/(1-((1+H106)^-'Tableaux amortissement proj (2'!S97)),_nbdeci1t1),ROUND('Tableaux amortissement proj (2'!AA97/'Tableaux amortissement proj (2'!S97,_nbdeci1t1)),I105))</f>
        <v>240200</v>
      </c>
      <c r="J106" s="10"/>
      <c r="K106" s="10"/>
      <c r="L106" s="10"/>
      <c r="M106" s="10"/>
      <c r="O106" s="186">
        <v>104</v>
      </c>
    </row>
    <row r="107" spans="1:15" x14ac:dyDescent="0.2">
      <c r="A107" s="29">
        <f>IF('Tableaux amortissement proj (2'!A98&gt;0,IF(_tauxactuariel1t,(('Tableaux amortissement proj (2'!A98+1)^(1/_nbechan1t))-1,'Tableaux amortissement proj (2'!A98/_nbechan1t),A106)</f>
        <v>1.5499999999999999E-3</v>
      </c>
      <c r="B107" s="28">
        <f>IF('Tableaux amortissement proj (2'!D98&gt;0,'Tableaux amortissement proj (2'!D98,IF('Tableaux amortissement proj (2'!C98&gt;0,IF(AND(_echfixe1t,A107&gt;0),ROUND(('Tableaux amortissement proj (2'!K98-'Tableaux amortissement proj (2'!B98)*A107/(1-((1+A107)^-'Tableaux amortissement proj (2'!C98)),_nbdeci1t),ROUND('Tableaux amortissement proj (2'!K98/'Tableaux amortissement proj (2'!C98,_nbdeci1t)),B106))</f>
        <v>606.91999999999996</v>
      </c>
      <c r="C107" s="10"/>
      <c r="D107" s="10"/>
      <c r="E107" s="10"/>
      <c r="F107" s="10"/>
      <c r="H107" s="29">
        <f>IF('Tableaux amortissement proj (2'!Q98&gt;0,IF(_tauxactuariel1t1,(('Tableaux amortissement proj (2'!Q98+1)^(1/_nebchan1t))-1,'Tableaux amortissement proj (2'!Q98/_nebchan1t),H106)</f>
        <v>8.3333333333333339E-4</v>
      </c>
      <c r="I107" s="28">
        <f>IF('Tableaux amortissement proj (2'!T98&gt;0,'Tableaux amortissement proj (2'!T98,IF('Tableaux amortissement proj (2'!S98&gt;0,IF(AND(_echfixe12,H107&gt;0),ROUND(('Tableaux amortissement proj (2'!AA98-'Tableaux amortissement proj (2'!R98)*H107/(1-((1+H107)^-'Tableaux amortissement proj (2'!S98)),_nbdeci1t1),ROUND('Tableaux amortissement proj (2'!AA98/'Tableaux amortissement proj (2'!S98,_nbdeci1t1)),I106))</f>
        <v>240200</v>
      </c>
      <c r="J107" s="10"/>
      <c r="K107" s="10"/>
      <c r="L107" s="10"/>
      <c r="M107" s="10"/>
      <c r="O107" s="186">
        <v>105</v>
      </c>
    </row>
    <row r="108" spans="1:15" x14ac:dyDescent="0.2">
      <c r="A108" s="29">
        <f>IF('Tableaux amortissement proj (2'!A99&gt;0,IF(_tauxactuariel1t,(('Tableaux amortissement proj (2'!A99+1)^(1/_nbechan1t))-1,'Tableaux amortissement proj (2'!A99/_nbechan1t),A107)</f>
        <v>1.5499999999999999E-3</v>
      </c>
      <c r="B108" s="28">
        <f>IF('Tableaux amortissement proj (2'!D99&gt;0,'Tableaux amortissement proj (2'!D99,IF('Tableaux amortissement proj (2'!C99&gt;0,IF(AND(_echfixe1t,A108&gt;0),ROUND(('Tableaux amortissement proj (2'!K99-'Tableaux amortissement proj (2'!B99)*A108/(1-((1+A108)^-'Tableaux amortissement proj (2'!C99)),_nbdeci1t),ROUND('Tableaux amortissement proj (2'!K99/'Tableaux amortissement proj (2'!C99,_nbdeci1t)),B107))</f>
        <v>606.91999999999996</v>
      </c>
      <c r="C108" s="10"/>
      <c r="D108" s="10"/>
      <c r="E108" s="10"/>
      <c r="F108" s="10"/>
      <c r="H108" s="29">
        <f>IF('Tableaux amortissement proj (2'!Q99&gt;0,IF(_tauxactuariel1t1,(('Tableaux amortissement proj (2'!Q99+1)^(1/_nebchan1t))-1,'Tableaux amortissement proj (2'!Q99/_nebchan1t),H107)</f>
        <v>8.3333333333333339E-4</v>
      </c>
      <c r="I108" s="28">
        <f>IF('Tableaux amortissement proj (2'!T99&gt;0,'Tableaux amortissement proj (2'!T99,IF('Tableaux amortissement proj (2'!S99&gt;0,IF(AND(_echfixe12,H108&gt;0),ROUND(('Tableaux amortissement proj (2'!AA99-'Tableaux amortissement proj (2'!R99)*H108/(1-((1+H108)^-'Tableaux amortissement proj (2'!S99)),_nbdeci1t1),ROUND('Tableaux amortissement proj (2'!AA99/'Tableaux amortissement proj (2'!S99,_nbdeci1t1)),I107))</f>
        <v>240200</v>
      </c>
      <c r="J108" s="10"/>
      <c r="K108" s="10"/>
      <c r="L108" s="10"/>
      <c r="M108" s="10"/>
      <c r="O108" s="186">
        <v>106</v>
      </c>
    </row>
    <row r="109" spans="1:15" x14ac:dyDescent="0.2">
      <c r="A109" s="29">
        <f>IF('Tableaux amortissement proj (2'!A100&gt;0,IF(_tauxactuariel1t,(('Tableaux amortissement proj (2'!A100+1)^(1/_nbechan1t))-1,'Tableaux amortissement proj (2'!A100/_nbechan1t),A108)</f>
        <v>1.5499999999999999E-3</v>
      </c>
      <c r="B109" s="28">
        <f>IF('Tableaux amortissement proj (2'!D100&gt;0,'Tableaux amortissement proj (2'!D100,IF('Tableaux amortissement proj (2'!C100&gt;0,IF(AND(_echfixe1t,A109&gt;0),ROUND(('Tableaux amortissement proj (2'!K100-'Tableaux amortissement proj (2'!B100)*A109/(1-((1+A109)^-'Tableaux amortissement proj (2'!C100)),_nbdeci1t),ROUND('Tableaux amortissement proj (2'!K100/'Tableaux amortissement proj (2'!C100,_nbdeci1t)),B108))</f>
        <v>606.91999999999996</v>
      </c>
      <c r="C109" s="10"/>
      <c r="D109" s="10"/>
      <c r="E109" s="10"/>
      <c r="F109" s="10"/>
      <c r="H109" s="29">
        <f>IF('Tableaux amortissement proj (2'!Q100&gt;0,IF(_tauxactuariel1t1,(('Tableaux amortissement proj (2'!Q100+1)^(1/_nebchan1t))-1,'Tableaux amortissement proj (2'!Q100/_nebchan1t),H108)</f>
        <v>8.3333333333333339E-4</v>
      </c>
      <c r="I109" s="28">
        <f>IF('Tableaux amortissement proj (2'!T100&gt;0,'Tableaux amortissement proj (2'!T100,IF('Tableaux amortissement proj (2'!S100&gt;0,IF(AND(_echfixe12,H109&gt;0),ROUND(('Tableaux amortissement proj (2'!AA100-'Tableaux amortissement proj (2'!R100)*H109/(1-((1+H109)^-'Tableaux amortissement proj (2'!S100)),_nbdeci1t1),ROUND('Tableaux amortissement proj (2'!AA100/'Tableaux amortissement proj (2'!S100,_nbdeci1t1)),I108))</f>
        <v>240200</v>
      </c>
      <c r="J109" s="10"/>
      <c r="K109" s="10"/>
      <c r="L109" s="10"/>
      <c r="M109" s="10"/>
      <c r="O109" s="186">
        <v>107</v>
      </c>
    </row>
    <row r="110" spans="1:15" x14ac:dyDescent="0.2">
      <c r="A110" s="29">
        <f>IF('Tableaux amortissement proj (2'!A101&gt;0,IF(_tauxactuariel1t,(('Tableaux amortissement proj (2'!A101+1)^(1/_nbechan1t))-1,'Tableaux amortissement proj (2'!A101/_nbechan1t),A109)</f>
        <v>1.5499999999999999E-3</v>
      </c>
      <c r="B110" s="28">
        <f>IF('Tableaux amortissement proj (2'!D101&gt;0,'Tableaux amortissement proj (2'!D101,IF('Tableaux amortissement proj (2'!C101&gt;0,IF(AND(_echfixe1t,A110&gt;0),ROUND(('Tableaux amortissement proj (2'!K101-'Tableaux amortissement proj (2'!B101)*A110/(1-((1+A110)^-'Tableaux amortissement proj (2'!C101)),_nbdeci1t),ROUND('Tableaux amortissement proj (2'!K101/'Tableaux amortissement proj (2'!C101,_nbdeci1t)),B109))</f>
        <v>606.91999999999996</v>
      </c>
      <c r="C110" s="10"/>
      <c r="D110" s="10"/>
      <c r="E110" s="10"/>
      <c r="F110" s="10"/>
      <c r="H110" s="29">
        <f>IF('Tableaux amortissement proj (2'!Q101&gt;0,IF(_tauxactuariel1t1,(('Tableaux amortissement proj (2'!Q101+1)^(1/_nebchan1t))-1,'Tableaux amortissement proj (2'!Q101/_nebchan1t),H109)</f>
        <v>8.3333333333333339E-4</v>
      </c>
      <c r="I110" s="28">
        <f>IF('Tableaux amortissement proj (2'!T101&gt;0,'Tableaux amortissement proj (2'!T101,IF('Tableaux amortissement proj (2'!S101&gt;0,IF(AND(_echfixe12,H110&gt;0),ROUND(('Tableaux amortissement proj (2'!AA101-'Tableaux amortissement proj (2'!R101)*H110/(1-((1+H110)^-'Tableaux amortissement proj (2'!S101)),_nbdeci1t1),ROUND('Tableaux amortissement proj (2'!AA101/'Tableaux amortissement proj (2'!S101,_nbdeci1t1)),I109))</f>
        <v>240200</v>
      </c>
      <c r="J110" s="10"/>
      <c r="K110" s="10"/>
      <c r="L110" s="10"/>
      <c r="M110" s="10"/>
      <c r="O110" s="186">
        <v>108</v>
      </c>
    </row>
    <row r="111" spans="1:15" x14ac:dyDescent="0.2">
      <c r="A111" s="29">
        <f>IF('Tableaux amortissement proj (2'!A102&gt;0,IF(_tauxactuariel1t,(('Tableaux amortissement proj (2'!A102+1)^(1/_nbechan1t))-1,'Tableaux amortissement proj (2'!A102/_nbechan1t),A110)</f>
        <v>1.5499999999999999E-3</v>
      </c>
      <c r="B111" s="28">
        <f>IF('Tableaux amortissement proj (2'!D102&gt;0,'Tableaux amortissement proj (2'!D102,IF('Tableaux amortissement proj (2'!C102&gt;0,IF(AND(_echfixe1t,A111&gt;0),ROUND(('Tableaux amortissement proj (2'!K102-'Tableaux amortissement proj (2'!B102)*A111/(1-((1+A111)^-'Tableaux amortissement proj (2'!C102)),_nbdeci1t),ROUND('Tableaux amortissement proj (2'!K102/'Tableaux amortissement proj (2'!C102,_nbdeci1t)),B110))</f>
        <v>606.91999999999996</v>
      </c>
      <c r="C111" s="10"/>
      <c r="D111" s="10"/>
      <c r="E111" s="10"/>
      <c r="F111" s="10"/>
      <c r="H111" s="29">
        <f>IF('Tableaux amortissement proj (2'!Q102&gt;0,IF(_tauxactuariel1t1,(('Tableaux amortissement proj (2'!Q102+1)^(1/_nebchan1t))-1,'Tableaux amortissement proj (2'!Q102/_nebchan1t),H110)</f>
        <v>8.3333333333333339E-4</v>
      </c>
      <c r="I111" s="28">
        <f>IF('Tableaux amortissement proj (2'!T102&gt;0,'Tableaux amortissement proj (2'!T102,IF('Tableaux amortissement proj (2'!S102&gt;0,IF(AND(_echfixe12,H111&gt;0),ROUND(('Tableaux amortissement proj (2'!AA102-'Tableaux amortissement proj (2'!R102)*H111/(1-((1+H111)^-'Tableaux amortissement proj (2'!S102)),_nbdeci1t1),ROUND('Tableaux amortissement proj (2'!AA102/'Tableaux amortissement proj (2'!S102,_nbdeci1t1)),I110))</f>
        <v>240200</v>
      </c>
      <c r="J111" s="10"/>
      <c r="K111" s="10"/>
      <c r="L111" s="10"/>
      <c r="M111" s="10"/>
      <c r="O111" s="186">
        <v>109</v>
      </c>
    </row>
    <row r="112" spans="1:15" x14ac:dyDescent="0.2">
      <c r="A112" s="29">
        <f>IF('Tableaux amortissement proj (2'!A103&gt;0,IF(_tauxactuariel1t,(('Tableaux amortissement proj (2'!A103+1)^(1/_nbechan1t))-1,'Tableaux amortissement proj (2'!A103/_nbechan1t),A111)</f>
        <v>1.5499999999999999E-3</v>
      </c>
      <c r="B112" s="28">
        <f>IF('Tableaux amortissement proj (2'!D103&gt;0,'Tableaux amortissement proj (2'!D103,IF('Tableaux amortissement proj (2'!C103&gt;0,IF(AND(_echfixe1t,A112&gt;0),ROUND(('Tableaux amortissement proj (2'!K103-'Tableaux amortissement proj (2'!B103)*A112/(1-((1+A112)^-'Tableaux amortissement proj (2'!C103)),_nbdeci1t),ROUND('Tableaux amortissement proj (2'!K103/'Tableaux amortissement proj (2'!C103,_nbdeci1t)),B111))</f>
        <v>606.91999999999996</v>
      </c>
      <c r="C112" s="10"/>
      <c r="D112" s="10"/>
      <c r="E112" s="10"/>
      <c r="F112" s="10"/>
      <c r="H112" s="29">
        <f>IF('Tableaux amortissement proj (2'!Q103&gt;0,IF(_tauxactuariel1t1,(('Tableaux amortissement proj (2'!Q103+1)^(1/_nebchan1t))-1,'Tableaux amortissement proj (2'!Q103/_nebchan1t),H111)</f>
        <v>8.3333333333333339E-4</v>
      </c>
      <c r="I112" s="28">
        <f>IF('Tableaux amortissement proj (2'!T103&gt;0,'Tableaux amortissement proj (2'!T103,IF('Tableaux amortissement proj (2'!S103&gt;0,IF(AND(_echfixe12,H112&gt;0),ROUND(('Tableaux amortissement proj (2'!AA103-'Tableaux amortissement proj (2'!R103)*H112/(1-((1+H112)^-'Tableaux amortissement proj (2'!S103)),_nbdeci1t1),ROUND('Tableaux amortissement proj (2'!AA103/'Tableaux amortissement proj (2'!S103,_nbdeci1t1)),I111))</f>
        <v>240200</v>
      </c>
      <c r="J112" s="10"/>
      <c r="K112" s="10"/>
      <c r="L112" s="10"/>
      <c r="M112" s="10"/>
      <c r="O112" s="186">
        <v>110</v>
      </c>
    </row>
    <row r="113" spans="1:15" x14ac:dyDescent="0.2">
      <c r="A113" s="29">
        <f>IF('Tableaux amortissement proj (2'!A104&gt;0,IF(_tauxactuariel1t,(('Tableaux amortissement proj (2'!A104+1)^(1/_nbechan1t))-1,'Tableaux amortissement proj (2'!A104/_nbechan1t),A112)</f>
        <v>1.5499999999999999E-3</v>
      </c>
      <c r="B113" s="28">
        <f>IF('Tableaux amortissement proj (2'!D104&gt;0,'Tableaux amortissement proj (2'!D104,IF('Tableaux amortissement proj (2'!C104&gt;0,IF(AND(_echfixe1t,A113&gt;0),ROUND(('Tableaux amortissement proj (2'!K104-'Tableaux amortissement proj (2'!B104)*A113/(1-((1+A113)^-'Tableaux amortissement proj (2'!C104)),_nbdeci1t),ROUND('Tableaux amortissement proj (2'!K104/'Tableaux amortissement proj (2'!C104,_nbdeci1t)),B112))</f>
        <v>606.91999999999996</v>
      </c>
      <c r="C113" s="10"/>
      <c r="D113" s="10"/>
      <c r="E113" s="10"/>
      <c r="F113" s="10"/>
      <c r="H113" s="29">
        <f>IF('Tableaux amortissement proj (2'!Q104&gt;0,IF(_tauxactuariel1t1,(('Tableaux amortissement proj (2'!Q104+1)^(1/_nebchan1t))-1,'Tableaux amortissement proj (2'!Q104/_nebchan1t),H112)</f>
        <v>8.3333333333333339E-4</v>
      </c>
      <c r="I113" s="28">
        <f>IF('Tableaux amortissement proj (2'!T104&gt;0,'Tableaux amortissement proj (2'!T104,IF('Tableaux amortissement proj (2'!S104&gt;0,IF(AND(_echfixe12,H113&gt;0),ROUND(('Tableaux amortissement proj (2'!AA104-'Tableaux amortissement proj (2'!R104)*H113/(1-((1+H113)^-'Tableaux amortissement proj (2'!S104)),_nbdeci1t1),ROUND('Tableaux amortissement proj (2'!AA104/'Tableaux amortissement proj (2'!S104,_nbdeci1t1)),I112))</f>
        <v>240200</v>
      </c>
      <c r="J113" s="10"/>
      <c r="K113" s="10"/>
      <c r="L113" s="10"/>
      <c r="M113" s="10"/>
      <c r="O113" s="186">
        <v>111</v>
      </c>
    </row>
    <row r="114" spans="1:15" x14ac:dyDescent="0.2">
      <c r="A114" s="29">
        <f>IF('Tableaux amortissement proj (2'!A105&gt;0,IF(_tauxactuariel1t,(('Tableaux amortissement proj (2'!A105+1)^(1/_nbechan1t))-1,'Tableaux amortissement proj (2'!A105/_nbechan1t),A113)</f>
        <v>1.5499999999999999E-3</v>
      </c>
      <c r="B114" s="28">
        <f>IF('Tableaux amortissement proj (2'!D105&gt;0,'Tableaux amortissement proj (2'!D105,IF('Tableaux amortissement proj (2'!C105&gt;0,IF(AND(_echfixe1t,A114&gt;0),ROUND(('Tableaux amortissement proj (2'!K105-'Tableaux amortissement proj (2'!B105)*A114/(1-((1+A114)^-'Tableaux amortissement proj (2'!C105)),_nbdeci1t),ROUND('Tableaux amortissement proj (2'!K105/'Tableaux amortissement proj (2'!C105,_nbdeci1t)),B113))</f>
        <v>606.91999999999996</v>
      </c>
      <c r="C114" s="10"/>
      <c r="D114" s="10"/>
      <c r="E114" s="10"/>
      <c r="F114" s="10"/>
      <c r="H114" s="29">
        <f>IF('Tableaux amortissement proj (2'!Q105&gt;0,IF(_tauxactuariel1t1,(('Tableaux amortissement proj (2'!Q105+1)^(1/_nebchan1t))-1,'Tableaux amortissement proj (2'!Q105/_nebchan1t),H113)</f>
        <v>8.3333333333333339E-4</v>
      </c>
      <c r="I114" s="28">
        <f>IF('Tableaux amortissement proj (2'!T105&gt;0,'Tableaux amortissement proj (2'!T105,IF('Tableaux amortissement proj (2'!S105&gt;0,IF(AND(_echfixe12,H114&gt;0),ROUND(('Tableaux amortissement proj (2'!AA105-'Tableaux amortissement proj (2'!R105)*H114/(1-((1+H114)^-'Tableaux amortissement proj (2'!S105)),_nbdeci1t1),ROUND('Tableaux amortissement proj (2'!AA105/'Tableaux amortissement proj (2'!S105,_nbdeci1t1)),I113))</f>
        <v>240200</v>
      </c>
      <c r="J114" s="10"/>
      <c r="K114" s="10"/>
      <c r="L114" s="10"/>
      <c r="M114" s="10"/>
      <c r="O114" s="186">
        <v>112</v>
      </c>
    </row>
    <row r="115" spans="1:15" x14ac:dyDescent="0.2">
      <c r="A115" s="29">
        <f>IF('Tableaux amortissement proj (2'!A106&gt;0,IF(_tauxactuariel1t,(('Tableaux amortissement proj (2'!A106+1)^(1/_nbechan1t))-1,'Tableaux amortissement proj (2'!A106/_nbechan1t),A114)</f>
        <v>1.5499999999999999E-3</v>
      </c>
      <c r="B115" s="28">
        <f>IF('Tableaux amortissement proj (2'!D106&gt;0,'Tableaux amortissement proj (2'!D106,IF('Tableaux amortissement proj (2'!C106&gt;0,IF(AND(_echfixe1t,A115&gt;0),ROUND(('Tableaux amortissement proj (2'!K106-'Tableaux amortissement proj (2'!B106)*A115/(1-((1+A115)^-'Tableaux amortissement proj (2'!C106)),_nbdeci1t),ROUND('Tableaux amortissement proj (2'!K106/'Tableaux amortissement proj (2'!C106,_nbdeci1t)),B114))</f>
        <v>606.91999999999996</v>
      </c>
      <c r="C115" s="10"/>
      <c r="D115" s="10"/>
      <c r="E115" s="10"/>
      <c r="F115" s="10"/>
      <c r="H115" s="29">
        <f>IF('Tableaux amortissement proj (2'!Q106&gt;0,IF(_tauxactuariel1t1,(('Tableaux amortissement proj (2'!Q106+1)^(1/_nebchan1t))-1,'Tableaux amortissement proj (2'!Q106/_nebchan1t),H114)</f>
        <v>8.3333333333333339E-4</v>
      </c>
      <c r="I115" s="28">
        <f>IF('Tableaux amortissement proj (2'!T106&gt;0,'Tableaux amortissement proj (2'!T106,IF('Tableaux amortissement proj (2'!S106&gt;0,IF(AND(_echfixe12,H115&gt;0),ROUND(('Tableaux amortissement proj (2'!AA106-'Tableaux amortissement proj (2'!R106)*H115/(1-((1+H115)^-'Tableaux amortissement proj (2'!S106)),_nbdeci1t1),ROUND('Tableaux amortissement proj (2'!AA106/'Tableaux amortissement proj (2'!S106,_nbdeci1t1)),I114))</f>
        <v>240200</v>
      </c>
      <c r="J115" s="10"/>
      <c r="K115" s="10"/>
      <c r="L115" s="10"/>
      <c r="M115" s="10"/>
      <c r="O115" s="186">
        <v>113</v>
      </c>
    </row>
    <row r="116" spans="1:15" x14ac:dyDescent="0.2">
      <c r="A116" s="29">
        <f>IF('Tableaux amortissement proj (2'!A107&gt;0,IF(_tauxactuariel1t,(('Tableaux amortissement proj (2'!A107+1)^(1/_nbechan1t))-1,'Tableaux amortissement proj (2'!A107/_nbechan1t),A115)</f>
        <v>1.5499999999999999E-3</v>
      </c>
      <c r="B116" s="28">
        <f>IF('Tableaux amortissement proj (2'!D107&gt;0,'Tableaux amortissement proj (2'!D107,IF('Tableaux amortissement proj (2'!C107&gt;0,IF(AND(_echfixe1t,A116&gt;0),ROUND(('Tableaux amortissement proj (2'!K107-'Tableaux amortissement proj (2'!B107)*A116/(1-((1+A116)^-'Tableaux amortissement proj (2'!C107)),_nbdeci1t),ROUND('Tableaux amortissement proj (2'!K107/'Tableaux amortissement proj (2'!C107,_nbdeci1t)),B115))</f>
        <v>606.91999999999996</v>
      </c>
      <c r="C116" s="10"/>
      <c r="D116" s="10"/>
      <c r="E116" s="10"/>
      <c r="F116" s="10"/>
      <c r="H116" s="29">
        <f>IF('Tableaux amortissement proj (2'!Q107&gt;0,IF(_tauxactuariel1t1,(('Tableaux amortissement proj (2'!Q107+1)^(1/_nebchan1t))-1,'Tableaux amortissement proj (2'!Q107/_nebchan1t),H115)</f>
        <v>8.3333333333333339E-4</v>
      </c>
      <c r="I116" s="28">
        <f>IF('Tableaux amortissement proj (2'!T107&gt;0,'Tableaux amortissement proj (2'!T107,IF('Tableaux amortissement proj (2'!S107&gt;0,IF(AND(_echfixe12,H116&gt;0),ROUND(('Tableaux amortissement proj (2'!AA107-'Tableaux amortissement proj (2'!R107)*H116/(1-((1+H116)^-'Tableaux amortissement proj (2'!S107)),_nbdeci1t1),ROUND('Tableaux amortissement proj (2'!AA107/'Tableaux amortissement proj (2'!S107,_nbdeci1t1)),I115))</f>
        <v>240200</v>
      </c>
      <c r="J116" s="10"/>
      <c r="K116" s="10"/>
      <c r="L116" s="10"/>
      <c r="M116" s="10"/>
      <c r="O116" s="186">
        <v>114</v>
      </c>
    </row>
    <row r="117" spans="1:15" x14ac:dyDescent="0.2">
      <c r="A117" s="29">
        <f>IF('Tableaux amortissement proj (2'!A108&gt;0,IF(_tauxactuariel1t,(('Tableaux amortissement proj (2'!A108+1)^(1/_nbechan1t))-1,'Tableaux amortissement proj (2'!A108/_nbechan1t),A116)</f>
        <v>1.5499999999999999E-3</v>
      </c>
      <c r="B117" s="28">
        <f>IF('Tableaux amortissement proj (2'!D108&gt;0,'Tableaux amortissement proj (2'!D108,IF('Tableaux amortissement proj (2'!C108&gt;0,IF(AND(_echfixe1t,A117&gt;0),ROUND(('Tableaux amortissement proj (2'!K108-'Tableaux amortissement proj (2'!B108)*A117/(1-((1+A117)^-'Tableaux amortissement proj (2'!C108)),_nbdeci1t),ROUND('Tableaux amortissement proj (2'!K108/'Tableaux amortissement proj (2'!C108,_nbdeci1t)),B116))</f>
        <v>606.91999999999996</v>
      </c>
      <c r="C117" s="10"/>
      <c r="D117" s="10"/>
      <c r="E117" s="10"/>
      <c r="F117" s="10"/>
      <c r="H117" s="29">
        <f>IF('Tableaux amortissement proj (2'!Q108&gt;0,IF(_tauxactuariel1t1,(('Tableaux amortissement proj (2'!Q108+1)^(1/_nebchan1t))-1,'Tableaux amortissement proj (2'!Q108/_nebchan1t),H116)</f>
        <v>8.3333333333333339E-4</v>
      </c>
      <c r="I117" s="28">
        <f>IF('Tableaux amortissement proj (2'!T108&gt;0,'Tableaux amortissement proj (2'!T108,IF('Tableaux amortissement proj (2'!S108&gt;0,IF(AND(_echfixe12,H117&gt;0),ROUND(('Tableaux amortissement proj (2'!AA108-'Tableaux amortissement proj (2'!R108)*H117/(1-((1+H117)^-'Tableaux amortissement proj (2'!S108)),_nbdeci1t1),ROUND('Tableaux amortissement proj (2'!AA108/'Tableaux amortissement proj (2'!S108,_nbdeci1t1)),I116))</f>
        <v>240200</v>
      </c>
      <c r="J117" s="10"/>
      <c r="K117" s="10"/>
      <c r="L117" s="10"/>
      <c r="M117" s="10"/>
      <c r="O117" s="186">
        <v>115</v>
      </c>
    </row>
    <row r="118" spans="1:15" x14ac:dyDescent="0.2">
      <c r="A118" s="29">
        <f>IF('Tableaux amortissement proj (2'!A109&gt;0,IF(_tauxactuariel1t,(('Tableaux amortissement proj (2'!A109+1)^(1/_nbechan1t))-1,'Tableaux amortissement proj (2'!A109/_nbechan1t),A117)</f>
        <v>1.5499999999999999E-3</v>
      </c>
      <c r="B118" s="28">
        <f>IF('Tableaux amortissement proj (2'!D109&gt;0,'Tableaux amortissement proj (2'!D109,IF('Tableaux amortissement proj (2'!C109&gt;0,IF(AND(_echfixe1t,A118&gt;0),ROUND(('Tableaux amortissement proj (2'!K109-'Tableaux amortissement proj (2'!B109)*A118/(1-((1+A118)^-'Tableaux amortissement proj (2'!C109)),_nbdeci1t),ROUND('Tableaux amortissement proj (2'!K109/'Tableaux amortissement proj (2'!C109,_nbdeci1t)),B117))</f>
        <v>606.91999999999996</v>
      </c>
      <c r="C118" s="10"/>
      <c r="D118" s="10"/>
      <c r="E118" s="10"/>
      <c r="F118" s="10"/>
      <c r="H118" s="29">
        <f>IF('Tableaux amortissement proj (2'!Q109&gt;0,IF(_tauxactuariel1t1,(('Tableaux amortissement proj (2'!Q109+1)^(1/_nebchan1t))-1,'Tableaux amortissement proj (2'!Q109/_nebchan1t),H117)</f>
        <v>8.3333333333333339E-4</v>
      </c>
      <c r="I118" s="28">
        <f>IF('Tableaux amortissement proj (2'!T109&gt;0,'Tableaux amortissement proj (2'!T109,IF('Tableaux amortissement proj (2'!S109&gt;0,IF(AND(_echfixe12,H118&gt;0),ROUND(('Tableaux amortissement proj (2'!AA109-'Tableaux amortissement proj (2'!R109)*H118/(1-((1+H118)^-'Tableaux amortissement proj (2'!S109)),_nbdeci1t1),ROUND('Tableaux amortissement proj (2'!AA109/'Tableaux amortissement proj (2'!S109,_nbdeci1t1)),I117))</f>
        <v>240200</v>
      </c>
      <c r="J118" s="10"/>
      <c r="K118" s="10"/>
      <c r="L118" s="10"/>
      <c r="M118" s="10"/>
      <c r="O118" s="186">
        <v>116</v>
      </c>
    </row>
    <row r="119" spans="1:15" x14ac:dyDescent="0.2">
      <c r="A119" s="29">
        <f>IF('Tableaux amortissement proj (2'!A110&gt;0,IF(_tauxactuariel1t,(('Tableaux amortissement proj (2'!A110+1)^(1/_nbechan1t))-1,'Tableaux amortissement proj (2'!A110/_nbechan1t),A118)</f>
        <v>1.5499999999999999E-3</v>
      </c>
      <c r="B119" s="28">
        <f>IF('Tableaux amortissement proj (2'!D110&gt;0,'Tableaux amortissement proj (2'!D110,IF('Tableaux amortissement proj (2'!C110&gt;0,IF(AND(_echfixe1t,A119&gt;0),ROUND(('Tableaux amortissement proj (2'!K110-'Tableaux amortissement proj (2'!B110)*A119/(1-((1+A119)^-'Tableaux amortissement proj (2'!C110)),_nbdeci1t),ROUND('Tableaux amortissement proj (2'!K110/'Tableaux amortissement proj (2'!C110,_nbdeci1t)),B118))</f>
        <v>606.91999999999996</v>
      </c>
      <c r="C119" s="10"/>
      <c r="D119" s="10"/>
      <c r="E119" s="10"/>
      <c r="F119" s="10"/>
      <c r="H119" s="29">
        <f>IF('Tableaux amortissement proj (2'!Q110&gt;0,IF(_tauxactuariel1t1,(('Tableaux amortissement proj (2'!Q110+1)^(1/_nebchan1t))-1,'Tableaux amortissement proj (2'!Q110/_nebchan1t),H118)</f>
        <v>8.3333333333333339E-4</v>
      </c>
      <c r="I119" s="28">
        <f>IF('Tableaux amortissement proj (2'!T110&gt;0,'Tableaux amortissement proj (2'!T110,IF('Tableaux amortissement proj (2'!S110&gt;0,IF(AND(_echfixe12,H119&gt;0),ROUND(('Tableaux amortissement proj (2'!AA110-'Tableaux amortissement proj (2'!R110)*H119/(1-((1+H119)^-'Tableaux amortissement proj (2'!S110)),_nbdeci1t1),ROUND('Tableaux amortissement proj (2'!AA110/'Tableaux amortissement proj (2'!S110,_nbdeci1t1)),I118))</f>
        <v>240200</v>
      </c>
      <c r="J119" s="10"/>
      <c r="K119" s="10"/>
      <c r="L119" s="10"/>
      <c r="M119" s="10"/>
      <c r="O119" s="186">
        <v>117</v>
      </c>
    </row>
    <row r="120" spans="1:15" x14ac:dyDescent="0.2">
      <c r="A120" s="29">
        <f>IF('Tableaux amortissement proj (2'!A111&gt;0,IF(_tauxactuariel1t,(('Tableaux amortissement proj (2'!A111+1)^(1/_nbechan1t))-1,'Tableaux amortissement proj (2'!A111/_nbechan1t),A119)</f>
        <v>1.5499999999999999E-3</v>
      </c>
      <c r="B120" s="28">
        <f>IF('Tableaux amortissement proj (2'!D111&gt;0,'Tableaux amortissement proj (2'!D111,IF('Tableaux amortissement proj (2'!C111&gt;0,IF(AND(_echfixe1t,A120&gt;0),ROUND(('Tableaux amortissement proj (2'!K111-'Tableaux amortissement proj (2'!B111)*A120/(1-((1+A120)^-'Tableaux amortissement proj (2'!C111)),_nbdeci1t),ROUND('Tableaux amortissement proj (2'!K111/'Tableaux amortissement proj (2'!C111,_nbdeci1t)),B119))</f>
        <v>606.91999999999996</v>
      </c>
      <c r="C120" s="10"/>
      <c r="D120" s="10"/>
      <c r="E120" s="10"/>
      <c r="F120" s="10"/>
      <c r="H120" s="29">
        <f>IF('Tableaux amortissement proj (2'!Q111&gt;0,IF(_tauxactuariel1t1,(('Tableaux amortissement proj (2'!Q111+1)^(1/_nebchan1t))-1,'Tableaux amortissement proj (2'!Q111/_nebchan1t),H119)</f>
        <v>8.3333333333333339E-4</v>
      </c>
      <c r="I120" s="28">
        <f>IF('Tableaux amortissement proj (2'!T111&gt;0,'Tableaux amortissement proj (2'!T111,IF('Tableaux amortissement proj (2'!S111&gt;0,IF(AND(_echfixe12,H120&gt;0),ROUND(('Tableaux amortissement proj (2'!AA111-'Tableaux amortissement proj (2'!R111)*H120/(1-((1+H120)^-'Tableaux amortissement proj (2'!S111)),_nbdeci1t1),ROUND('Tableaux amortissement proj (2'!AA111/'Tableaux amortissement proj (2'!S111,_nbdeci1t1)),I119))</f>
        <v>240200</v>
      </c>
      <c r="J120" s="10"/>
      <c r="K120" s="10"/>
      <c r="L120" s="10"/>
      <c r="M120" s="10"/>
      <c r="O120" s="186">
        <v>118</v>
      </c>
    </row>
    <row r="121" spans="1:15" x14ac:dyDescent="0.2">
      <c r="A121" s="29">
        <f>IF('Tableaux amortissement proj (2'!A112&gt;0,IF(_tauxactuariel1t,(('Tableaux amortissement proj (2'!A112+1)^(1/_nbechan1t))-1,'Tableaux amortissement proj (2'!A112/_nbechan1t),A120)</f>
        <v>1.5499999999999999E-3</v>
      </c>
      <c r="B121" s="28">
        <f>IF('Tableaux amortissement proj (2'!D112&gt;0,'Tableaux amortissement proj (2'!D112,IF('Tableaux amortissement proj (2'!C112&gt;0,IF(AND(_echfixe1t,A121&gt;0),ROUND(('Tableaux amortissement proj (2'!K112-'Tableaux amortissement proj (2'!B112)*A121/(1-((1+A121)^-'Tableaux amortissement proj (2'!C112)),_nbdeci1t),ROUND('Tableaux amortissement proj (2'!K112/'Tableaux amortissement proj (2'!C112,_nbdeci1t)),B120))</f>
        <v>606.91999999999996</v>
      </c>
      <c r="C121" s="10"/>
      <c r="D121" s="10"/>
      <c r="E121" s="10"/>
      <c r="F121" s="10"/>
      <c r="H121" s="29">
        <f>IF('Tableaux amortissement proj (2'!Q112&gt;0,IF(_tauxactuariel1t1,(('Tableaux amortissement proj (2'!Q112+1)^(1/_nebchan1t))-1,'Tableaux amortissement proj (2'!Q112/_nebchan1t),H120)</f>
        <v>8.3333333333333339E-4</v>
      </c>
      <c r="I121" s="28">
        <f>IF('Tableaux amortissement proj (2'!T112&gt;0,'Tableaux amortissement proj (2'!T112,IF('Tableaux amortissement proj (2'!S112&gt;0,IF(AND(_echfixe12,H121&gt;0),ROUND(('Tableaux amortissement proj (2'!AA112-'Tableaux amortissement proj (2'!R112)*H121/(1-((1+H121)^-'Tableaux amortissement proj (2'!S112)),_nbdeci1t1),ROUND('Tableaux amortissement proj (2'!AA112/'Tableaux amortissement proj (2'!S112,_nbdeci1t1)),I120))</f>
        <v>240200</v>
      </c>
      <c r="J121" s="10"/>
      <c r="K121" s="10"/>
      <c r="L121" s="10"/>
      <c r="M121" s="10"/>
      <c r="O121" s="186">
        <v>119</v>
      </c>
    </row>
    <row r="122" spans="1:15" x14ac:dyDescent="0.2">
      <c r="A122" s="29">
        <f>IF('Tableaux amortissement proj (2'!A113&gt;0,IF(_tauxactuariel1t,(('Tableaux amortissement proj (2'!A113+1)^(1/_nbechan1t))-1,'Tableaux amortissement proj (2'!A113/_nbechan1t),A121)</f>
        <v>1.5499999999999999E-3</v>
      </c>
      <c r="B122" s="28">
        <f>IF('Tableaux amortissement proj (2'!D113&gt;0,'Tableaux amortissement proj (2'!D113,IF('Tableaux amortissement proj (2'!C113&gt;0,IF(AND(_echfixe1t,A122&gt;0),ROUND(('Tableaux amortissement proj (2'!K113-'Tableaux amortissement proj (2'!B113)*A122/(1-((1+A122)^-'Tableaux amortissement proj (2'!C113)),_nbdeci1t),ROUND('Tableaux amortissement proj (2'!K113/'Tableaux amortissement proj (2'!C113,_nbdeci1t)),B121))</f>
        <v>606.91999999999996</v>
      </c>
      <c r="C122" s="10"/>
      <c r="D122" s="10"/>
      <c r="E122" s="10"/>
      <c r="F122" s="10"/>
      <c r="H122" s="29">
        <f>IF('Tableaux amortissement proj (2'!Q113&gt;0,IF(_tauxactuariel1t1,(('Tableaux amortissement proj (2'!Q113+1)^(1/_nebchan1t))-1,'Tableaux amortissement proj (2'!Q113/_nebchan1t),H121)</f>
        <v>8.3333333333333339E-4</v>
      </c>
      <c r="I122" s="28">
        <f>IF('Tableaux amortissement proj (2'!T113&gt;0,'Tableaux amortissement proj (2'!T113,IF('Tableaux amortissement proj (2'!S113&gt;0,IF(AND(_echfixe12,H122&gt;0),ROUND(('Tableaux amortissement proj (2'!AA113-'Tableaux amortissement proj (2'!R113)*H122/(1-((1+H122)^-'Tableaux amortissement proj (2'!S113)),_nbdeci1t1),ROUND('Tableaux amortissement proj (2'!AA113/'Tableaux amortissement proj (2'!S113,_nbdeci1t1)),I121))</f>
        <v>240200</v>
      </c>
      <c r="J122" s="10"/>
      <c r="K122" s="10"/>
      <c r="L122" s="10"/>
      <c r="M122" s="10"/>
      <c r="O122" s="186">
        <v>120</v>
      </c>
    </row>
    <row r="123" spans="1:15" x14ac:dyDescent="0.2">
      <c r="A123" s="29">
        <f>IF('Tableaux amortissement proj (2'!A114&gt;0,IF(_tauxactuariel1t,(('Tableaux amortissement proj (2'!A114+1)^(1/_nbechan1t))-1,'Tableaux amortissement proj (2'!A114/_nbechan1t),A122)</f>
        <v>1.5499999999999999E-3</v>
      </c>
      <c r="B123" s="28">
        <f>IF('Tableaux amortissement proj (2'!D114&gt;0,'Tableaux amortissement proj (2'!D114,IF('Tableaux amortissement proj (2'!C114&gt;0,IF(AND(_echfixe1t,A123&gt;0),ROUND(('Tableaux amortissement proj (2'!K114-'Tableaux amortissement proj (2'!B114)*A123/(1-((1+A123)^-'Tableaux amortissement proj (2'!C114)),_nbdeci1t),ROUND('Tableaux amortissement proj (2'!K114/'Tableaux amortissement proj (2'!C114,_nbdeci1t)),B122))</f>
        <v>606.91999999999996</v>
      </c>
      <c r="C123" s="10"/>
      <c r="D123" s="10"/>
      <c r="E123" s="10"/>
      <c r="F123" s="10"/>
      <c r="H123" s="29">
        <f>IF('Tableaux amortissement proj (2'!Q114&gt;0,IF(_tauxactuariel1t1,(('Tableaux amortissement proj (2'!Q114+1)^(1/_nebchan1t))-1,'Tableaux amortissement proj (2'!Q114/_nebchan1t),H122)</f>
        <v>8.3333333333333339E-4</v>
      </c>
      <c r="I123" s="28">
        <f>IF('Tableaux amortissement proj (2'!T114&gt;0,'Tableaux amortissement proj (2'!T114,IF('Tableaux amortissement proj (2'!S114&gt;0,IF(AND(_echfixe12,H123&gt;0),ROUND(('Tableaux amortissement proj (2'!AA114-'Tableaux amortissement proj (2'!R114)*H123/(1-((1+H123)^-'Tableaux amortissement proj (2'!S114)),_nbdeci1t1),ROUND('Tableaux amortissement proj (2'!AA114/'Tableaux amortissement proj (2'!S114,_nbdeci1t1)),I122))</f>
        <v>240200</v>
      </c>
      <c r="J123" s="10"/>
      <c r="K123" s="10"/>
      <c r="L123" s="10"/>
      <c r="M123" s="10"/>
      <c r="O123" s="186">
        <v>121</v>
      </c>
    </row>
    <row r="124" spans="1:15" x14ac:dyDescent="0.2">
      <c r="A124" s="29">
        <f>IF('Tableaux amortissement proj (2'!A115&gt;0,IF(_tauxactuariel1t,(('Tableaux amortissement proj (2'!A115+1)^(1/_nbechan1t))-1,'Tableaux amortissement proj (2'!A115/_nbechan1t),A123)</f>
        <v>1.5499999999999999E-3</v>
      </c>
      <c r="B124" s="28">
        <f>IF('Tableaux amortissement proj (2'!D115&gt;0,'Tableaux amortissement proj (2'!D115,IF('Tableaux amortissement proj (2'!C115&gt;0,IF(AND(_echfixe1t,A124&gt;0),ROUND(('Tableaux amortissement proj (2'!K115-'Tableaux amortissement proj (2'!B115)*A124/(1-((1+A124)^-'Tableaux amortissement proj (2'!C115)),_nbdeci1t),ROUND('Tableaux amortissement proj (2'!K115/'Tableaux amortissement proj (2'!C115,_nbdeci1t)),B123))</f>
        <v>606.91999999999996</v>
      </c>
      <c r="C124" s="10"/>
      <c r="D124" s="10"/>
      <c r="E124" s="10"/>
      <c r="F124" s="10"/>
      <c r="H124" s="29">
        <f>IF('Tableaux amortissement proj (2'!Q115&gt;0,IF(_tauxactuariel1t1,(('Tableaux amortissement proj (2'!Q115+1)^(1/_nebchan1t))-1,'Tableaux amortissement proj (2'!Q115/_nebchan1t),H123)</f>
        <v>8.3333333333333339E-4</v>
      </c>
      <c r="I124" s="28">
        <f>IF('Tableaux amortissement proj (2'!T115&gt;0,'Tableaux amortissement proj (2'!T115,IF('Tableaux amortissement proj (2'!S115&gt;0,IF(AND(_echfixe12,H124&gt;0),ROUND(('Tableaux amortissement proj (2'!AA115-'Tableaux amortissement proj (2'!R115)*H124/(1-((1+H124)^-'Tableaux amortissement proj (2'!S115)),_nbdeci1t1),ROUND('Tableaux amortissement proj (2'!AA115/'Tableaux amortissement proj (2'!S115,_nbdeci1t1)),I123))</f>
        <v>240200</v>
      </c>
      <c r="J124" s="10"/>
      <c r="K124" s="10"/>
      <c r="L124" s="10"/>
      <c r="M124" s="10"/>
      <c r="O124" s="186">
        <v>122</v>
      </c>
    </row>
    <row r="125" spans="1:15" x14ac:dyDescent="0.2">
      <c r="A125" s="29">
        <f>IF('Tableaux amortissement proj (2'!A116&gt;0,IF(_tauxactuariel1t,(('Tableaux amortissement proj (2'!A116+1)^(1/_nbechan1t))-1,'Tableaux amortissement proj (2'!A116/_nbechan1t),A124)</f>
        <v>1.5499999999999999E-3</v>
      </c>
      <c r="B125" s="28">
        <f>IF('Tableaux amortissement proj (2'!D116&gt;0,'Tableaux amortissement proj (2'!D116,IF('Tableaux amortissement proj (2'!C116&gt;0,IF(AND(_echfixe1t,A125&gt;0),ROUND(('Tableaux amortissement proj (2'!K116-'Tableaux amortissement proj (2'!B116)*A125/(1-((1+A125)^-'Tableaux amortissement proj (2'!C116)),_nbdeci1t),ROUND('Tableaux amortissement proj (2'!K116/'Tableaux amortissement proj (2'!C116,_nbdeci1t)),B124))</f>
        <v>606.91999999999996</v>
      </c>
      <c r="C125" s="10"/>
      <c r="D125" s="10"/>
      <c r="E125" s="10"/>
      <c r="F125" s="10"/>
      <c r="H125" s="29">
        <f>IF('Tableaux amortissement proj (2'!Q116&gt;0,IF(_tauxactuariel1t1,(('Tableaux amortissement proj (2'!Q116+1)^(1/_nebchan1t))-1,'Tableaux amortissement proj (2'!Q116/_nebchan1t),H124)</f>
        <v>8.3333333333333339E-4</v>
      </c>
      <c r="I125" s="28">
        <f>IF('Tableaux amortissement proj (2'!T116&gt;0,'Tableaux amortissement proj (2'!T116,IF('Tableaux amortissement proj (2'!S116&gt;0,IF(AND(_echfixe12,H125&gt;0),ROUND(('Tableaux amortissement proj (2'!AA116-'Tableaux amortissement proj (2'!R116)*H125/(1-((1+H125)^-'Tableaux amortissement proj (2'!S116)),_nbdeci1t1),ROUND('Tableaux amortissement proj (2'!AA116/'Tableaux amortissement proj (2'!S116,_nbdeci1t1)),I124))</f>
        <v>240200</v>
      </c>
      <c r="J125" s="10"/>
      <c r="K125" s="10"/>
      <c r="L125" s="10"/>
      <c r="M125" s="10"/>
      <c r="O125" s="186">
        <v>123</v>
      </c>
    </row>
    <row r="126" spans="1:15" x14ac:dyDescent="0.2">
      <c r="A126" s="29">
        <f>IF('Tableaux amortissement proj (2'!A117&gt;0,IF(_tauxactuariel1t,(('Tableaux amortissement proj (2'!A117+1)^(1/_nbechan1t))-1,'Tableaux amortissement proj (2'!A117/_nbechan1t),A125)</f>
        <v>1.5499999999999999E-3</v>
      </c>
      <c r="B126" s="28">
        <f>IF('Tableaux amortissement proj (2'!D117&gt;0,'Tableaux amortissement proj (2'!D117,IF('Tableaux amortissement proj (2'!C117&gt;0,IF(AND(_echfixe1t,A126&gt;0),ROUND(('Tableaux amortissement proj (2'!K117-'Tableaux amortissement proj (2'!B117)*A126/(1-((1+A126)^-'Tableaux amortissement proj (2'!C117)),_nbdeci1t),ROUND('Tableaux amortissement proj (2'!K117/'Tableaux amortissement proj (2'!C117,_nbdeci1t)),B125))</f>
        <v>606.91999999999996</v>
      </c>
      <c r="C126" s="10"/>
      <c r="D126" s="10"/>
      <c r="E126" s="10"/>
      <c r="F126" s="10"/>
      <c r="H126" s="29">
        <f>IF('Tableaux amortissement proj (2'!Q117&gt;0,IF(_tauxactuariel1t1,(('Tableaux amortissement proj (2'!Q117+1)^(1/_nebchan1t))-1,'Tableaux amortissement proj (2'!Q117/_nebchan1t),H125)</f>
        <v>8.3333333333333339E-4</v>
      </c>
      <c r="I126" s="28">
        <f>IF('Tableaux amortissement proj (2'!T117&gt;0,'Tableaux amortissement proj (2'!T117,IF('Tableaux amortissement proj (2'!S117&gt;0,IF(AND(_echfixe12,H126&gt;0),ROUND(('Tableaux amortissement proj (2'!AA117-'Tableaux amortissement proj (2'!R117)*H126/(1-((1+H126)^-'Tableaux amortissement proj (2'!S117)),_nbdeci1t1),ROUND('Tableaux amortissement proj (2'!AA117/'Tableaux amortissement proj (2'!S117,_nbdeci1t1)),I125))</f>
        <v>240200</v>
      </c>
      <c r="J126" s="10"/>
      <c r="K126" s="10"/>
      <c r="L126" s="10"/>
      <c r="M126" s="10"/>
      <c r="O126" s="186">
        <v>124</v>
      </c>
    </row>
    <row r="127" spans="1:15" x14ac:dyDescent="0.2">
      <c r="A127" s="29">
        <f>IF('Tableaux amortissement proj (2'!A118&gt;0,IF(_tauxactuariel1t,(('Tableaux amortissement proj (2'!A118+1)^(1/_nbechan1t))-1,'Tableaux amortissement proj (2'!A118/_nbechan1t),A126)</f>
        <v>1.5499999999999999E-3</v>
      </c>
      <c r="B127" s="28">
        <f>IF('Tableaux amortissement proj (2'!D118&gt;0,'Tableaux amortissement proj (2'!D118,IF('Tableaux amortissement proj (2'!C118&gt;0,IF(AND(_echfixe1t,A127&gt;0),ROUND(('Tableaux amortissement proj (2'!K118-'Tableaux amortissement proj (2'!B118)*A127/(1-((1+A127)^-'Tableaux amortissement proj (2'!C118)),_nbdeci1t),ROUND('Tableaux amortissement proj (2'!K118/'Tableaux amortissement proj (2'!C118,_nbdeci1t)),B126))</f>
        <v>606.91999999999996</v>
      </c>
      <c r="C127" s="10"/>
      <c r="D127" s="10"/>
      <c r="E127" s="10"/>
      <c r="F127" s="10"/>
      <c r="H127" s="29">
        <f>IF('Tableaux amortissement proj (2'!Q118&gt;0,IF(_tauxactuariel1t1,(('Tableaux amortissement proj (2'!Q118+1)^(1/_nebchan1t))-1,'Tableaux amortissement proj (2'!Q118/_nebchan1t),H126)</f>
        <v>8.3333333333333339E-4</v>
      </c>
      <c r="I127" s="28">
        <f>IF('Tableaux amortissement proj (2'!T118&gt;0,'Tableaux amortissement proj (2'!T118,IF('Tableaux amortissement proj (2'!S118&gt;0,IF(AND(_echfixe12,H127&gt;0),ROUND(('Tableaux amortissement proj (2'!AA118-'Tableaux amortissement proj (2'!R118)*H127/(1-((1+H127)^-'Tableaux amortissement proj (2'!S118)),_nbdeci1t1),ROUND('Tableaux amortissement proj (2'!AA118/'Tableaux amortissement proj (2'!S118,_nbdeci1t1)),I126))</f>
        <v>240200</v>
      </c>
      <c r="J127" s="10"/>
      <c r="K127" s="10"/>
      <c r="L127" s="10"/>
      <c r="M127" s="10"/>
      <c r="O127" s="186">
        <v>125</v>
      </c>
    </row>
    <row r="128" spans="1:15" x14ac:dyDescent="0.2">
      <c r="A128" s="29">
        <f>IF('Tableaux amortissement proj (2'!A119&gt;0,IF(_tauxactuariel1t,(('Tableaux amortissement proj (2'!A119+1)^(1/_nbechan1t))-1,'Tableaux amortissement proj (2'!A119/_nbechan1t),A127)</f>
        <v>1.5499999999999999E-3</v>
      </c>
      <c r="B128" s="28">
        <f>IF('Tableaux amortissement proj (2'!D119&gt;0,'Tableaux amortissement proj (2'!D119,IF('Tableaux amortissement proj (2'!C119&gt;0,IF(AND(_echfixe1t,A128&gt;0),ROUND(('Tableaux amortissement proj (2'!K119-'Tableaux amortissement proj (2'!B119)*A128/(1-((1+A128)^-'Tableaux amortissement proj (2'!C119)),_nbdeci1t),ROUND('Tableaux amortissement proj (2'!K119/'Tableaux amortissement proj (2'!C119,_nbdeci1t)),B127))</f>
        <v>606.91999999999996</v>
      </c>
      <c r="C128" s="10"/>
      <c r="D128" s="10"/>
      <c r="E128" s="10"/>
      <c r="F128" s="10"/>
      <c r="H128" s="29">
        <f>IF('Tableaux amortissement proj (2'!Q119&gt;0,IF(_tauxactuariel1t1,(('Tableaux amortissement proj (2'!Q119+1)^(1/_nebchan1t))-1,'Tableaux amortissement proj (2'!Q119/_nebchan1t),H127)</f>
        <v>8.3333333333333339E-4</v>
      </c>
      <c r="I128" s="28">
        <f>IF('Tableaux amortissement proj (2'!T119&gt;0,'Tableaux amortissement proj (2'!T119,IF('Tableaux amortissement proj (2'!S119&gt;0,IF(AND(_echfixe12,H128&gt;0),ROUND(('Tableaux amortissement proj (2'!AA119-'Tableaux amortissement proj (2'!R119)*H128/(1-((1+H128)^-'Tableaux amortissement proj (2'!S119)),_nbdeci1t1),ROUND('Tableaux amortissement proj (2'!AA119/'Tableaux amortissement proj (2'!S119,_nbdeci1t1)),I127))</f>
        <v>240200</v>
      </c>
      <c r="J128" s="10"/>
      <c r="K128" s="10"/>
      <c r="L128" s="10"/>
      <c r="M128" s="10"/>
      <c r="O128" s="186">
        <v>126</v>
      </c>
    </row>
    <row r="129" spans="1:15" x14ac:dyDescent="0.2">
      <c r="A129" s="29">
        <f>IF('Tableaux amortissement proj (2'!A120&gt;0,IF(_tauxactuariel1t,(('Tableaux amortissement proj (2'!A120+1)^(1/_nbechan1t))-1,'Tableaux amortissement proj (2'!A120/_nbechan1t),A128)</f>
        <v>1.5499999999999999E-3</v>
      </c>
      <c r="B129" s="28">
        <f>IF('Tableaux amortissement proj (2'!D120&gt;0,'Tableaux amortissement proj (2'!D120,IF('Tableaux amortissement proj (2'!C120&gt;0,IF(AND(_echfixe1t,A129&gt;0),ROUND(('Tableaux amortissement proj (2'!K120-'Tableaux amortissement proj (2'!B120)*A129/(1-((1+A129)^-'Tableaux amortissement proj (2'!C120)),_nbdeci1t),ROUND('Tableaux amortissement proj (2'!K120/'Tableaux amortissement proj (2'!C120,_nbdeci1t)),B128))</f>
        <v>606.91999999999996</v>
      </c>
      <c r="C129" s="10"/>
      <c r="D129" s="10"/>
      <c r="E129" s="10"/>
      <c r="F129" s="10"/>
      <c r="H129" s="29">
        <f>IF('Tableaux amortissement proj (2'!Q120&gt;0,IF(_tauxactuariel1t1,(('Tableaux amortissement proj (2'!Q120+1)^(1/_nebchan1t))-1,'Tableaux amortissement proj (2'!Q120/_nebchan1t),H128)</f>
        <v>8.3333333333333339E-4</v>
      </c>
      <c r="I129" s="28">
        <f>IF('Tableaux amortissement proj (2'!T120&gt;0,'Tableaux amortissement proj (2'!T120,IF('Tableaux amortissement proj (2'!S120&gt;0,IF(AND(_echfixe12,H129&gt;0),ROUND(('Tableaux amortissement proj (2'!AA120-'Tableaux amortissement proj (2'!R120)*H129/(1-((1+H129)^-'Tableaux amortissement proj (2'!S120)),_nbdeci1t1),ROUND('Tableaux amortissement proj (2'!AA120/'Tableaux amortissement proj (2'!S120,_nbdeci1t1)),I128))</f>
        <v>240200</v>
      </c>
      <c r="J129" s="10"/>
      <c r="K129" s="10"/>
      <c r="L129" s="10"/>
      <c r="M129" s="10"/>
      <c r="O129" s="186">
        <v>127</v>
      </c>
    </row>
    <row r="130" spans="1:15" x14ac:dyDescent="0.2">
      <c r="A130" s="29">
        <f>IF('Tableaux amortissement proj (2'!A121&gt;0,IF(_tauxactuariel1t,(('Tableaux amortissement proj (2'!A121+1)^(1/_nbechan1t))-1,'Tableaux amortissement proj (2'!A121/_nbechan1t),A129)</f>
        <v>1.5499999999999999E-3</v>
      </c>
      <c r="B130" s="28">
        <f>IF('Tableaux amortissement proj (2'!D121&gt;0,'Tableaux amortissement proj (2'!D121,IF('Tableaux amortissement proj (2'!C121&gt;0,IF(AND(_echfixe1t,A130&gt;0),ROUND(('Tableaux amortissement proj (2'!K121-'Tableaux amortissement proj (2'!B121)*A130/(1-((1+A130)^-'Tableaux amortissement proj (2'!C121)),_nbdeci1t),ROUND('Tableaux amortissement proj (2'!K121/'Tableaux amortissement proj (2'!C121,_nbdeci1t)),B129))</f>
        <v>606.91999999999996</v>
      </c>
      <c r="C130" s="10"/>
      <c r="D130" s="10"/>
      <c r="E130" s="10"/>
      <c r="F130" s="10"/>
      <c r="H130" s="29">
        <f>IF('Tableaux amortissement proj (2'!Q121&gt;0,IF(_tauxactuariel1t1,(('Tableaux amortissement proj (2'!Q121+1)^(1/_nebchan1t))-1,'Tableaux amortissement proj (2'!Q121/_nebchan1t),H129)</f>
        <v>8.3333333333333339E-4</v>
      </c>
      <c r="I130" s="28">
        <f>IF('Tableaux amortissement proj (2'!T121&gt;0,'Tableaux amortissement proj (2'!T121,IF('Tableaux amortissement proj (2'!S121&gt;0,IF(AND(_echfixe12,H130&gt;0),ROUND(('Tableaux amortissement proj (2'!AA121-'Tableaux amortissement proj (2'!R121)*H130/(1-((1+H130)^-'Tableaux amortissement proj (2'!S121)),_nbdeci1t1),ROUND('Tableaux amortissement proj (2'!AA121/'Tableaux amortissement proj (2'!S121,_nbdeci1t1)),I129))</f>
        <v>240200</v>
      </c>
      <c r="J130" s="10"/>
      <c r="K130" s="10"/>
      <c r="L130" s="10"/>
      <c r="M130" s="10"/>
      <c r="O130" s="186">
        <v>128</v>
      </c>
    </row>
    <row r="131" spans="1:15" x14ac:dyDescent="0.2">
      <c r="A131" s="29">
        <f>IF('Tableaux amortissement proj (2'!A122&gt;0,IF(_tauxactuariel1t,(('Tableaux amortissement proj (2'!A122+1)^(1/_nbechan1t))-1,'Tableaux amortissement proj (2'!A122/_nbechan1t),A130)</f>
        <v>1.5499999999999999E-3</v>
      </c>
      <c r="B131" s="28">
        <f>IF('Tableaux amortissement proj (2'!D122&gt;0,'Tableaux amortissement proj (2'!D122,IF('Tableaux amortissement proj (2'!C122&gt;0,IF(AND(_echfixe1t,A131&gt;0),ROUND(('Tableaux amortissement proj (2'!K122-'Tableaux amortissement proj (2'!B122)*A131/(1-((1+A131)^-'Tableaux amortissement proj (2'!C122)),_nbdeci1t),ROUND('Tableaux amortissement proj (2'!K122/'Tableaux amortissement proj (2'!C122,_nbdeci1t)),B130))</f>
        <v>606.91999999999996</v>
      </c>
      <c r="C131" s="10"/>
      <c r="D131" s="10"/>
      <c r="E131" s="10"/>
      <c r="F131" s="10"/>
      <c r="H131" s="29">
        <f>IF('Tableaux amortissement proj (2'!Q122&gt;0,IF(_tauxactuariel1t1,(('Tableaux amortissement proj (2'!Q122+1)^(1/_nebchan1t))-1,'Tableaux amortissement proj (2'!Q122/_nebchan1t),H130)</f>
        <v>8.3333333333333339E-4</v>
      </c>
      <c r="I131" s="28">
        <f>IF('Tableaux amortissement proj (2'!T122&gt;0,'Tableaux amortissement proj (2'!T122,IF('Tableaux amortissement proj (2'!S122&gt;0,IF(AND(_echfixe12,H131&gt;0),ROUND(('Tableaux amortissement proj (2'!AA122-'Tableaux amortissement proj (2'!R122)*H131/(1-((1+H131)^-'Tableaux amortissement proj (2'!S122)),_nbdeci1t1),ROUND('Tableaux amortissement proj (2'!AA122/'Tableaux amortissement proj (2'!S122,_nbdeci1t1)),I130))</f>
        <v>240200</v>
      </c>
      <c r="J131" s="10"/>
      <c r="K131" s="10"/>
      <c r="L131" s="10"/>
      <c r="M131" s="10"/>
      <c r="O131" s="186">
        <v>129</v>
      </c>
    </row>
    <row r="132" spans="1:15" x14ac:dyDescent="0.2">
      <c r="A132" s="29">
        <f>IF('Tableaux amortissement proj (2'!A123&gt;0,IF(_tauxactuariel1t,(('Tableaux amortissement proj (2'!A123+1)^(1/_nbechan1t))-1,'Tableaux amortissement proj (2'!A123/_nbechan1t),A131)</f>
        <v>1.5499999999999999E-3</v>
      </c>
      <c r="B132" s="28">
        <f>IF('Tableaux amortissement proj (2'!D123&gt;0,'Tableaux amortissement proj (2'!D123,IF('Tableaux amortissement proj (2'!C123&gt;0,IF(AND(_echfixe1t,A132&gt;0),ROUND(('Tableaux amortissement proj (2'!K123-'Tableaux amortissement proj (2'!B123)*A132/(1-((1+A132)^-'Tableaux amortissement proj (2'!C123)),_nbdeci1t),ROUND('Tableaux amortissement proj (2'!K123/'Tableaux amortissement proj (2'!C123,_nbdeci1t)),B131))</f>
        <v>606.91999999999996</v>
      </c>
      <c r="C132" s="10"/>
      <c r="D132" s="10"/>
      <c r="E132" s="10"/>
      <c r="F132" s="10"/>
      <c r="H132" s="29">
        <f>IF('Tableaux amortissement proj (2'!Q123&gt;0,IF(_tauxactuariel1t1,(('Tableaux amortissement proj (2'!Q123+1)^(1/_nebchan1t))-1,'Tableaux amortissement proj (2'!Q123/_nebchan1t),H131)</f>
        <v>8.3333333333333339E-4</v>
      </c>
      <c r="I132" s="28">
        <f>IF('Tableaux amortissement proj (2'!T123&gt;0,'Tableaux amortissement proj (2'!T123,IF('Tableaux amortissement proj (2'!S123&gt;0,IF(AND(_echfixe12,H132&gt;0),ROUND(('Tableaux amortissement proj (2'!AA123-'Tableaux amortissement proj (2'!R123)*H132/(1-((1+H132)^-'Tableaux amortissement proj (2'!S123)),_nbdeci1t1),ROUND('Tableaux amortissement proj (2'!AA123/'Tableaux amortissement proj (2'!S123,_nbdeci1t1)),I131))</f>
        <v>240200</v>
      </c>
      <c r="J132" s="10"/>
      <c r="K132" s="10"/>
      <c r="L132" s="10"/>
      <c r="M132" s="10"/>
      <c r="O132" s="186">
        <v>130</v>
      </c>
    </row>
    <row r="133" spans="1:15" x14ac:dyDescent="0.2">
      <c r="A133" s="29">
        <f>IF('Tableaux amortissement proj (2'!A124&gt;0,IF(_tauxactuariel1t,(('Tableaux amortissement proj (2'!A124+1)^(1/_nbechan1t))-1,'Tableaux amortissement proj (2'!A124/_nbechan1t),A132)</f>
        <v>1.5499999999999999E-3</v>
      </c>
      <c r="B133" s="28">
        <f>IF('Tableaux amortissement proj (2'!D124&gt;0,'Tableaux amortissement proj (2'!D124,IF('Tableaux amortissement proj (2'!C124&gt;0,IF(AND(_echfixe1t,A133&gt;0),ROUND(('Tableaux amortissement proj (2'!K124-'Tableaux amortissement proj (2'!B124)*A133/(1-((1+A133)^-'Tableaux amortissement proj (2'!C124)),_nbdeci1t),ROUND('Tableaux amortissement proj (2'!K124/'Tableaux amortissement proj (2'!C124,_nbdeci1t)),B132))</f>
        <v>606.91999999999996</v>
      </c>
      <c r="C133" s="10"/>
      <c r="D133" s="10"/>
      <c r="E133" s="10"/>
      <c r="F133" s="10"/>
      <c r="H133" s="29">
        <f>IF('Tableaux amortissement proj (2'!Q124&gt;0,IF(_tauxactuariel1t1,(('Tableaux amortissement proj (2'!Q124+1)^(1/_nebchan1t))-1,'Tableaux amortissement proj (2'!Q124/_nebchan1t),H132)</f>
        <v>8.3333333333333339E-4</v>
      </c>
      <c r="I133" s="28">
        <f>IF('Tableaux amortissement proj (2'!T124&gt;0,'Tableaux amortissement proj (2'!T124,IF('Tableaux amortissement proj (2'!S124&gt;0,IF(AND(_echfixe12,H133&gt;0),ROUND(('Tableaux amortissement proj (2'!AA124-'Tableaux amortissement proj (2'!R124)*H133/(1-((1+H133)^-'Tableaux amortissement proj (2'!S124)),_nbdeci1t1),ROUND('Tableaux amortissement proj (2'!AA124/'Tableaux amortissement proj (2'!S124,_nbdeci1t1)),I132))</f>
        <v>240200</v>
      </c>
      <c r="J133" s="10"/>
      <c r="K133" s="10"/>
      <c r="L133" s="10"/>
      <c r="M133" s="10"/>
      <c r="O133" s="186">
        <v>131</v>
      </c>
    </row>
    <row r="134" spans="1:15" x14ac:dyDescent="0.2">
      <c r="A134" s="29">
        <f>IF('Tableaux amortissement proj (2'!A125&gt;0,IF(_tauxactuariel1t,(('Tableaux amortissement proj (2'!A125+1)^(1/_nbechan1t))-1,'Tableaux amortissement proj (2'!A125/_nbechan1t),A133)</f>
        <v>1.5499999999999999E-3</v>
      </c>
      <c r="B134" s="28">
        <f>IF('Tableaux amortissement proj (2'!D125&gt;0,'Tableaux amortissement proj (2'!D125,IF('Tableaux amortissement proj (2'!C125&gt;0,IF(AND(_echfixe1t,A134&gt;0),ROUND(('Tableaux amortissement proj (2'!K125-'Tableaux amortissement proj (2'!B125)*A134/(1-((1+A134)^-'Tableaux amortissement proj (2'!C125)),_nbdeci1t),ROUND('Tableaux amortissement proj (2'!K125/'Tableaux amortissement proj (2'!C125,_nbdeci1t)),B133))</f>
        <v>606.91999999999996</v>
      </c>
      <c r="C134" s="10"/>
      <c r="D134" s="10"/>
      <c r="E134" s="10"/>
      <c r="F134" s="10"/>
      <c r="H134" s="29">
        <f>IF('Tableaux amortissement proj (2'!Q125&gt;0,IF(_tauxactuariel1t1,(('Tableaux amortissement proj (2'!Q125+1)^(1/_nebchan1t))-1,'Tableaux amortissement proj (2'!Q125/_nebchan1t),H133)</f>
        <v>8.3333333333333339E-4</v>
      </c>
      <c r="I134" s="28">
        <f>IF('Tableaux amortissement proj (2'!T125&gt;0,'Tableaux amortissement proj (2'!T125,IF('Tableaux amortissement proj (2'!S125&gt;0,IF(AND(_echfixe12,H134&gt;0),ROUND(('Tableaux amortissement proj (2'!AA125-'Tableaux amortissement proj (2'!R125)*H134/(1-((1+H134)^-'Tableaux amortissement proj (2'!S125)),_nbdeci1t1),ROUND('Tableaux amortissement proj (2'!AA125/'Tableaux amortissement proj (2'!S125,_nbdeci1t1)),I133))</f>
        <v>240200</v>
      </c>
      <c r="J134" s="10"/>
      <c r="K134" s="10"/>
      <c r="L134" s="10"/>
      <c r="M134" s="10"/>
      <c r="O134" s="186">
        <v>132</v>
      </c>
    </row>
    <row r="135" spans="1:15" x14ac:dyDescent="0.2">
      <c r="A135" s="29">
        <f>IF('Tableaux amortissement proj (2'!A126&gt;0,IF(_tauxactuariel1t,(('Tableaux amortissement proj (2'!A126+1)^(1/_nbechan1t))-1,'Tableaux amortissement proj (2'!A126/_nbechan1t),A134)</f>
        <v>1.5499999999999999E-3</v>
      </c>
      <c r="B135" s="28">
        <f>IF('Tableaux amortissement proj (2'!D126&gt;0,'Tableaux amortissement proj (2'!D126,IF('Tableaux amortissement proj (2'!C126&gt;0,IF(AND(_echfixe1t,A135&gt;0),ROUND(('Tableaux amortissement proj (2'!K126-'Tableaux amortissement proj (2'!B126)*A135/(1-((1+A135)^-'Tableaux amortissement proj (2'!C126)),_nbdeci1t),ROUND('Tableaux amortissement proj (2'!K126/'Tableaux amortissement proj (2'!C126,_nbdeci1t)),B134))</f>
        <v>606.91999999999996</v>
      </c>
      <c r="C135" s="10"/>
      <c r="D135" s="10"/>
      <c r="E135" s="10"/>
      <c r="F135" s="10"/>
      <c r="H135" s="29">
        <f>IF('Tableaux amortissement proj (2'!Q126&gt;0,IF(_tauxactuariel1t1,(('Tableaux amortissement proj (2'!Q126+1)^(1/_nebchan1t))-1,'Tableaux amortissement proj (2'!Q126/_nebchan1t),H134)</f>
        <v>8.3333333333333339E-4</v>
      </c>
      <c r="I135" s="28">
        <f>IF('Tableaux amortissement proj (2'!T126&gt;0,'Tableaux amortissement proj (2'!T126,IF('Tableaux amortissement proj (2'!S126&gt;0,IF(AND(_echfixe12,H135&gt;0),ROUND(('Tableaux amortissement proj (2'!AA126-'Tableaux amortissement proj (2'!R126)*H135/(1-((1+H135)^-'Tableaux amortissement proj (2'!S126)),_nbdeci1t1),ROUND('Tableaux amortissement proj (2'!AA126/'Tableaux amortissement proj (2'!S126,_nbdeci1t1)),I134))</f>
        <v>240200</v>
      </c>
      <c r="J135" s="10"/>
      <c r="K135" s="10"/>
      <c r="L135" s="10"/>
      <c r="M135" s="10"/>
      <c r="O135" s="186">
        <v>133</v>
      </c>
    </row>
    <row r="136" spans="1:15" x14ac:dyDescent="0.2">
      <c r="A136" s="29">
        <f>IF('Tableaux amortissement proj (2'!A127&gt;0,IF(_tauxactuariel1t,(('Tableaux amortissement proj (2'!A127+1)^(1/_nbechan1t))-1,'Tableaux amortissement proj (2'!A127/_nbechan1t),A135)</f>
        <v>1.5499999999999999E-3</v>
      </c>
      <c r="B136" s="28">
        <f>IF('Tableaux amortissement proj (2'!D127&gt;0,'Tableaux amortissement proj (2'!D127,IF('Tableaux amortissement proj (2'!C127&gt;0,IF(AND(_echfixe1t,A136&gt;0),ROUND(('Tableaux amortissement proj (2'!K127-'Tableaux amortissement proj (2'!B127)*A136/(1-((1+A136)^-'Tableaux amortissement proj (2'!C127)),_nbdeci1t),ROUND('Tableaux amortissement proj (2'!K127/'Tableaux amortissement proj (2'!C127,_nbdeci1t)),B135))</f>
        <v>606.91999999999996</v>
      </c>
      <c r="C136" s="10"/>
      <c r="D136" s="10"/>
      <c r="E136" s="10"/>
      <c r="F136" s="10"/>
      <c r="H136" s="29">
        <f>IF('Tableaux amortissement proj (2'!Q127&gt;0,IF(_tauxactuariel1t1,(('Tableaux amortissement proj (2'!Q127+1)^(1/_nebchan1t))-1,'Tableaux amortissement proj (2'!Q127/_nebchan1t),H135)</f>
        <v>8.3333333333333339E-4</v>
      </c>
      <c r="I136" s="28">
        <f>IF('Tableaux amortissement proj (2'!T127&gt;0,'Tableaux amortissement proj (2'!T127,IF('Tableaux amortissement proj (2'!S127&gt;0,IF(AND(_echfixe12,H136&gt;0),ROUND(('Tableaux amortissement proj (2'!AA127-'Tableaux amortissement proj (2'!R127)*H136/(1-((1+H136)^-'Tableaux amortissement proj (2'!S127)),_nbdeci1t1),ROUND('Tableaux amortissement proj (2'!AA127/'Tableaux amortissement proj (2'!S127,_nbdeci1t1)),I135))</f>
        <v>240200</v>
      </c>
      <c r="J136" s="10"/>
      <c r="K136" s="10"/>
      <c r="L136" s="10"/>
      <c r="M136" s="10"/>
      <c r="O136" s="186">
        <v>134</v>
      </c>
    </row>
    <row r="137" spans="1:15" x14ac:dyDescent="0.2">
      <c r="A137" s="29">
        <f>IF('Tableaux amortissement proj (2'!A128&gt;0,IF(_tauxactuariel1t,(('Tableaux amortissement proj (2'!A128+1)^(1/_nbechan1t))-1,'Tableaux amortissement proj (2'!A128/_nbechan1t),A136)</f>
        <v>1.5499999999999999E-3</v>
      </c>
      <c r="B137" s="28">
        <f>IF('Tableaux amortissement proj (2'!D128&gt;0,'Tableaux amortissement proj (2'!D128,IF('Tableaux amortissement proj (2'!C128&gt;0,IF(AND(_echfixe1t,A137&gt;0),ROUND(('Tableaux amortissement proj (2'!K128-'Tableaux amortissement proj (2'!B128)*A137/(1-((1+A137)^-'Tableaux amortissement proj (2'!C128)),_nbdeci1t),ROUND('Tableaux amortissement proj (2'!K128/'Tableaux amortissement proj (2'!C128,_nbdeci1t)),B136))</f>
        <v>606.91999999999996</v>
      </c>
      <c r="C137" s="10"/>
      <c r="D137" s="10"/>
      <c r="E137" s="10"/>
      <c r="F137" s="10"/>
      <c r="H137" s="29">
        <f>IF('Tableaux amortissement proj (2'!Q128&gt;0,IF(_tauxactuariel1t1,(('Tableaux amortissement proj (2'!Q128+1)^(1/_nebchan1t))-1,'Tableaux amortissement proj (2'!Q128/_nebchan1t),H136)</f>
        <v>8.3333333333333339E-4</v>
      </c>
      <c r="I137" s="28">
        <f>IF('Tableaux amortissement proj (2'!T128&gt;0,'Tableaux amortissement proj (2'!T128,IF('Tableaux amortissement proj (2'!S128&gt;0,IF(AND(_echfixe12,H137&gt;0),ROUND(('Tableaux amortissement proj (2'!AA128-'Tableaux amortissement proj (2'!R128)*H137/(1-((1+H137)^-'Tableaux amortissement proj (2'!S128)),_nbdeci1t1),ROUND('Tableaux amortissement proj (2'!AA128/'Tableaux amortissement proj (2'!S128,_nbdeci1t1)),I136))</f>
        <v>240200</v>
      </c>
      <c r="J137" s="10"/>
      <c r="K137" s="10"/>
      <c r="L137" s="10"/>
      <c r="M137" s="10"/>
      <c r="O137" s="186">
        <v>135</v>
      </c>
    </row>
    <row r="138" spans="1:15" x14ac:dyDescent="0.2">
      <c r="A138" s="29">
        <f>IF('Tableaux amortissement proj (2'!A129&gt;0,IF(_tauxactuariel1t,(('Tableaux amortissement proj (2'!A129+1)^(1/_nbechan1t))-1,'Tableaux amortissement proj (2'!A129/_nbechan1t),A137)</f>
        <v>1.5499999999999999E-3</v>
      </c>
      <c r="B138" s="28">
        <f>IF('Tableaux amortissement proj (2'!D129&gt;0,'Tableaux amortissement proj (2'!D129,IF('Tableaux amortissement proj (2'!C129&gt;0,IF(AND(_echfixe1t,A138&gt;0),ROUND(('Tableaux amortissement proj (2'!K129-'Tableaux amortissement proj (2'!B129)*A138/(1-((1+A138)^-'Tableaux amortissement proj (2'!C129)),_nbdeci1t),ROUND('Tableaux amortissement proj (2'!K129/'Tableaux amortissement proj (2'!C129,_nbdeci1t)),B137))</f>
        <v>606.91999999999996</v>
      </c>
      <c r="C138" s="10"/>
      <c r="D138" s="10"/>
      <c r="E138" s="10"/>
      <c r="F138" s="10"/>
      <c r="H138" s="29">
        <f>IF('Tableaux amortissement proj (2'!Q129&gt;0,IF(_tauxactuariel1t1,(('Tableaux amortissement proj (2'!Q129+1)^(1/_nebchan1t))-1,'Tableaux amortissement proj (2'!Q129/_nebchan1t),H137)</f>
        <v>8.3333333333333339E-4</v>
      </c>
      <c r="I138" s="28">
        <f>IF('Tableaux amortissement proj (2'!T129&gt;0,'Tableaux amortissement proj (2'!T129,IF('Tableaux amortissement proj (2'!S129&gt;0,IF(AND(_echfixe12,H138&gt;0),ROUND(('Tableaux amortissement proj (2'!AA129-'Tableaux amortissement proj (2'!R129)*H138/(1-((1+H138)^-'Tableaux amortissement proj (2'!S129)),_nbdeci1t1),ROUND('Tableaux amortissement proj (2'!AA129/'Tableaux amortissement proj (2'!S129,_nbdeci1t1)),I137))</f>
        <v>240200</v>
      </c>
      <c r="J138" s="10"/>
      <c r="K138" s="10"/>
      <c r="L138" s="10"/>
      <c r="M138" s="10"/>
      <c r="O138" s="186">
        <v>136</v>
      </c>
    </row>
    <row r="139" spans="1:15" x14ac:dyDescent="0.2">
      <c r="A139" s="29">
        <f>IF('Tableaux amortissement proj (2'!A130&gt;0,IF(_tauxactuariel1t,(('Tableaux amortissement proj (2'!A130+1)^(1/_nbechan1t))-1,'Tableaux amortissement proj (2'!A130/_nbechan1t),A138)</f>
        <v>1.5499999999999999E-3</v>
      </c>
      <c r="B139" s="28">
        <f>IF('Tableaux amortissement proj (2'!D130&gt;0,'Tableaux amortissement proj (2'!D130,IF('Tableaux amortissement proj (2'!C130&gt;0,IF(AND(_echfixe1t,A139&gt;0),ROUND(('Tableaux amortissement proj (2'!K130-'Tableaux amortissement proj (2'!B130)*A139/(1-((1+A139)^-'Tableaux amortissement proj (2'!C130)),_nbdeci1t),ROUND('Tableaux amortissement proj (2'!K130/'Tableaux amortissement proj (2'!C130,_nbdeci1t)),B138))</f>
        <v>606.91999999999996</v>
      </c>
      <c r="C139" s="10"/>
      <c r="D139" s="10"/>
      <c r="E139" s="10"/>
      <c r="F139" s="10"/>
      <c r="H139" s="29">
        <f>IF('Tableaux amortissement proj (2'!Q130&gt;0,IF(_tauxactuariel1t1,(('Tableaux amortissement proj (2'!Q130+1)^(1/_nebchan1t))-1,'Tableaux amortissement proj (2'!Q130/_nebchan1t),H138)</f>
        <v>8.3333333333333339E-4</v>
      </c>
      <c r="I139" s="28">
        <f>IF('Tableaux amortissement proj (2'!T130&gt;0,'Tableaux amortissement proj (2'!T130,IF('Tableaux amortissement proj (2'!S130&gt;0,IF(AND(_echfixe12,H139&gt;0),ROUND(('Tableaux amortissement proj (2'!AA130-'Tableaux amortissement proj (2'!R130)*H139/(1-((1+H139)^-'Tableaux amortissement proj (2'!S130)),_nbdeci1t1),ROUND('Tableaux amortissement proj (2'!AA130/'Tableaux amortissement proj (2'!S130,_nbdeci1t1)),I138))</f>
        <v>240200</v>
      </c>
      <c r="J139" s="10"/>
      <c r="K139" s="10"/>
      <c r="L139" s="10"/>
      <c r="M139" s="10"/>
      <c r="O139" s="186">
        <v>137</v>
      </c>
    </row>
    <row r="140" spans="1:15" x14ac:dyDescent="0.2">
      <c r="A140" s="29">
        <f>IF('Tableaux amortissement proj (2'!A131&gt;0,IF(_tauxactuariel1t,(('Tableaux amortissement proj (2'!A131+1)^(1/_nbechan1t))-1,'Tableaux amortissement proj (2'!A131/_nbechan1t),A139)</f>
        <v>1.5499999999999999E-3</v>
      </c>
      <c r="B140" s="28">
        <f>IF('Tableaux amortissement proj (2'!D131&gt;0,'Tableaux amortissement proj (2'!D131,IF('Tableaux amortissement proj (2'!C131&gt;0,IF(AND(_echfixe1t,A140&gt;0),ROUND(('Tableaux amortissement proj (2'!K131-'Tableaux amortissement proj (2'!B131)*A140/(1-((1+A140)^-'Tableaux amortissement proj (2'!C131)),_nbdeci1t),ROUND('Tableaux amortissement proj (2'!K131/'Tableaux amortissement proj (2'!C131,_nbdeci1t)),B139))</f>
        <v>606.91999999999996</v>
      </c>
      <c r="C140" s="10"/>
      <c r="D140" s="10"/>
      <c r="E140" s="10"/>
      <c r="F140" s="10"/>
      <c r="H140" s="29">
        <f>IF('Tableaux amortissement proj (2'!Q131&gt;0,IF(_tauxactuariel1t1,(('Tableaux amortissement proj (2'!Q131+1)^(1/_nebchan1t))-1,'Tableaux amortissement proj (2'!Q131/_nebchan1t),H139)</f>
        <v>8.3333333333333339E-4</v>
      </c>
      <c r="I140" s="28">
        <f>IF('Tableaux amortissement proj (2'!T131&gt;0,'Tableaux amortissement proj (2'!T131,IF('Tableaux amortissement proj (2'!S131&gt;0,IF(AND(_echfixe12,H140&gt;0),ROUND(('Tableaux amortissement proj (2'!AA131-'Tableaux amortissement proj (2'!R131)*H140/(1-((1+H140)^-'Tableaux amortissement proj (2'!S131)),_nbdeci1t1),ROUND('Tableaux amortissement proj (2'!AA131/'Tableaux amortissement proj (2'!S131,_nbdeci1t1)),I139))</f>
        <v>240200</v>
      </c>
      <c r="J140" s="10"/>
      <c r="K140" s="10"/>
      <c r="L140" s="10"/>
      <c r="M140" s="10"/>
      <c r="O140" s="186">
        <v>138</v>
      </c>
    </row>
    <row r="141" spans="1:15" x14ac:dyDescent="0.2">
      <c r="A141" s="29">
        <f>IF('Tableaux amortissement proj (2'!A132&gt;0,IF(_tauxactuariel1t,(('Tableaux amortissement proj (2'!A132+1)^(1/_nbechan1t))-1,'Tableaux amortissement proj (2'!A132/_nbechan1t),A140)</f>
        <v>1.5499999999999999E-3</v>
      </c>
      <c r="B141" s="28">
        <f>IF('Tableaux amortissement proj (2'!D132&gt;0,'Tableaux amortissement proj (2'!D132,IF('Tableaux amortissement proj (2'!C132&gt;0,IF(AND(_echfixe1t,A141&gt;0),ROUND(('Tableaux amortissement proj (2'!K132-'Tableaux amortissement proj (2'!B132)*A141/(1-((1+A141)^-'Tableaux amortissement proj (2'!C132)),_nbdeci1t),ROUND('Tableaux amortissement proj (2'!K132/'Tableaux amortissement proj (2'!C132,_nbdeci1t)),B140))</f>
        <v>606.91999999999996</v>
      </c>
      <c r="C141" s="10"/>
      <c r="D141" s="10"/>
      <c r="E141" s="10"/>
      <c r="F141" s="10"/>
      <c r="H141" s="29">
        <f>IF('Tableaux amortissement proj (2'!Q132&gt;0,IF(_tauxactuariel1t1,(('Tableaux amortissement proj (2'!Q132+1)^(1/_nebchan1t))-1,'Tableaux amortissement proj (2'!Q132/_nebchan1t),H140)</f>
        <v>8.3333333333333339E-4</v>
      </c>
      <c r="I141" s="28">
        <f>IF('Tableaux amortissement proj (2'!T132&gt;0,'Tableaux amortissement proj (2'!T132,IF('Tableaux amortissement proj (2'!S132&gt;0,IF(AND(_echfixe12,H141&gt;0),ROUND(('Tableaux amortissement proj (2'!AA132-'Tableaux amortissement proj (2'!R132)*H141/(1-((1+H141)^-'Tableaux amortissement proj (2'!S132)),_nbdeci1t1),ROUND('Tableaux amortissement proj (2'!AA132/'Tableaux amortissement proj (2'!S132,_nbdeci1t1)),I140))</f>
        <v>240200</v>
      </c>
      <c r="J141" s="10"/>
      <c r="K141" s="10"/>
      <c r="L141" s="10"/>
      <c r="M141" s="10"/>
      <c r="O141" s="186">
        <v>139</v>
      </c>
    </row>
    <row r="142" spans="1:15" x14ac:dyDescent="0.2">
      <c r="A142" s="29">
        <f>IF('Tableaux amortissement proj (2'!A133&gt;0,IF(_tauxactuariel1t,(('Tableaux amortissement proj (2'!A133+1)^(1/_nbechan1t))-1,'Tableaux amortissement proj (2'!A133/_nbechan1t),A141)</f>
        <v>1.5499999999999999E-3</v>
      </c>
      <c r="B142" s="28">
        <f>IF('Tableaux amortissement proj (2'!D133&gt;0,'Tableaux amortissement proj (2'!D133,IF('Tableaux amortissement proj (2'!C133&gt;0,IF(AND(_echfixe1t,A142&gt;0),ROUND(('Tableaux amortissement proj (2'!K133-'Tableaux amortissement proj (2'!B133)*A142/(1-((1+A142)^-'Tableaux amortissement proj (2'!C133)),_nbdeci1t),ROUND('Tableaux amortissement proj (2'!K133/'Tableaux amortissement proj (2'!C133,_nbdeci1t)),B141))</f>
        <v>606.91999999999996</v>
      </c>
      <c r="C142" s="10"/>
      <c r="D142" s="10"/>
      <c r="E142" s="10"/>
      <c r="F142" s="10"/>
      <c r="H142" s="29">
        <f>IF('Tableaux amortissement proj (2'!Q133&gt;0,IF(_tauxactuariel1t1,(('Tableaux amortissement proj (2'!Q133+1)^(1/_nebchan1t))-1,'Tableaux amortissement proj (2'!Q133/_nebchan1t),H141)</f>
        <v>8.3333333333333339E-4</v>
      </c>
      <c r="I142" s="28">
        <f>IF('Tableaux amortissement proj (2'!T133&gt;0,'Tableaux amortissement proj (2'!T133,IF('Tableaux amortissement proj (2'!S133&gt;0,IF(AND(_echfixe12,H142&gt;0),ROUND(('Tableaux amortissement proj (2'!AA133-'Tableaux amortissement proj (2'!R133)*H142/(1-((1+H142)^-'Tableaux amortissement proj (2'!S133)),_nbdeci1t1),ROUND('Tableaux amortissement proj (2'!AA133/'Tableaux amortissement proj (2'!S133,_nbdeci1t1)),I141))</f>
        <v>240200</v>
      </c>
      <c r="J142" s="10"/>
      <c r="K142" s="10"/>
      <c r="L142" s="10"/>
      <c r="M142" s="10"/>
      <c r="O142" s="186">
        <v>140</v>
      </c>
    </row>
    <row r="143" spans="1:15" x14ac:dyDescent="0.2">
      <c r="A143" s="29">
        <f>IF('Tableaux amortissement proj (2'!A134&gt;0,IF(_tauxactuariel1t,(('Tableaux amortissement proj (2'!A134+1)^(1/_nbechan1t))-1,'Tableaux amortissement proj (2'!A134/_nbechan1t),A142)</f>
        <v>1.5499999999999999E-3</v>
      </c>
      <c r="B143" s="28">
        <f>IF('Tableaux amortissement proj (2'!D134&gt;0,'Tableaux amortissement proj (2'!D134,IF('Tableaux amortissement proj (2'!C134&gt;0,IF(AND(_echfixe1t,A143&gt;0),ROUND(('Tableaux amortissement proj (2'!K134-'Tableaux amortissement proj (2'!B134)*A143/(1-((1+A143)^-'Tableaux amortissement proj (2'!C134)),_nbdeci1t),ROUND('Tableaux amortissement proj (2'!K134/'Tableaux amortissement proj (2'!C134,_nbdeci1t)),B142))</f>
        <v>606.91999999999996</v>
      </c>
      <c r="C143" s="10"/>
      <c r="D143" s="10"/>
      <c r="E143" s="10"/>
      <c r="F143" s="10"/>
      <c r="H143" s="29">
        <f>IF('Tableaux amortissement proj (2'!Q134&gt;0,IF(_tauxactuariel1t1,(('Tableaux amortissement proj (2'!Q134+1)^(1/_nebchan1t))-1,'Tableaux amortissement proj (2'!Q134/_nebchan1t),H142)</f>
        <v>8.3333333333333339E-4</v>
      </c>
      <c r="I143" s="28">
        <f>IF('Tableaux amortissement proj (2'!T134&gt;0,'Tableaux amortissement proj (2'!T134,IF('Tableaux amortissement proj (2'!S134&gt;0,IF(AND(_echfixe12,H143&gt;0),ROUND(('Tableaux amortissement proj (2'!AA134-'Tableaux amortissement proj (2'!R134)*H143/(1-((1+H143)^-'Tableaux amortissement proj (2'!S134)),_nbdeci1t1),ROUND('Tableaux amortissement proj (2'!AA134/'Tableaux amortissement proj (2'!S134,_nbdeci1t1)),I142))</f>
        <v>240200</v>
      </c>
      <c r="J143" s="10"/>
      <c r="K143" s="10"/>
      <c r="L143" s="10"/>
      <c r="M143" s="10"/>
      <c r="O143" s="186">
        <v>141</v>
      </c>
    </row>
    <row r="144" spans="1:15" x14ac:dyDescent="0.2">
      <c r="A144" s="29">
        <f>IF('Tableaux amortissement proj (2'!A135&gt;0,IF(_tauxactuariel1t,(('Tableaux amortissement proj (2'!A135+1)^(1/_nbechan1t))-1,'Tableaux amortissement proj (2'!A135/_nbechan1t),A143)</f>
        <v>1.5499999999999999E-3</v>
      </c>
      <c r="B144" s="28">
        <f>IF('Tableaux amortissement proj (2'!D135&gt;0,'Tableaux amortissement proj (2'!D135,IF('Tableaux amortissement proj (2'!C135&gt;0,IF(AND(_echfixe1t,A144&gt;0),ROUND(('Tableaux amortissement proj (2'!K135-'Tableaux amortissement proj (2'!B135)*A144/(1-((1+A144)^-'Tableaux amortissement proj (2'!C135)),_nbdeci1t),ROUND('Tableaux amortissement proj (2'!K135/'Tableaux amortissement proj (2'!C135,_nbdeci1t)),B143))</f>
        <v>606.91999999999996</v>
      </c>
      <c r="C144" s="10"/>
      <c r="D144" s="10"/>
      <c r="E144" s="10"/>
      <c r="F144" s="10"/>
      <c r="H144" s="29">
        <f>IF('Tableaux amortissement proj (2'!Q135&gt;0,IF(_tauxactuariel1t1,(('Tableaux amortissement proj (2'!Q135+1)^(1/_nebchan1t))-1,'Tableaux amortissement proj (2'!Q135/_nebchan1t),H143)</f>
        <v>8.3333333333333339E-4</v>
      </c>
      <c r="I144" s="28">
        <f>IF('Tableaux amortissement proj (2'!T135&gt;0,'Tableaux amortissement proj (2'!T135,IF('Tableaux amortissement proj (2'!S135&gt;0,IF(AND(_echfixe12,H144&gt;0),ROUND(('Tableaux amortissement proj (2'!AA135-'Tableaux amortissement proj (2'!R135)*H144/(1-((1+H144)^-'Tableaux amortissement proj (2'!S135)),_nbdeci1t1),ROUND('Tableaux amortissement proj (2'!AA135/'Tableaux amortissement proj (2'!S135,_nbdeci1t1)),I143))</f>
        <v>240200</v>
      </c>
      <c r="J144" s="10"/>
      <c r="K144" s="10"/>
      <c r="L144" s="10"/>
      <c r="M144" s="10"/>
      <c r="O144" s="186">
        <v>142</v>
      </c>
    </row>
    <row r="145" spans="1:15" x14ac:dyDescent="0.2">
      <c r="A145" s="29">
        <f>IF('Tableaux amortissement proj (2'!A136&gt;0,IF(_tauxactuariel1t,(('Tableaux amortissement proj (2'!A136+1)^(1/_nbechan1t))-1,'Tableaux amortissement proj (2'!A136/_nbechan1t),A144)</f>
        <v>1.5499999999999999E-3</v>
      </c>
      <c r="B145" s="28">
        <f>IF('Tableaux amortissement proj (2'!D136&gt;0,'Tableaux amortissement proj (2'!D136,IF('Tableaux amortissement proj (2'!C136&gt;0,IF(AND(_echfixe1t,A145&gt;0),ROUND(('Tableaux amortissement proj (2'!K136-'Tableaux amortissement proj (2'!B136)*A145/(1-((1+A145)^-'Tableaux amortissement proj (2'!C136)),_nbdeci1t),ROUND('Tableaux amortissement proj (2'!K136/'Tableaux amortissement proj (2'!C136,_nbdeci1t)),B144))</f>
        <v>606.91999999999996</v>
      </c>
      <c r="C145" s="10"/>
      <c r="D145" s="10"/>
      <c r="E145" s="10"/>
      <c r="F145" s="10"/>
      <c r="H145" s="29">
        <f>IF('Tableaux amortissement proj (2'!Q136&gt;0,IF(_tauxactuariel1t1,(('Tableaux amortissement proj (2'!Q136+1)^(1/_nebchan1t))-1,'Tableaux amortissement proj (2'!Q136/_nebchan1t),H144)</f>
        <v>8.3333333333333339E-4</v>
      </c>
      <c r="I145" s="28">
        <f>IF('Tableaux amortissement proj (2'!T136&gt;0,'Tableaux amortissement proj (2'!T136,IF('Tableaux amortissement proj (2'!S136&gt;0,IF(AND(_echfixe12,H145&gt;0),ROUND(('Tableaux amortissement proj (2'!AA136-'Tableaux amortissement proj (2'!R136)*H145/(1-((1+H145)^-'Tableaux amortissement proj (2'!S136)),_nbdeci1t1),ROUND('Tableaux amortissement proj (2'!AA136/'Tableaux amortissement proj (2'!S136,_nbdeci1t1)),I144))</f>
        <v>240200</v>
      </c>
      <c r="J145" s="10"/>
      <c r="K145" s="10"/>
      <c r="L145" s="10"/>
      <c r="M145" s="10"/>
      <c r="O145" s="186">
        <v>143</v>
      </c>
    </row>
    <row r="146" spans="1:15" x14ac:dyDescent="0.2">
      <c r="A146" s="29">
        <f>IF('Tableaux amortissement proj (2'!A137&gt;0,IF(_tauxactuariel1t,(('Tableaux amortissement proj (2'!A137+1)^(1/_nbechan1t))-1,'Tableaux amortissement proj (2'!A137/_nbechan1t),A145)</f>
        <v>1.5499999999999999E-3</v>
      </c>
      <c r="B146" s="28">
        <f>IF('Tableaux amortissement proj (2'!D137&gt;0,'Tableaux amortissement proj (2'!D137,IF('Tableaux amortissement proj (2'!C137&gt;0,IF(AND(_echfixe1t,A146&gt;0),ROUND(('Tableaux amortissement proj (2'!K137-'Tableaux amortissement proj (2'!B137)*A146/(1-((1+A146)^-'Tableaux amortissement proj (2'!C137)),_nbdeci1t),ROUND('Tableaux amortissement proj (2'!K137/'Tableaux amortissement proj (2'!C137,_nbdeci1t)),B145))</f>
        <v>606.91999999999996</v>
      </c>
      <c r="C146" s="10"/>
      <c r="D146" s="10"/>
      <c r="E146" s="10"/>
      <c r="F146" s="10"/>
      <c r="H146" s="29">
        <f>IF('Tableaux amortissement proj (2'!Q137&gt;0,IF(_tauxactuariel1t1,(('Tableaux amortissement proj (2'!Q137+1)^(1/_nebchan1t))-1,'Tableaux amortissement proj (2'!Q137/_nebchan1t),H145)</f>
        <v>8.3333333333333339E-4</v>
      </c>
      <c r="I146" s="28">
        <f>IF('Tableaux amortissement proj (2'!T137&gt;0,'Tableaux amortissement proj (2'!T137,IF('Tableaux amortissement proj (2'!S137&gt;0,IF(AND(_echfixe12,H146&gt;0),ROUND(('Tableaux amortissement proj (2'!AA137-'Tableaux amortissement proj (2'!R137)*H146/(1-((1+H146)^-'Tableaux amortissement proj (2'!S137)),_nbdeci1t1),ROUND('Tableaux amortissement proj (2'!AA137/'Tableaux amortissement proj (2'!S137,_nbdeci1t1)),I145))</f>
        <v>240200</v>
      </c>
      <c r="J146" s="10"/>
      <c r="K146" s="10"/>
      <c r="L146" s="10"/>
      <c r="M146" s="10"/>
      <c r="O146" s="186">
        <v>144</v>
      </c>
    </row>
    <row r="147" spans="1:15" x14ac:dyDescent="0.2">
      <c r="A147" s="29">
        <f>IF('Tableaux amortissement proj (2'!A138&gt;0,IF(_tauxactuariel1t,(('Tableaux amortissement proj (2'!A138+1)^(1/_nbechan1t))-1,'Tableaux amortissement proj (2'!A138/_nbechan1t),A146)</f>
        <v>1.5499999999999999E-3</v>
      </c>
      <c r="B147" s="28">
        <f>IF('Tableaux amortissement proj (2'!D138&gt;0,'Tableaux amortissement proj (2'!D138,IF('Tableaux amortissement proj (2'!C138&gt;0,IF(AND(_echfixe1t,A147&gt;0),ROUND(('Tableaux amortissement proj (2'!K138-'Tableaux amortissement proj (2'!B138)*A147/(1-((1+A147)^-'Tableaux amortissement proj (2'!C138)),_nbdeci1t),ROUND('Tableaux amortissement proj (2'!K138/'Tableaux amortissement proj (2'!C138,_nbdeci1t)),B146))</f>
        <v>606.91999999999996</v>
      </c>
      <c r="C147" s="10"/>
      <c r="D147" s="10"/>
      <c r="E147" s="10"/>
      <c r="F147" s="10"/>
      <c r="H147" s="29">
        <f>IF('Tableaux amortissement proj (2'!Q138&gt;0,IF(_tauxactuariel1t1,(('Tableaux amortissement proj (2'!Q138+1)^(1/_nebchan1t))-1,'Tableaux amortissement proj (2'!Q138/_nebchan1t),H146)</f>
        <v>8.3333333333333339E-4</v>
      </c>
      <c r="I147" s="28">
        <f>IF('Tableaux amortissement proj (2'!T138&gt;0,'Tableaux amortissement proj (2'!T138,IF('Tableaux amortissement proj (2'!S138&gt;0,IF(AND(_echfixe12,H147&gt;0),ROUND(('Tableaux amortissement proj (2'!AA138-'Tableaux amortissement proj (2'!R138)*H147/(1-((1+H147)^-'Tableaux amortissement proj (2'!S138)),_nbdeci1t1),ROUND('Tableaux amortissement proj (2'!AA138/'Tableaux amortissement proj (2'!S138,_nbdeci1t1)),I146))</f>
        <v>240200</v>
      </c>
      <c r="J147" s="10"/>
      <c r="K147" s="10"/>
      <c r="L147" s="10"/>
      <c r="M147" s="10"/>
      <c r="O147" s="186">
        <v>145</v>
      </c>
    </row>
    <row r="148" spans="1:15" x14ac:dyDescent="0.2">
      <c r="A148" s="29">
        <f>IF('Tableaux amortissement proj (2'!A139&gt;0,IF(_tauxactuariel1t,(('Tableaux amortissement proj (2'!A139+1)^(1/_nbechan1t))-1,'Tableaux amortissement proj (2'!A139/_nbechan1t),A147)</f>
        <v>1.5499999999999999E-3</v>
      </c>
      <c r="B148" s="28">
        <f>IF('Tableaux amortissement proj (2'!D139&gt;0,'Tableaux amortissement proj (2'!D139,IF('Tableaux amortissement proj (2'!C139&gt;0,IF(AND(_echfixe1t,A148&gt;0),ROUND(('Tableaux amortissement proj (2'!K139-'Tableaux amortissement proj (2'!B139)*A148/(1-((1+A148)^-'Tableaux amortissement proj (2'!C139)),_nbdeci1t),ROUND('Tableaux amortissement proj (2'!K139/'Tableaux amortissement proj (2'!C139,_nbdeci1t)),B147))</f>
        <v>606.91999999999996</v>
      </c>
      <c r="C148" s="10"/>
      <c r="D148" s="10"/>
      <c r="E148" s="10"/>
      <c r="F148" s="10"/>
      <c r="H148" s="29">
        <f>IF('Tableaux amortissement proj (2'!Q139&gt;0,IF(_tauxactuariel1t1,(('Tableaux amortissement proj (2'!Q139+1)^(1/_nebchan1t))-1,'Tableaux amortissement proj (2'!Q139/_nebchan1t),H147)</f>
        <v>8.3333333333333339E-4</v>
      </c>
      <c r="I148" s="28">
        <f>IF('Tableaux amortissement proj (2'!T139&gt;0,'Tableaux amortissement proj (2'!T139,IF('Tableaux amortissement proj (2'!S139&gt;0,IF(AND(_echfixe12,H148&gt;0),ROUND(('Tableaux amortissement proj (2'!AA139-'Tableaux amortissement proj (2'!R139)*H148/(1-((1+H148)^-'Tableaux amortissement proj (2'!S139)),_nbdeci1t1),ROUND('Tableaux amortissement proj (2'!AA139/'Tableaux amortissement proj (2'!S139,_nbdeci1t1)),I147))</f>
        <v>240200</v>
      </c>
      <c r="J148" s="10"/>
      <c r="K148" s="10"/>
      <c r="L148" s="10"/>
      <c r="M148" s="10"/>
      <c r="O148" s="186">
        <v>146</v>
      </c>
    </row>
    <row r="149" spans="1:15" x14ac:dyDescent="0.2">
      <c r="A149" s="29">
        <f>IF('Tableaux amortissement proj (2'!A140&gt;0,IF(_tauxactuariel1t,(('Tableaux amortissement proj (2'!A140+1)^(1/_nbechan1t))-1,'Tableaux amortissement proj (2'!A140/_nbechan1t),A148)</f>
        <v>1.5499999999999999E-3</v>
      </c>
      <c r="B149" s="28">
        <f>IF('Tableaux amortissement proj (2'!D140&gt;0,'Tableaux amortissement proj (2'!D140,IF('Tableaux amortissement proj (2'!C140&gt;0,IF(AND(_echfixe1t,A149&gt;0),ROUND(('Tableaux amortissement proj (2'!K140-'Tableaux amortissement proj (2'!B140)*A149/(1-((1+A149)^-'Tableaux amortissement proj (2'!C140)),_nbdeci1t),ROUND('Tableaux amortissement proj (2'!K140/'Tableaux amortissement proj (2'!C140,_nbdeci1t)),B148))</f>
        <v>606.91999999999996</v>
      </c>
      <c r="C149" s="10"/>
      <c r="D149" s="10"/>
      <c r="E149" s="10"/>
      <c r="F149" s="10"/>
      <c r="H149" s="29">
        <f>IF('Tableaux amortissement proj (2'!Q140&gt;0,IF(_tauxactuariel1t1,(('Tableaux amortissement proj (2'!Q140+1)^(1/_nebchan1t))-1,'Tableaux amortissement proj (2'!Q140/_nebchan1t),H148)</f>
        <v>8.3333333333333339E-4</v>
      </c>
      <c r="I149" s="28">
        <f>IF('Tableaux amortissement proj (2'!T140&gt;0,'Tableaux amortissement proj (2'!T140,IF('Tableaux amortissement proj (2'!S140&gt;0,IF(AND(_echfixe12,H149&gt;0),ROUND(('Tableaux amortissement proj (2'!AA140-'Tableaux amortissement proj (2'!R140)*H149/(1-((1+H149)^-'Tableaux amortissement proj (2'!S140)),_nbdeci1t1),ROUND('Tableaux amortissement proj (2'!AA140/'Tableaux amortissement proj (2'!S140,_nbdeci1t1)),I148))</f>
        <v>240200</v>
      </c>
      <c r="J149" s="10"/>
      <c r="K149" s="10"/>
      <c r="L149" s="10"/>
      <c r="M149" s="10"/>
      <c r="O149" s="186">
        <v>147</v>
      </c>
    </row>
    <row r="150" spans="1:15" x14ac:dyDescent="0.2">
      <c r="A150" s="29">
        <f>IF('Tableaux amortissement proj (2'!A141&gt;0,IF(_tauxactuariel1t,(('Tableaux amortissement proj (2'!A141+1)^(1/_nbechan1t))-1,'Tableaux amortissement proj (2'!A141/_nbechan1t),A149)</f>
        <v>1.5499999999999999E-3</v>
      </c>
      <c r="B150" s="28">
        <f>IF('Tableaux amortissement proj (2'!D141&gt;0,'Tableaux amortissement proj (2'!D141,IF('Tableaux amortissement proj (2'!C141&gt;0,IF(AND(_echfixe1t,A150&gt;0),ROUND(('Tableaux amortissement proj (2'!K141-'Tableaux amortissement proj (2'!B141)*A150/(1-((1+A150)^-'Tableaux amortissement proj (2'!C141)),_nbdeci1t),ROUND('Tableaux amortissement proj (2'!K141/'Tableaux amortissement proj (2'!C141,_nbdeci1t)),B149))</f>
        <v>606.91999999999996</v>
      </c>
      <c r="C150" s="10"/>
      <c r="D150" s="10"/>
      <c r="E150" s="10"/>
      <c r="F150" s="10"/>
      <c r="H150" s="29">
        <f>IF('Tableaux amortissement proj (2'!Q141&gt;0,IF(_tauxactuariel1t1,(('Tableaux amortissement proj (2'!Q141+1)^(1/_nebchan1t))-1,'Tableaux amortissement proj (2'!Q141/_nebchan1t),H149)</f>
        <v>8.3333333333333339E-4</v>
      </c>
      <c r="I150" s="28">
        <f>IF('Tableaux amortissement proj (2'!T141&gt;0,'Tableaux amortissement proj (2'!T141,IF('Tableaux amortissement proj (2'!S141&gt;0,IF(AND(_echfixe12,H150&gt;0),ROUND(('Tableaux amortissement proj (2'!AA141-'Tableaux amortissement proj (2'!R141)*H150/(1-((1+H150)^-'Tableaux amortissement proj (2'!S141)),_nbdeci1t1),ROUND('Tableaux amortissement proj (2'!AA141/'Tableaux amortissement proj (2'!S141,_nbdeci1t1)),I149))</f>
        <v>240200</v>
      </c>
      <c r="J150" s="10"/>
      <c r="K150" s="10"/>
      <c r="L150" s="10"/>
      <c r="M150" s="10"/>
      <c r="O150" s="186">
        <v>148</v>
      </c>
    </row>
    <row r="151" spans="1:15" x14ac:dyDescent="0.2">
      <c r="A151" s="29">
        <f>IF('Tableaux amortissement proj (2'!A142&gt;0,IF(_tauxactuariel1t,(('Tableaux amortissement proj (2'!A142+1)^(1/_nbechan1t))-1,'Tableaux amortissement proj (2'!A142/_nbechan1t),A150)</f>
        <v>1.5499999999999999E-3</v>
      </c>
      <c r="B151" s="28">
        <f>IF('Tableaux amortissement proj (2'!D142&gt;0,'Tableaux amortissement proj (2'!D142,IF('Tableaux amortissement proj (2'!C142&gt;0,IF(AND(_echfixe1t,A151&gt;0),ROUND(('Tableaux amortissement proj (2'!K142-'Tableaux amortissement proj (2'!B142)*A151/(1-((1+A151)^-'Tableaux amortissement proj (2'!C142)),_nbdeci1t),ROUND('Tableaux amortissement proj (2'!K142/'Tableaux amortissement proj (2'!C142,_nbdeci1t)),B150))</f>
        <v>606.91999999999996</v>
      </c>
      <c r="C151" s="10"/>
      <c r="D151" s="10"/>
      <c r="E151" s="10"/>
      <c r="F151" s="10"/>
      <c r="H151" s="29">
        <f>IF('Tableaux amortissement proj (2'!Q142&gt;0,IF(_tauxactuariel1t1,(('Tableaux amortissement proj (2'!Q142+1)^(1/_nebchan1t))-1,'Tableaux amortissement proj (2'!Q142/_nebchan1t),H150)</f>
        <v>8.3333333333333339E-4</v>
      </c>
      <c r="I151" s="28">
        <f>IF('Tableaux amortissement proj (2'!T142&gt;0,'Tableaux amortissement proj (2'!T142,IF('Tableaux amortissement proj (2'!S142&gt;0,IF(AND(_echfixe12,H151&gt;0),ROUND(('Tableaux amortissement proj (2'!AA142-'Tableaux amortissement proj (2'!R142)*H151/(1-((1+H151)^-'Tableaux amortissement proj (2'!S142)),_nbdeci1t1),ROUND('Tableaux amortissement proj (2'!AA142/'Tableaux amortissement proj (2'!S142,_nbdeci1t1)),I150))</f>
        <v>240200</v>
      </c>
      <c r="J151" s="10"/>
      <c r="K151" s="10"/>
      <c r="L151" s="10"/>
      <c r="M151" s="10"/>
      <c r="O151" s="186">
        <v>149</v>
      </c>
    </row>
    <row r="152" spans="1:15" x14ac:dyDescent="0.2">
      <c r="A152" s="29">
        <f>IF('Tableaux amortissement proj (2'!A143&gt;0,IF(_tauxactuariel1t,(('Tableaux amortissement proj (2'!A143+1)^(1/_nbechan1t))-1,'Tableaux amortissement proj (2'!A143/_nbechan1t),A151)</f>
        <v>1.5499999999999999E-3</v>
      </c>
      <c r="B152" s="28">
        <f>IF('Tableaux amortissement proj (2'!D143&gt;0,'Tableaux amortissement proj (2'!D143,IF('Tableaux amortissement proj (2'!C143&gt;0,IF(AND(_echfixe1t,A152&gt;0),ROUND(('Tableaux amortissement proj (2'!K143-'Tableaux amortissement proj (2'!B143)*A152/(1-((1+A152)^-'Tableaux amortissement proj (2'!C143)),_nbdeci1t),ROUND('Tableaux amortissement proj (2'!K143/'Tableaux amortissement proj (2'!C143,_nbdeci1t)),B151))</f>
        <v>606.91999999999996</v>
      </c>
      <c r="C152" s="10"/>
      <c r="D152" s="10"/>
      <c r="E152" s="10"/>
      <c r="F152" s="10"/>
      <c r="H152" s="29">
        <f>IF('Tableaux amortissement proj (2'!Q143&gt;0,IF(_tauxactuariel1t1,(('Tableaux amortissement proj (2'!Q143+1)^(1/_nebchan1t))-1,'Tableaux amortissement proj (2'!Q143/_nebchan1t),H151)</f>
        <v>8.3333333333333339E-4</v>
      </c>
      <c r="I152" s="28">
        <f>IF('Tableaux amortissement proj (2'!T143&gt;0,'Tableaux amortissement proj (2'!T143,IF('Tableaux amortissement proj (2'!S143&gt;0,IF(AND(_echfixe12,H152&gt;0),ROUND(('Tableaux amortissement proj (2'!AA143-'Tableaux amortissement proj (2'!R143)*H152/(1-((1+H152)^-'Tableaux amortissement proj (2'!S143)),_nbdeci1t1),ROUND('Tableaux amortissement proj (2'!AA143/'Tableaux amortissement proj (2'!S143,_nbdeci1t1)),I151))</f>
        <v>240200</v>
      </c>
      <c r="J152" s="10"/>
      <c r="K152" s="10"/>
      <c r="L152" s="10"/>
      <c r="M152" s="10"/>
      <c r="O152" s="186">
        <v>150</v>
      </c>
    </row>
    <row r="153" spans="1:15" x14ac:dyDescent="0.2">
      <c r="A153" s="29">
        <f>IF('Tableaux amortissement proj (2'!A144&gt;0,IF(_tauxactuariel1t,(('Tableaux amortissement proj (2'!A144+1)^(1/_nbechan1t))-1,'Tableaux amortissement proj (2'!A144/_nbechan1t),A152)</f>
        <v>1.5499999999999999E-3</v>
      </c>
      <c r="B153" s="28">
        <f>IF('Tableaux amortissement proj (2'!D144&gt;0,'Tableaux amortissement proj (2'!D144,IF('Tableaux amortissement proj (2'!C144&gt;0,IF(AND(_echfixe1t,A153&gt;0),ROUND(('Tableaux amortissement proj (2'!K144-'Tableaux amortissement proj (2'!B144)*A153/(1-((1+A153)^-'Tableaux amortissement proj (2'!C144)),_nbdeci1t),ROUND('Tableaux amortissement proj (2'!K144/'Tableaux amortissement proj (2'!C144,_nbdeci1t)),B152))</f>
        <v>606.91999999999996</v>
      </c>
      <c r="C153" s="10"/>
      <c r="D153" s="10"/>
      <c r="E153" s="10"/>
      <c r="F153" s="10"/>
      <c r="H153" s="29">
        <f>IF('Tableaux amortissement proj (2'!Q144&gt;0,IF(_tauxactuariel1t1,(('Tableaux amortissement proj (2'!Q144+1)^(1/_nebchan1t))-1,'Tableaux amortissement proj (2'!Q144/_nebchan1t),H152)</f>
        <v>8.3333333333333339E-4</v>
      </c>
      <c r="I153" s="28">
        <f>IF('Tableaux amortissement proj (2'!T144&gt;0,'Tableaux amortissement proj (2'!T144,IF('Tableaux amortissement proj (2'!S144&gt;0,IF(AND(_echfixe12,H153&gt;0),ROUND(('Tableaux amortissement proj (2'!AA144-'Tableaux amortissement proj (2'!R144)*H153/(1-((1+H153)^-'Tableaux amortissement proj (2'!S144)),_nbdeci1t1),ROUND('Tableaux amortissement proj (2'!AA144/'Tableaux amortissement proj (2'!S144,_nbdeci1t1)),I152))</f>
        <v>240200</v>
      </c>
      <c r="J153" s="10"/>
      <c r="K153" s="10"/>
      <c r="L153" s="10"/>
      <c r="M153" s="10"/>
      <c r="O153" s="186">
        <v>151</v>
      </c>
    </row>
    <row r="154" spans="1:15" x14ac:dyDescent="0.2">
      <c r="A154" s="29">
        <f>IF('Tableaux amortissement proj (2'!A145&gt;0,IF(_tauxactuariel1t,(('Tableaux amortissement proj (2'!A145+1)^(1/_nbechan1t))-1,'Tableaux amortissement proj (2'!A145/_nbechan1t),A153)</f>
        <v>1.5499999999999999E-3</v>
      </c>
      <c r="B154" s="28">
        <f>IF('Tableaux amortissement proj (2'!D145&gt;0,'Tableaux amortissement proj (2'!D145,IF('Tableaux amortissement proj (2'!C145&gt;0,IF(AND(_echfixe1t,A154&gt;0),ROUND(('Tableaux amortissement proj (2'!K145-'Tableaux amortissement proj (2'!B145)*A154/(1-((1+A154)^-'Tableaux amortissement proj (2'!C145)),_nbdeci1t),ROUND('Tableaux amortissement proj (2'!K145/'Tableaux amortissement proj (2'!C145,_nbdeci1t)),B153))</f>
        <v>606.91999999999996</v>
      </c>
      <c r="C154" s="10"/>
      <c r="D154" s="10"/>
      <c r="E154" s="10"/>
      <c r="F154" s="10"/>
      <c r="H154" s="29">
        <f>IF('Tableaux amortissement proj (2'!Q145&gt;0,IF(_tauxactuariel1t1,(('Tableaux amortissement proj (2'!Q145+1)^(1/_nebchan1t))-1,'Tableaux amortissement proj (2'!Q145/_nebchan1t),H153)</f>
        <v>8.3333333333333339E-4</v>
      </c>
      <c r="I154" s="28">
        <f>IF('Tableaux amortissement proj (2'!T145&gt;0,'Tableaux amortissement proj (2'!T145,IF('Tableaux amortissement proj (2'!S145&gt;0,IF(AND(_echfixe12,H154&gt;0),ROUND(('Tableaux amortissement proj (2'!AA145-'Tableaux amortissement proj (2'!R145)*H154/(1-((1+H154)^-'Tableaux amortissement proj (2'!S145)),_nbdeci1t1),ROUND('Tableaux amortissement proj (2'!AA145/'Tableaux amortissement proj (2'!S145,_nbdeci1t1)),I153))</f>
        <v>240200</v>
      </c>
      <c r="J154" s="10"/>
      <c r="K154" s="10"/>
      <c r="L154" s="10"/>
      <c r="M154" s="10"/>
      <c r="O154" s="186">
        <v>152</v>
      </c>
    </row>
    <row r="155" spans="1:15" x14ac:dyDescent="0.2">
      <c r="A155" s="29">
        <f>IF('Tableaux amortissement proj (2'!A146&gt;0,IF(_tauxactuariel1t,(('Tableaux amortissement proj (2'!A146+1)^(1/_nbechan1t))-1,'Tableaux amortissement proj (2'!A146/_nbechan1t),A154)</f>
        <v>1.5499999999999999E-3</v>
      </c>
      <c r="B155" s="28">
        <f>IF('Tableaux amortissement proj (2'!D146&gt;0,'Tableaux amortissement proj (2'!D146,IF('Tableaux amortissement proj (2'!C146&gt;0,IF(AND(_echfixe1t,A155&gt;0),ROUND(('Tableaux amortissement proj (2'!K146-'Tableaux amortissement proj (2'!B146)*A155/(1-((1+A155)^-'Tableaux amortissement proj (2'!C146)),_nbdeci1t),ROUND('Tableaux amortissement proj (2'!K146/'Tableaux amortissement proj (2'!C146,_nbdeci1t)),B154))</f>
        <v>606.91999999999996</v>
      </c>
      <c r="C155" s="10"/>
      <c r="D155" s="10"/>
      <c r="E155" s="10"/>
      <c r="F155" s="10"/>
      <c r="H155" s="29">
        <f>IF('Tableaux amortissement proj (2'!Q146&gt;0,IF(_tauxactuariel1t1,(('Tableaux amortissement proj (2'!Q146+1)^(1/_nebchan1t))-1,'Tableaux amortissement proj (2'!Q146/_nebchan1t),H154)</f>
        <v>8.3333333333333339E-4</v>
      </c>
      <c r="I155" s="28">
        <f>IF('Tableaux amortissement proj (2'!T146&gt;0,'Tableaux amortissement proj (2'!T146,IF('Tableaux amortissement proj (2'!S146&gt;0,IF(AND(_echfixe12,H155&gt;0),ROUND(('Tableaux amortissement proj (2'!AA146-'Tableaux amortissement proj (2'!R146)*H155/(1-((1+H155)^-'Tableaux amortissement proj (2'!S146)),_nbdeci1t1),ROUND('Tableaux amortissement proj (2'!AA146/'Tableaux amortissement proj (2'!S146,_nbdeci1t1)),I154))</f>
        <v>240200</v>
      </c>
      <c r="J155" s="10"/>
      <c r="K155" s="10"/>
      <c r="L155" s="10"/>
      <c r="M155" s="10"/>
      <c r="O155" s="186">
        <v>153</v>
      </c>
    </row>
    <row r="156" spans="1:15" x14ac:dyDescent="0.2">
      <c r="A156" s="29">
        <f>IF('Tableaux amortissement proj (2'!A147&gt;0,IF(_tauxactuariel1t,(('Tableaux amortissement proj (2'!A147+1)^(1/_nbechan1t))-1,'Tableaux amortissement proj (2'!A147/_nbechan1t),A155)</f>
        <v>1.5499999999999999E-3</v>
      </c>
      <c r="B156" s="28">
        <f>IF('Tableaux amortissement proj (2'!D147&gt;0,'Tableaux amortissement proj (2'!D147,IF('Tableaux amortissement proj (2'!C147&gt;0,IF(AND(_echfixe1t,A156&gt;0),ROUND(('Tableaux amortissement proj (2'!K147-'Tableaux amortissement proj (2'!B147)*A156/(1-((1+A156)^-'Tableaux amortissement proj (2'!C147)),_nbdeci1t),ROUND('Tableaux amortissement proj (2'!K147/'Tableaux amortissement proj (2'!C147,_nbdeci1t)),B155))</f>
        <v>606.91999999999996</v>
      </c>
      <c r="C156" s="10"/>
      <c r="D156" s="10"/>
      <c r="E156" s="10"/>
      <c r="F156" s="10"/>
      <c r="H156" s="29">
        <f>IF('Tableaux amortissement proj (2'!Q147&gt;0,IF(_tauxactuariel1t1,(('Tableaux amortissement proj (2'!Q147+1)^(1/_nebchan1t))-1,'Tableaux amortissement proj (2'!Q147/_nebchan1t),H155)</f>
        <v>8.3333333333333339E-4</v>
      </c>
      <c r="I156" s="28">
        <f>IF('Tableaux amortissement proj (2'!T147&gt;0,'Tableaux amortissement proj (2'!T147,IF('Tableaux amortissement proj (2'!S147&gt;0,IF(AND(_echfixe12,H156&gt;0),ROUND(('Tableaux amortissement proj (2'!AA147-'Tableaux amortissement proj (2'!R147)*H156/(1-((1+H156)^-'Tableaux amortissement proj (2'!S147)),_nbdeci1t1),ROUND('Tableaux amortissement proj (2'!AA147/'Tableaux amortissement proj (2'!S147,_nbdeci1t1)),I155))</f>
        <v>240200</v>
      </c>
      <c r="J156" s="10"/>
      <c r="K156" s="10"/>
      <c r="L156" s="10"/>
      <c r="M156" s="10"/>
      <c r="O156" s="186">
        <v>154</v>
      </c>
    </row>
    <row r="157" spans="1:15" x14ac:dyDescent="0.2">
      <c r="A157" s="29">
        <f>IF('Tableaux amortissement proj (2'!A148&gt;0,IF(_tauxactuariel1t,(('Tableaux amortissement proj (2'!A148+1)^(1/_nbechan1t))-1,'Tableaux amortissement proj (2'!A148/_nbechan1t),A156)</f>
        <v>1.5499999999999999E-3</v>
      </c>
      <c r="B157" s="28">
        <f>IF('Tableaux amortissement proj (2'!D148&gt;0,'Tableaux amortissement proj (2'!D148,IF('Tableaux amortissement proj (2'!C148&gt;0,IF(AND(_echfixe1t,A157&gt;0),ROUND(('Tableaux amortissement proj (2'!K148-'Tableaux amortissement proj (2'!B148)*A157/(1-((1+A157)^-'Tableaux amortissement proj (2'!C148)),_nbdeci1t),ROUND('Tableaux amortissement proj (2'!K148/'Tableaux amortissement proj (2'!C148,_nbdeci1t)),B156))</f>
        <v>606.91999999999996</v>
      </c>
      <c r="C157" s="10"/>
      <c r="D157" s="10"/>
      <c r="E157" s="10"/>
      <c r="F157" s="10"/>
      <c r="H157" s="29">
        <f>IF('Tableaux amortissement proj (2'!Q148&gt;0,IF(_tauxactuariel1t1,(('Tableaux amortissement proj (2'!Q148+1)^(1/_nebchan1t))-1,'Tableaux amortissement proj (2'!Q148/_nebchan1t),H156)</f>
        <v>8.3333333333333339E-4</v>
      </c>
      <c r="I157" s="28">
        <f>IF('Tableaux amortissement proj (2'!T148&gt;0,'Tableaux amortissement proj (2'!T148,IF('Tableaux amortissement proj (2'!S148&gt;0,IF(AND(_echfixe12,H157&gt;0),ROUND(('Tableaux amortissement proj (2'!AA148-'Tableaux amortissement proj (2'!R148)*H157/(1-((1+H157)^-'Tableaux amortissement proj (2'!S148)),_nbdeci1t1),ROUND('Tableaux amortissement proj (2'!AA148/'Tableaux amortissement proj (2'!S148,_nbdeci1t1)),I156))</f>
        <v>240200</v>
      </c>
      <c r="J157" s="10"/>
      <c r="K157" s="10"/>
      <c r="L157" s="10"/>
      <c r="M157" s="10"/>
      <c r="O157" s="186">
        <v>155</v>
      </c>
    </row>
    <row r="158" spans="1:15" x14ac:dyDescent="0.2">
      <c r="A158" s="29">
        <f>IF('Tableaux amortissement proj (2'!A149&gt;0,IF(_tauxactuariel1t,(('Tableaux amortissement proj (2'!A149+1)^(1/_nbechan1t))-1,'Tableaux amortissement proj (2'!A149/_nbechan1t),A157)</f>
        <v>1.5499999999999999E-3</v>
      </c>
      <c r="B158" s="28">
        <f>IF('Tableaux amortissement proj (2'!D149&gt;0,'Tableaux amortissement proj (2'!D149,IF('Tableaux amortissement proj (2'!C149&gt;0,IF(AND(_echfixe1t,A158&gt;0),ROUND(('Tableaux amortissement proj (2'!K149-'Tableaux amortissement proj (2'!B149)*A158/(1-((1+A158)^-'Tableaux amortissement proj (2'!C149)),_nbdeci1t),ROUND('Tableaux amortissement proj (2'!K149/'Tableaux amortissement proj (2'!C149,_nbdeci1t)),B157))</f>
        <v>606.91999999999996</v>
      </c>
      <c r="C158" s="10"/>
      <c r="D158" s="10"/>
      <c r="E158" s="10"/>
      <c r="F158" s="10"/>
      <c r="H158" s="29">
        <f>IF('Tableaux amortissement proj (2'!Q149&gt;0,IF(_tauxactuariel1t1,(('Tableaux amortissement proj (2'!Q149+1)^(1/_nebchan1t))-1,'Tableaux amortissement proj (2'!Q149/_nebchan1t),H157)</f>
        <v>8.3333333333333339E-4</v>
      </c>
      <c r="I158" s="28">
        <f>IF('Tableaux amortissement proj (2'!T149&gt;0,'Tableaux amortissement proj (2'!T149,IF('Tableaux amortissement proj (2'!S149&gt;0,IF(AND(_echfixe12,H158&gt;0),ROUND(('Tableaux amortissement proj (2'!AA149-'Tableaux amortissement proj (2'!R149)*H158/(1-((1+H158)^-'Tableaux amortissement proj (2'!S149)),_nbdeci1t1),ROUND('Tableaux amortissement proj (2'!AA149/'Tableaux amortissement proj (2'!S149,_nbdeci1t1)),I157))</f>
        <v>240200</v>
      </c>
      <c r="J158" s="10"/>
      <c r="K158" s="10"/>
      <c r="L158" s="10"/>
      <c r="M158" s="10"/>
      <c r="O158" s="186">
        <v>156</v>
      </c>
    </row>
    <row r="159" spans="1:15" x14ac:dyDescent="0.2">
      <c r="A159" s="29">
        <f>IF('Tableaux amortissement proj (2'!A150&gt;0,IF(_tauxactuariel1t,(('Tableaux amortissement proj (2'!A150+1)^(1/_nbechan1t))-1,'Tableaux amortissement proj (2'!A150/_nbechan1t),A158)</f>
        <v>1.5499999999999999E-3</v>
      </c>
      <c r="B159" s="28">
        <f>IF('Tableaux amortissement proj (2'!D150&gt;0,'Tableaux amortissement proj (2'!D150,IF('Tableaux amortissement proj (2'!C150&gt;0,IF(AND(_echfixe1t,A159&gt;0),ROUND(('Tableaux amortissement proj (2'!K150-'Tableaux amortissement proj (2'!B150)*A159/(1-((1+A159)^-'Tableaux amortissement proj (2'!C150)),_nbdeci1t),ROUND('Tableaux amortissement proj (2'!K150/'Tableaux amortissement proj (2'!C150,_nbdeci1t)),B158))</f>
        <v>606.91999999999996</v>
      </c>
      <c r="C159" s="10"/>
      <c r="D159" s="10"/>
      <c r="E159" s="10"/>
      <c r="F159" s="10"/>
      <c r="H159" s="29">
        <f>IF('Tableaux amortissement proj (2'!Q150&gt;0,IF(_tauxactuariel1t1,(('Tableaux amortissement proj (2'!Q150+1)^(1/_nebchan1t))-1,'Tableaux amortissement proj (2'!Q150/_nebchan1t),H158)</f>
        <v>8.3333333333333339E-4</v>
      </c>
      <c r="I159" s="28">
        <f>IF('Tableaux amortissement proj (2'!T150&gt;0,'Tableaux amortissement proj (2'!T150,IF('Tableaux amortissement proj (2'!S150&gt;0,IF(AND(_echfixe12,H159&gt;0),ROUND(('Tableaux amortissement proj (2'!AA150-'Tableaux amortissement proj (2'!R150)*H159/(1-((1+H159)^-'Tableaux amortissement proj (2'!S150)),_nbdeci1t1),ROUND('Tableaux amortissement proj (2'!AA150/'Tableaux amortissement proj (2'!S150,_nbdeci1t1)),I158))</f>
        <v>240200</v>
      </c>
      <c r="J159" s="10"/>
      <c r="K159" s="10"/>
      <c r="L159" s="10"/>
      <c r="M159" s="10"/>
      <c r="O159" s="186">
        <v>157</v>
      </c>
    </row>
    <row r="160" spans="1:15" x14ac:dyDescent="0.2">
      <c r="A160" s="29">
        <f>IF('Tableaux amortissement proj (2'!A151&gt;0,IF(_tauxactuariel1t,(('Tableaux amortissement proj (2'!A151+1)^(1/_nbechan1t))-1,'Tableaux amortissement proj (2'!A151/_nbechan1t),A159)</f>
        <v>1.5499999999999999E-3</v>
      </c>
      <c r="B160" s="28">
        <f>IF('Tableaux amortissement proj (2'!D151&gt;0,'Tableaux amortissement proj (2'!D151,IF('Tableaux amortissement proj (2'!C151&gt;0,IF(AND(_echfixe1t,A160&gt;0),ROUND(('Tableaux amortissement proj (2'!K151-'Tableaux amortissement proj (2'!B151)*A160/(1-((1+A160)^-'Tableaux amortissement proj (2'!C151)),_nbdeci1t),ROUND('Tableaux amortissement proj (2'!K151/'Tableaux amortissement proj (2'!C151,_nbdeci1t)),B159))</f>
        <v>606.91999999999996</v>
      </c>
      <c r="C160" s="10"/>
      <c r="D160" s="10"/>
      <c r="E160" s="10"/>
      <c r="F160" s="10"/>
      <c r="H160" s="29">
        <f>IF('Tableaux amortissement proj (2'!Q151&gt;0,IF(_tauxactuariel1t1,(('Tableaux amortissement proj (2'!Q151+1)^(1/_nebchan1t))-1,'Tableaux amortissement proj (2'!Q151/_nebchan1t),H159)</f>
        <v>8.3333333333333339E-4</v>
      </c>
      <c r="I160" s="28">
        <f>IF('Tableaux amortissement proj (2'!T151&gt;0,'Tableaux amortissement proj (2'!T151,IF('Tableaux amortissement proj (2'!S151&gt;0,IF(AND(_echfixe12,H160&gt;0),ROUND(('Tableaux amortissement proj (2'!AA151-'Tableaux amortissement proj (2'!R151)*H160/(1-((1+H160)^-'Tableaux amortissement proj (2'!S151)),_nbdeci1t1),ROUND('Tableaux amortissement proj (2'!AA151/'Tableaux amortissement proj (2'!S151,_nbdeci1t1)),I159))</f>
        <v>240200</v>
      </c>
      <c r="J160" s="10"/>
      <c r="K160" s="10"/>
      <c r="L160" s="10"/>
      <c r="M160" s="10"/>
      <c r="O160" s="186">
        <v>158</v>
      </c>
    </row>
    <row r="161" spans="1:15" x14ac:dyDescent="0.2">
      <c r="A161" s="29">
        <f>IF('Tableaux amortissement proj (2'!A152&gt;0,IF(_tauxactuariel1t,(('Tableaux amortissement proj (2'!A152+1)^(1/_nbechan1t))-1,'Tableaux amortissement proj (2'!A152/_nbechan1t),A160)</f>
        <v>1.5499999999999999E-3</v>
      </c>
      <c r="B161" s="28">
        <f>IF('Tableaux amortissement proj (2'!D152&gt;0,'Tableaux amortissement proj (2'!D152,IF('Tableaux amortissement proj (2'!C152&gt;0,IF(AND(_echfixe1t,A161&gt;0),ROUND(('Tableaux amortissement proj (2'!K152-'Tableaux amortissement proj (2'!B152)*A161/(1-((1+A161)^-'Tableaux amortissement proj (2'!C152)),_nbdeci1t),ROUND('Tableaux amortissement proj (2'!K152/'Tableaux amortissement proj (2'!C152,_nbdeci1t)),B160))</f>
        <v>606.91999999999996</v>
      </c>
      <c r="C161" s="10"/>
      <c r="D161" s="10"/>
      <c r="E161" s="10"/>
      <c r="F161" s="10"/>
      <c r="H161" s="29">
        <f>IF('Tableaux amortissement proj (2'!Q152&gt;0,IF(_tauxactuariel1t1,(('Tableaux amortissement proj (2'!Q152+1)^(1/_nebchan1t))-1,'Tableaux amortissement proj (2'!Q152/_nebchan1t),H160)</f>
        <v>8.3333333333333339E-4</v>
      </c>
      <c r="I161" s="28">
        <f>IF('Tableaux amortissement proj (2'!T152&gt;0,'Tableaux amortissement proj (2'!T152,IF('Tableaux amortissement proj (2'!S152&gt;0,IF(AND(_echfixe12,H161&gt;0),ROUND(('Tableaux amortissement proj (2'!AA152-'Tableaux amortissement proj (2'!R152)*H161/(1-((1+H161)^-'Tableaux amortissement proj (2'!S152)),_nbdeci1t1),ROUND('Tableaux amortissement proj (2'!AA152/'Tableaux amortissement proj (2'!S152,_nbdeci1t1)),I160))</f>
        <v>240200</v>
      </c>
      <c r="J161" s="10"/>
      <c r="K161" s="10"/>
      <c r="L161" s="10"/>
      <c r="M161" s="10"/>
      <c r="O161" s="186">
        <v>159</v>
      </c>
    </row>
    <row r="162" spans="1:15" x14ac:dyDescent="0.2">
      <c r="A162" s="29">
        <f>IF('Tableaux amortissement proj (2'!A153&gt;0,IF(_tauxactuariel1t,(('Tableaux amortissement proj (2'!A153+1)^(1/_nbechan1t))-1,'Tableaux amortissement proj (2'!A153/_nbechan1t),A161)</f>
        <v>1.5499999999999999E-3</v>
      </c>
      <c r="B162" s="28">
        <f>IF('Tableaux amortissement proj (2'!D153&gt;0,'Tableaux amortissement proj (2'!D153,IF('Tableaux amortissement proj (2'!C153&gt;0,IF(AND(_echfixe1t,A162&gt;0),ROUND(('Tableaux amortissement proj (2'!K153-'Tableaux amortissement proj (2'!B153)*A162/(1-((1+A162)^-'Tableaux amortissement proj (2'!C153)),_nbdeci1t),ROUND('Tableaux amortissement proj (2'!K153/'Tableaux amortissement proj (2'!C153,_nbdeci1t)),B161))</f>
        <v>606.91999999999996</v>
      </c>
      <c r="C162" s="10"/>
      <c r="D162" s="10"/>
      <c r="E162" s="10"/>
      <c r="F162" s="10"/>
      <c r="H162" s="29">
        <f>IF('Tableaux amortissement proj (2'!Q153&gt;0,IF(_tauxactuariel1t1,(('Tableaux amortissement proj (2'!Q153+1)^(1/_nebchan1t))-1,'Tableaux amortissement proj (2'!Q153/_nebchan1t),H161)</f>
        <v>8.3333333333333339E-4</v>
      </c>
      <c r="I162" s="28">
        <f>IF('Tableaux amortissement proj (2'!T153&gt;0,'Tableaux amortissement proj (2'!T153,IF('Tableaux amortissement proj (2'!S153&gt;0,IF(AND(_echfixe12,H162&gt;0),ROUND(('Tableaux amortissement proj (2'!AA153-'Tableaux amortissement proj (2'!R153)*H162/(1-((1+H162)^-'Tableaux amortissement proj (2'!S153)),_nbdeci1t1),ROUND('Tableaux amortissement proj (2'!AA153/'Tableaux amortissement proj (2'!S153,_nbdeci1t1)),I161))</f>
        <v>240200</v>
      </c>
      <c r="J162" s="10"/>
      <c r="K162" s="10"/>
      <c r="L162" s="10"/>
      <c r="M162" s="10"/>
      <c r="O162" s="186">
        <v>160</v>
      </c>
    </row>
    <row r="163" spans="1:15" x14ac:dyDescent="0.2">
      <c r="A163" s="29">
        <f>IF('Tableaux amortissement proj (2'!A154&gt;0,IF(_tauxactuariel1t,(('Tableaux amortissement proj (2'!A154+1)^(1/_nbechan1t))-1,'Tableaux amortissement proj (2'!A154/_nbechan1t),A162)</f>
        <v>1.5499999999999999E-3</v>
      </c>
      <c r="B163" s="28">
        <f>IF('Tableaux amortissement proj (2'!D154&gt;0,'Tableaux amortissement proj (2'!D154,IF('Tableaux amortissement proj (2'!C154&gt;0,IF(AND(_echfixe1t,A163&gt;0),ROUND(('Tableaux amortissement proj (2'!K154-'Tableaux amortissement proj (2'!B154)*A163/(1-((1+A163)^-'Tableaux amortissement proj (2'!C154)),_nbdeci1t),ROUND('Tableaux amortissement proj (2'!K154/'Tableaux amortissement proj (2'!C154,_nbdeci1t)),B162))</f>
        <v>606.91999999999996</v>
      </c>
      <c r="C163" s="10"/>
      <c r="D163" s="10"/>
      <c r="E163" s="10"/>
      <c r="F163" s="10"/>
      <c r="H163" s="29">
        <f>IF('Tableaux amortissement proj (2'!Q154&gt;0,IF(_tauxactuariel1t1,(('Tableaux amortissement proj (2'!Q154+1)^(1/_nebchan1t))-1,'Tableaux amortissement proj (2'!Q154/_nebchan1t),H162)</f>
        <v>8.3333333333333339E-4</v>
      </c>
      <c r="I163" s="28">
        <f>IF('Tableaux amortissement proj (2'!T154&gt;0,'Tableaux amortissement proj (2'!T154,IF('Tableaux amortissement proj (2'!S154&gt;0,IF(AND(_echfixe12,H163&gt;0),ROUND(('Tableaux amortissement proj (2'!AA154-'Tableaux amortissement proj (2'!R154)*H163/(1-((1+H163)^-'Tableaux amortissement proj (2'!S154)),_nbdeci1t1),ROUND('Tableaux amortissement proj (2'!AA154/'Tableaux amortissement proj (2'!S154,_nbdeci1t1)),I162))</f>
        <v>240200</v>
      </c>
      <c r="J163" s="10"/>
      <c r="K163" s="10"/>
      <c r="L163" s="10"/>
      <c r="M163" s="10"/>
      <c r="O163" s="186">
        <v>161</v>
      </c>
    </row>
    <row r="164" spans="1:15" x14ac:dyDescent="0.2">
      <c r="A164" s="29">
        <f>IF('Tableaux amortissement proj (2'!A155&gt;0,IF(_tauxactuariel1t,(('Tableaux amortissement proj (2'!A155+1)^(1/_nbechan1t))-1,'Tableaux amortissement proj (2'!A155/_nbechan1t),A163)</f>
        <v>1.5499999999999999E-3</v>
      </c>
      <c r="B164" s="28">
        <f>IF('Tableaux amortissement proj (2'!D155&gt;0,'Tableaux amortissement proj (2'!D155,IF('Tableaux amortissement proj (2'!C155&gt;0,IF(AND(_echfixe1t,A164&gt;0),ROUND(('Tableaux amortissement proj (2'!K155-'Tableaux amortissement proj (2'!B155)*A164/(1-((1+A164)^-'Tableaux amortissement proj (2'!C155)),_nbdeci1t),ROUND('Tableaux amortissement proj (2'!K155/'Tableaux amortissement proj (2'!C155,_nbdeci1t)),B163))</f>
        <v>606.91999999999996</v>
      </c>
      <c r="C164" s="10"/>
      <c r="D164" s="10"/>
      <c r="E164" s="10"/>
      <c r="F164" s="10"/>
      <c r="H164" s="29">
        <f>IF('Tableaux amortissement proj (2'!Q155&gt;0,IF(_tauxactuariel1t1,(('Tableaux amortissement proj (2'!Q155+1)^(1/_nebchan1t))-1,'Tableaux amortissement proj (2'!Q155/_nebchan1t),H163)</f>
        <v>8.3333333333333339E-4</v>
      </c>
      <c r="I164" s="28">
        <f>IF('Tableaux amortissement proj (2'!T155&gt;0,'Tableaux amortissement proj (2'!T155,IF('Tableaux amortissement proj (2'!S155&gt;0,IF(AND(_echfixe12,H164&gt;0),ROUND(('Tableaux amortissement proj (2'!AA155-'Tableaux amortissement proj (2'!R155)*H164/(1-((1+H164)^-'Tableaux amortissement proj (2'!S155)),_nbdeci1t1),ROUND('Tableaux amortissement proj (2'!AA155/'Tableaux amortissement proj (2'!S155,_nbdeci1t1)),I163))</f>
        <v>240200</v>
      </c>
      <c r="J164" s="10"/>
      <c r="K164" s="10"/>
      <c r="L164" s="10"/>
      <c r="M164" s="10"/>
      <c r="O164" s="186">
        <v>162</v>
      </c>
    </row>
    <row r="165" spans="1:15" x14ac:dyDescent="0.2">
      <c r="A165" s="29">
        <f>IF('Tableaux amortissement proj (2'!A156&gt;0,IF(_tauxactuariel1t,(('Tableaux amortissement proj (2'!A156+1)^(1/_nbechan1t))-1,'Tableaux amortissement proj (2'!A156/_nbechan1t),A164)</f>
        <v>1.5499999999999999E-3</v>
      </c>
      <c r="B165" s="28">
        <f>IF('Tableaux amortissement proj (2'!D156&gt;0,'Tableaux amortissement proj (2'!D156,IF('Tableaux amortissement proj (2'!C156&gt;0,IF(AND(_echfixe1t,A165&gt;0),ROUND(('Tableaux amortissement proj (2'!K156-'Tableaux amortissement proj (2'!B156)*A165/(1-((1+A165)^-'Tableaux amortissement proj (2'!C156)),_nbdeci1t),ROUND('Tableaux amortissement proj (2'!K156/'Tableaux amortissement proj (2'!C156,_nbdeci1t)),B164))</f>
        <v>606.91999999999996</v>
      </c>
      <c r="C165" s="10"/>
      <c r="D165" s="10"/>
      <c r="E165" s="10"/>
      <c r="F165" s="10"/>
      <c r="H165" s="29">
        <f>IF('Tableaux amortissement proj (2'!Q156&gt;0,IF(_tauxactuariel1t1,(('Tableaux amortissement proj (2'!Q156+1)^(1/_nebchan1t))-1,'Tableaux amortissement proj (2'!Q156/_nebchan1t),H164)</f>
        <v>8.3333333333333339E-4</v>
      </c>
      <c r="I165" s="28">
        <f>IF('Tableaux amortissement proj (2'!T156&gt;0,'Tableaux amortissement proj (2'!T156,IF('Tableaux amortissement proj (2'!S156&gt;0,IF(AND(_echfixe12,H165&gt;0),ROUND(('Tableaux amortissement proj (2'!AA156-'Tableaux amortissement proj (2'!R156)*H165/(1-((1+H165)^-'Tableaux amortissement proj (2'!S156)),_nbdeci1t1),ROUND('Tableaux amortissement proj (2'!AA156/'Tableaux amortissement proj (2'!S156,_nbdeci1t1)),I164))</f>
        <v>240200</v>
      </c>
      <c r="J165" s="10"/>
      <c r="K165" s="10"/>
      <c r="L165" s="10"/>
      <c r="M165" s="10"/>
      <c r="O165" s="186">
        <v>163</v>
      </c>
    </row>
    <row r="166" spans="1:15" x14ac:dyDescent="0.2">
      <c r="A166" s="29">
        <f>IF('Tableaux amortissement proj (2'!A157&gt;0,IF(_tauxactuariel1t,(('Tableaux amortissement proj (2'!A157+1)^(1/_nbechan1t))-1,'Tableaux amortissement proj (2'!A157/_nbechan1t),A165)</f>
        <v>1.5499999999999999E-3</v>
      </c>
      <c r="B166" s="28">
        <f>IF('Tableaux amortissement proj (2'!D157&gt;0,'Tableaux amortissement proj (2'!D157,IF('Tableaux amortissement proj (2'!C157&gt;0,IF(AND(_echfixe1t,A166&gt;0),ROUND(('Tableaux amortissement proj (2'!K157-'Tableaux amortissement proj (2'!B157)*A166/(1-((1+A166)^-'Tableaux amortissement proj (2'!C157)),_nbdeci1t),ROUND('Tableaux amortissement proj (2'!K157/'Tableaux amortissement proj (2'!C157,_nbdeci1t)),B165))</f>
        <v>606.91999999999996</v>
      </c>
      <c r="C166" s="10"/>
      <c r="D166" s="10"/>
      <c r="E166" s="10"/>
      <c r="F166" s="10"/>
      <c r="H166" s="29">
        <f>IF('Tableaux amortissement proj (2'!Q157&gt;0,IF(_tauxactuariel1t1,(('Tableaux amortissement proj (2'!Q157+1)^(1/_nebchan1t))-1,'Tableaux amortissement proj (2'!Q157/_nebchan1t),H165)</f>
        <v>8.3333333333333339E-4</v>
      </c>
      <c r="I166" s="28">
        <f>IF('Tableaux amortissement proj (2'!T157&gt;0,'Tableaux amortissement proj (2'!T157,IF('Tableaux amortissement proj (2'!S157&gt;0,IF(AND(_echfixe12,H166&gt;0),ROUND(('Tableaux amortissement proj (2'!AA157-'Tableaux amortissement proj (2'!R157)*H166/(1-((1+H166)^-'Tableaux amortissement proj (2'!S157)),_nbdeci1t1),ROUND('Tableaux amortissement proj (2'!AA157/'Tableaux amortissement proj (2'!S157,_nbdeci1t1)),I165))</f>
        <v>240200</v>
      </c>
      <c r="J166" s="10"/>
      <c r="K166" s="10"/>
      <c r="L166" s="10"/>
      <c r="M166" s="10"/>
      <c r="O166" s="186">
        <v>164</v>
      </c>
    </row>
    <row r="167" spans="1:15" x14ac:dyDescent="0.2">
      <c r="A167" s="29">
        <f>IF('Tableaux amortissement proj (2'!A158&gt;0,IF(_tauxactuariel1t,(('Tableaux amortissement proj (2'!A158+1)^(1/_nbechan1t))-1,'Tableaux amortissement proj (2'!A158/_nbechan1t),A166)</f>
        <v>1.5499999999999999E-3</v>
      </c>
      <c r="B167" s="28">
        <f>IF('Tableaux amortissement proj (2'!D158&gt;0,'Tableaux amortissement proj (2'!D158,IF('Tableaux amortissement proj (2'!C158&gt;0,IF(AND(_echfixe1t,A167&gt;0),ROUND(('Tableaux amortissement proj (2'!K158-'Tableaux amortissement proj (2'!B158)*A167/(1-((1+A167)^-'Tableaux amortissement proj (2'!C158)),_nbdeci1t),ROUND('Tableaux amortissement proj (2'!K158/'Tableaux amortissement proj (2'!C158,_nbdeci1t)),B166))</f>
        <v>606.91999999999996</v>
      </c>
      <c r="C167" s="10"/>
      <c r="D167" s="10"/>
      <c r="E167" s="10"/>
      <c r="F167" s="10"/>
      <c r="H167" s="29">
        <f>IF('Tableaux amortissement proj (2'!Q158&gt;0,IF(_tauxactuariel1t1,(('Tableaux amortissement proj (2'!Q158+1)^(1/_nebchan1t))-1,'Tableaux amortissement proj (2'!Q158/_nebchan1t),H166)</f>
        <v>8.3333333333333339E-4</v>
      </c>
      <c r="I167" s="28">
        <f>IF('Tableaux amortissement proj (2'!T158&gt;0,'Tableaux amortissement proj (2'!T158,IF('Tableaux amortissement proj (2'!S158&gt;0,IF(AND(_echfixe12,H167&gt;0),ROUND(('Tableaux amortissement proj (2'!AA158-'Tableaux amortissement proj (2'!R158)*H167/(1-((1+H167)^-'Tableaux amortissement proj (2'!S158)),_nbdeci1t1),ROUND('Tableaux amortissement proj (2'!AA158/'Tableaux amortissement proj (2'!S158,_nbdeci1t1)),I166))</f>
        <v>240200</v>
      </c>
      <c r="J167" s="10"/>
      <c r="K167" s="10"/>
      <c r="L167" s="10"/>
      <c r="M167" s="10"/>
      <c r="O167" s="186">
        <v>165</v>
      </c>
    </row>
    <row r="168" spans="1:15" x14ac:dyDescent="0.2">
      <c r="A168" s="29">
        <f>IF('Tableaux amortissement proj (2'!A159&gt;0,IF(_tauxactuariel1t,(('Tableaux amortissement proj (2'!A159+1)^(1/_nbechan1t))-1,'Tableaux amortissement proj (2'!A159/_nbechan1t),A167)</f>
        <v>1.5499999999999999E-3</v>
      </c>
      <c r="B168" s="28">
        <f>IF('Tableaux amortissement proj (2'!D159&gt;0,'Tableaux amortissement proj (2'!D159,IF('Tableaux amortissement proj (2'!C159&gt;0,IF(AND(_echfixe1t,A168&gt;0),ROUND(('Tableaux amortissement proj (2'!K159-'Tableaux amortissement proj (2'!B159)*A168/(1-((1+A168)^-'Tableaux amortissement proj (2'!C159)),_nbdeci1t),ROUND('Tableaux amortissement proj (2'!K159/'Tableaux amortissement proj (2'!C159,_nbdeci1t)),B167))</f>
        <v>606.91999999999996</v>
      </c>
      <c r="C168" s="10"/>
      <c r="D168" s="10"/>
      <c r="E168" s="10"/>
      <c r="F168" s="10"/>
      <c r="H168" s="29">
        <f>IF('Tableaux amortissement proj (2'!Q159&gt;0,IF(_tauxactuariel1t1,(('Tableaux amortissement proj (2'!Q159+1)^(1/_nebchan1t))-1,'Tableaux amortissement proj (2'!Q159/_nebchan1t),H167)</f>
        <v>8.3333333333333339E-4</v>
      </c>
      <c r="I168" s="28">
        <f>IF('Tableaux amortissement proj (2'!T159&gt;0,'Tableaux amortissement proj (2'!T159,IF('Tableaux amortissement proj (2'!S159&gt;0,IF(AND(_echfixe12,H168&gt;0),ROUND(('Tableaux amortissement proj (2'!AA159-'Tableaux amortissement proj (2'!R159)*H168/(1-((1+H168)^-'Tableaux amortissement proj (2'!S159)),_nbdeci1t1),ROUND('Tableaux amortissement proj (2'!AA159/'Tableaux amortissement proj (2'!S159,_nbdeci1t1)),I167))</f>
        <v>240200</v>
      </c>
      <c r="J168" s="10"/>
      <c r="K168" s="10"/>
      <c r="L168" s="10"/>
      <c r="M168" s="10"/>
      <c r="O168" s="186">
        <v>166</v>
      </c>
    </row>
    <row r="169" spans="1:15" x14ac:dyDescent="0.2">
      <c r="A169" s="29">
        <f>IF('Tableaux amortissement proj (2'!A160&gt;0,IF(_tauxactuariel1t,(('Tableaux amortissement proj (2'!A160+1)^(1/_nbechan1t))-1,'Tableaux amortissement proj (2'!A160/_nbechan1t),A168)</f>
        <v>1.5499999999999999E-3</v>
      </c>
      <c r="B169" s="28">
        <f>IF('Tableaux amortissement proj (2'!D160&gt;0,'Tableaux amortissement proj (2'!D160,IF('Tableaux amortissement proj (2'!C160&gt;0,IF(AND(_echfixe1t,A169&gt;0),ROUND(('Tableaux amortissement proj (2'!K160-'Tableaux amortissement proj (2'!B160)*A169/(1-((1+A169)^-'Tableaux amortissement proj (2'!C160)),_nbdeci1t),ROUND('Tableaux amortissement proj (2'!K160/'Tableaux amortissement proj (2'!C160,_nbdeci1t)),B168))</f>
        <v>606.91999999999996</v>
      </c>
      <c r="C169" s="10"/>
      <c r="D169" s="10"/>
      <c r="E169" s="10"/>
      <c r="F169" s="10"/>
      <c r="H169" s="29">
        <f>IF('Tableaux amortissement proj (2'!Q160&gt;0,IF(_tauxactuariel1t1,(('Tableaux amortissement proj (2'!Q160+1)^(1/_nebchan1t))-1,'Tableaux amortissement proj (2'!Q160/_nebchan1t),H168)</f>
        <v>8.3333333333333339E-4</v>
      </c>
      <c r="I169" s="28">
        <f>IF('Tableaux amortissement proj (2'!T160&gt;0,'Tableaux amortissement proj (2'!T160,IF('Tableaux amortissement proj (2'!S160&gt;0,IF(AND(_echfixe12,H169&gt;0),ROUND(('Tableaux amortissement proj (2'!AA160-'Tableaux amortissement proj (2'!R160)*H169/(1-((1+H169)^-'Tableaux amortissement proj (2'!S160)),_nbdeci1t1),ROUND('Tableaux amortissement proj (2'!AA160/'Tableaux amortissement proj (2'!S160,_nbdeci1t1)),I168))</f>
        <v>240200</v>
      </c>
      <c r="J169" s="10"/>
      <c r="K169" s="10"/>
      <c r="L169" s="10"/>
      <c r="M169" s="10"/>
      <c r="O169" s="186">
        <v>167</v>
      </c>
    </row>
    <row r="170" spans="1:15" x14ac:dyDescent="0.2">
      <c r="A170" s="29">
        <f>IF('Tableaux amortissement proj (2'!A161&gt;0,IF(_tauxactuariel1t,(('Tableaux amortissement proj (2'!A161+1)^(1/_nbechan1t))-1,'Tableaux amortissement proj (2'!A161/_nbechan1t),A169)</f>
        <v>1.5499999999999999E-3</v>
      </c>
      <c r="B170" s="28">
        <f>IF('Tableaux amortissement proj (2'!D161&gt;0,'Tableaux amortissement proj (2'!D161,IF('Tableaux amortissement proj (2'!C161&gt;0,IF(AND(_echfixe1t,A170&gt;0),ROUND(('Tableaux amortissement proj (2'!K161-'Tableaux amortissement proj (2'!B161)*A170/(1-((1+A170)^-'Tableaux amortissement proj (2'!C161)),_nbdeci1t),ROUND('Tableaux amortissement proj (2'!K161/'Tableaux amortissement proj (2'!C161,_nbdeci1t)),B169))</f>
        <v>606.91999999999996</v>
      </c>
      <c r="C170" s="10"/>
      <c r="D170" s="10"/>
      <c r="E170" s="10"/>
      <c r="F170" s="10"/>
      <c r="H170" s="29">
        <f>IF('Tableaux amortissement proj (2'!Q161&gt;0,IF(_tauxactuariel1t1,(('Tableaux amortissement proj (2'!Q161+1)^(1/_nebchan1t))-1,'Tableaux amortissement proj (2'!Q161/_nebchan1t),H169)</f>
        <v>8.3333333333333339E-4</v>
      </c>
      <c r="I170" s="28">
        <f>IF('Tableaux amortissement proj (2'!T161&gt;0,'Tableaux amortissement proj (2'!T161,IF('Tableaux amortissement proj (2'!S161&gt;0,IF(AND(_echfixe12,H170&gt;0),ROUND(('Tableaux amortissement proj (2'!AA161-'Tableaux amortissement proj (2'!R161)*H170/(1-((1+H170)^-'Tableaux amortissement proj (2'!S161)),_nbdeci1t1),ROUND('Tableaux amortissement proj (2'!AA161/'Tableaux amortissement proj (2'!S161,_nbdeci1t1)),I169))</f>
        <v>240200</v>
      </c>
      <c r="J170" s="10"/>
      <c r="K170" s="10"/>
      <c r="L170" s="10"/>
      <c r="M170" s="10"/>
      <c r="O170" s="186">
        <v>168</v>
      </c>
    </row>
    <row r="171" spans="1:15" x14ac:dyDescent="0.2">
      <c r="A171" s="29">
        <f>IF('Tableaux amortissement proj (2'!A162&gt;0,IF(_tauxactuariel1t,(('Tableaux amortissement proj (2'!A162+1)^(1/_nbechan1t))-1,'Tableaux amortissement proj (2'!A162/_nbechan1t),A170)</f>
        <v>1.5499999999999999E-3</v>
      </c>
      <c r="B171" s="28">
        <f>IF('Tableaux amortissement proj (2'!D162&gt;0,'Tableaux amortissement proj (2'!D162,IF('Tableaux amortissement proj (2'!C162&gt;0,IF(AND(_echfixe1t,A171&gt;0),ROUND(('Tableaux amortissement proj (2'!K162-'Tableaux amortissement proj (2'!B162)*A171/(1-((1+A171)^-'Tableaux amortissement proj (2'!C162)),_nbdeci1t),ROUND('Tableaux amortissement proj (2'!K162/'Tableaux amortissement proj (2'!C162,_nbdeci1t)),B170))</f>
        <v>606.91999999999996</v>
      </c>
      <c r="C171" s="10"/>
      <c r="D171" s="10"/>
      <c r="E171" s="10"/>
      <c r="F171" s="10"/>
      <c r="H171" s="29">
        <f>IF('Tableaux amortissement proj (2'!Q162&gt;0,IF(_tauxactuariel1t1,(('Tableaux amortissement proj (2'!Q162+1)^(1/_nebchan1t))-1,'Tableaux amortissement proj (2'!Q162/_nebchan1t),H170)</f>
        <v>8.3333333333333339E-4</v>
      </c>
      <c r="I171" s="28">
        <f>IF('Tableaux amortissement proj (2'!T162&gt;0,'Tableaux amortissement proj (2'!T162,IF('Tableaux amortissement proj (2'!S162&gt;0,IF(AND(_echfixe12,H171&gt;0),ROUND(('Tableaux amortissement proj (2'!AA162-'Tableaux amortissement proj (2'!R162)*H171/(1-((1+H171)^-'Tableaux amortissement proj (2'!S162)),_nbdeci1t1),ROUND('Tableaux amortissement proj (2'!AA162/'Tableaux amortissement proj (2'!S162,_nbdeci1t1)),I170))</f>
        <v>240200</v>
      </c>
      <c r="J171" s="10"/>
      <c r="K171" s="10"/>
      <c r="L171" s="10"/>
      <c r="M171" s="10"/>
      <c r="O171" s="186">
        <v>169</v>
      </c>
    </row>
    <row r="172" spans="1:15" x14ac:dyDescent="0.2">
      <c r="A172" s="29">
        <f>IF('Tableaux amortissement proj (2'!A163&gt;0,IF(_tauxactuariel1t,(('Tableaux amortissement proj (2'!A163+1)^(1/_nbechan1t))-1,'Tableaux amortissement proj (2'!A163/_nbechan1t),A171)</f>
        <v>1.5499999999999999E-3</v>
      </c>
      <c r="B172" s="28">
        <f>IF('Tableaux amortissement proj (2'!D163&gt;0,'Tableaux amortissement proj (2'!D163,IF('Tableaux amortissement proj (2'!C163&gt;0,IF(AND(_echfixe1t,A172&gt;0),ROUND(('Tableaux amortissement proj (2'!K163-'Tableaux amortissement proj (2'!B163)*A172/(1-((1+A172)^-'Tableaux amortissement proj (2'!C163)),_nbdeci1t),ROUND('Tableaux amortissement proj (2'!K163/'Tableaux amortissement proj (2'!C163,_nbdeci1t)),B171))</f>
        <v>606.91999999999996</v>
      </c>
      <c r="C172" s="10"/>
      <c r="D172" s="10"/>
      <c r="E172" s="10"/>
      <c r="F172" s="10"/>
      <c r="H172" s="29">
        <f>IF('Tableaux amortissement proj (2'!Q163&gt;0,IF(_tauxactuariel1t1,(('Tableaux amortissement proj (2'!Q163+1)^(1/_nebchan1t))-1,'Tableaux amortissement proj (2'!Q163/_nebchan1t),H171)</f>
        <v>8.3333333333333339E-4</v>
      </c>
      <c r="I172" s="28">
        <f>IF('Tableaux amortissement proj (2'!T163&gt;0,'Tableaux amortissement proj (2'!T163,IF('Tableaux amortissement proj (2'!S163&gt;0,IF(AND(_echfixe12,H172&gt;0),ROUND(('Tableaux amortissement proj (2'!AA163-'Tableaux amortissement proj (2'!R163)*H172/(1-((1+H172)^-'Tableaux amortissement proj (2'!S163)),_nbdeci1t1),ROUND('Tableaux amortissement proj (2'!AA163/'Tableaux amortissement proj (2'!S163,_nbdeci1t1)),I171))</f>
        <v>240200</v>
      </c>
      <c r="J172" s="10"/>
      <c r="K172" s="10"/>
      <c r="L172" s="10"/>
      <c r="M172" s="10"/>
      <c r="O172" s="186">
        <v>170</v>
      </c>
    </row>
    <row r="173" spans="1:15" x14ac:dyDescent="0.2">
      <c r="A173" s="29">
        <f>IF('Tableaux amortissement proj (2'!A164&gt;0,IF(_tauxactuariel1t,(('Tableaux amortissement proj (2'!A164+1)^(1/_nbechan1t))-1,'Tableaux amortissement proj (2'!A164/_nbechan1t),A172)</f>
        <v>1.5499999999999999E-3</v>
      </c>
      <c r="B173" s="28">
        <f>IF('Tableaux amortissement proj (2'!D164&gt;0,'Tableaux amortissement proj (2'!D164,IF('Tableaux amortissement proj (2'!C164&gt;0,IF(AND(_echfixe1t,A173&gt;0),ROUND(('Tableaux amortissement proj (2'!K164-'Tableaux amortissement proj (2'!B164)*A173/(1-((1+A173)^-'Tableaux amortissement proj (2'!C164)),_nbdeci1t),ROUND('Tableaux amortissement proj (2'!K164/'Tableaux amortissement proj (2'!C164,_nbdeci1t)),B172))</f>
        <v>606.91999999999996</v>
      </c>
      <c r="C173" s="10"/>
      <c r="D173" s="10"/>
      <c r="E173" s="10"/>
      <c r="F173" s="10"/>
      <c r="H173" s="29">
        <f>IF('Tableaux amortissement proj (2'!Q164&gt;0,IF(_tauxactuariel1t1,(('Tableaux amortissement proj (2'!Q164+1)^(1/_nebchan1t))-1,'Tableaux amortissement proj (2'!Q164/_nebchan1t),H172)</f>
        <v>8.3333333333333339E-4</v>
      </c>
      <c r="I173" s="28">
        <f>IF('Tableaux amortissement proj (2'!T164&gt;0,'Tableaux amortissement proj (2'!T164,IF('Tableaux amortissement proj (2'!S164&gt;0,IF(AND(_echfixe12,H173&gt;0),ROUND(('Tableaux amortissement proj (2'!AA164-'Tableaux amortissement proj (2'!R164)*H173/(1-((1+H173)^-'Tableaux amortissement proj (2'!S164)),_nbdeci1t1),ROUND('Tableaux amortissement proj (2'!AA164/'Tableaux amortissement proj (2'!S164,_nbdeci1t1)),I172))</f>
        <v>240200</v>
      </c>
      <c r="J173" s="10"/>
      <c r="K173" s="10"/>
      <c r="L173" s="10"/>
      <c r="M173" s="10"/>
      <c r="O173" s="186">
        <v>171</v>
      </c>
    </row>
    <row r="174" spans="1:15" x14ac:dyDescent="0.2">
      <c r="A174" s="29">
        <f>IF('Tableaux amortissement proj (2'!A165&gt;0,IF(_tauxactuariel1t,(('Tableaux amortissement proj (2'!A165+1)^(1/_nbechan1t))-1,'Tableaux amortissement proj (2'!A165/_nbechan1t),A173)</f>
        <v>1.5499999999999999E-3</v>
      </c>
      <c r="B174" s="28">
        <f>IF('Tableaux amortissement proj (2'!D165&gt;0,'Tableaux amortissement proj (2'!D165,IF('Tableaux amortissement proj (2'!C165&gt;0,IF(AND(_echfixe1t,A174&gt;0),ROUND(('Tableaux amortissement proj (2'!K165-'Tableaux amortissement proj (2'!B165)*A174/(1-((1+A174)^-'Tableaux amortissement proj (2'!C165)),_nbdeci1t),ROUND('Tableaux amortissement proj (2'!K165/'Tableaux amortissement proj (2'!C165,_nbdeci1t)),B173))</f>
        <v>606.91999999999996</v>
      </c>
      <c r="C174" s="10"/>
      <c r="D174" s="10"/>
      <c r="E174" s="10"/>
      <c r="F174" s="10"/>
      <c r="H174" s="29">
        <f>IF('Tableaux amortissement proj (2'!Q165&gt;0,IF(_tauxactuariel1t1,(('Tableaux amortissement proj (2'!Q165+1)^(1/_nebchan1t))-1,'Tableaux amortissement proj (2'!Q165/_nebchan1t),H173)</f>
        <v>8.3333333333333339E-4</v>
      </c>
      <c r="I174" s="28">
        <f>IF('Tableaux amortissement proj (2'!T165&gt;0,'Tableaux amortissement proj (2'!T165,IF('Tableaux amortissement proj (2'!S165&gt;0,IF(AND(_echfixe12,H174&gt;0),ROUND(('Tableaux amortissement proj (2'!AA165-'Tableaux amortissement proj (2'!R165)*H174/(1-((1+H174)^-'Tableaux amortissement proj (2'!S165)),_nbdeci1t1),ROUND('Tableaux amortissement proj (2'!AA165/'Tableaux amortissement proj (2'!S165,_nbdeci1t1)),I173))</f>
        <v>240200</v>
      </c>
      <c r="J174" s="10"/>
      <c r="K174" s="10"/>
      <c r="L174" s="10"/>
      <c r="M174" s="10"/>
      <c r="O174" s="186">
        <v>172</v>
      </c>
    </row>
    <row r="175" spans="1:15" x14ac:dyDescent="0.2">
      <c r="A175" s="29">
        <f>IF('Tableaux amortissement proj (2'!A166&gt;0,IF(_tauxactuariel1t,(('Tableaux amortissement proj (2'!A166+1)^(1/_nbechan1t))-1,'Tableaux amortissement proj (2'!A166/_nbechan1t),A174)</f>
        <v>1.5499999999999999E-3</v>
      </c>
      <c r="B175" s="28">
        <f>IF('Tableaux amortissement proj (2'!D166&gt;0,'Tableaux amortissement proj (2'!D166,IF('Tableaux amortissement proj (2'!C166&gt;0,IF(AND(_echfixe1t,A175&gt;0),ROUND(('Tableaux amortissement proj (2'!K166-'Tableaux amortissement proj (2'!B166)*A175/(1-((1+A175)^-'Tableaux amortissement proj (2'!C166)),_nbdeci1t),ROUND('Tableaux amortissement proj (2'!K166/'Tableaux amortissement proj (2'!C166,_nbdeci1t)),B174))</f>
        <v>606.91999999999996</v>
      </c>
      <c r="C175" s="10"/>
      <c r="D175" s="10"/>
      <c r="E175" s="10"/>
      <c r="F175" s="10"/>
      <c r="H175" s="29">
        <f>IF('Tableaux amortissement proj (2'!Q166&gt;0,IF(_tauxactuariel1t1,(('Tableaux amortissement proj (2'!Q166+1)^(1/_nebchan1t))-1,'Tableaux amortissement proj (2'!Q166/_nebchan1t),H174)</f>
        <v>8.3333333333333339E-4</v>
      </c>
      <c r="I175" s="28">
        <f>IF('Tableaux amortissement proj (2'!T166&gt;0,'Tableaux amortissement proj (2'!T166,IF('Tableaux amortissement proj (2'!S166&gt;0,IF(AND(_echfixe12,H175&gt;0),ROUND(('Tableaux amortissement proj (2'!AA166-'Tableaux amortissement proj (2'!R166)*H175/(1-((1+H175)^-'Tableaux amortissement proj (2'!S166)),_nbdeci1t1),ROUND('Tableaux amortissement proj (2'!AA166/'Tableaux amortissement proj (2'!S166,_nbdeci1t1)),I174))</f>
        <v>240200</v>
      </c>
      <c r="J175" s="10"/>
      <c r="K175" s="10"/>
      <c r="L175" s="10"/>
      <c r="M175" s="10"/>
      <c r="O175" s="186">
        <v>173</v>
      </c>
    </row>
    <row r="176" spans="1:15" x14ac:dyDescent="0.2">
      <c r="A176" s="29">
        <f>IF('Tableaux amortissement proj (2'!A167&gt;0,IF(_tauxactuariel1t,(('Tableaux amortissement proj (2'!A167+1)^(1/_nbechan1t))-1,'Tableaux amortissement proj (2'!A167/_nbechan1t),A175)</f>
        <v>1.5499999999999999E-3</v>
      </c>
      <c r="B176" s="28">
        <f>IF('Tableaux amortissement proj (2'!D167&gt;0,'Tableaux amortissement proj (2'!D167,IF('Tableaux amortissement proj (2'!C167&gt;0,IF(AND(_echfixe1t,A176&gt;0),ROUND(('Tableaux amortissement proj (2'!K167-'Tableaux amortissement proj (2'!B167)*A176/(1-((1+A176)^-'Tableaux amortissement proj (2'!C167)),_nbdeci1t),ROUND('Tableaux amortissement proj (2'!K167/'Tableaux amortissement proj (2'!C167,_nbdeci1t)),B175))</f>
        <v>606.91999999999996</v>
      </c>
      <c r="C176" s="10"/>
      <c r="D176" s="10"/>
      <c r="E176" s="10"/>
      <c r="F176" s="10"/>
      <c r="H176" s="29">
        <f>IF('Tableaux amortissement proj (2'!Q167&gt;0,IF(_tauxactuariel1t1,(('Tableaux amortissement proj (2'!Q167+1)^(1/_nebchan1t))-1,'Tableaux amortissement proj (2'!Q167/_nebchan1t),H175)</f>
        <v>8.3333333333333339E-4</v>
      </c>
      <c r="I176" s="28">
        <f>IF('Tableaux amortissement proj (2'!T167&gt;0,'Tableaux amortissement proj (2'!T167,IF('Tableaux amortissement proj (2'!S167&gt;0,IF(AND(_echfixe12,H176&gt;0),ROUND(('Tableaux amortissement proj (2'!AA167-'Tableaux amortissement proj (2'!R167)*H176/(1-((1+H176)^-'Tableaux amortissement proj (2'!S167)),_nbdeci1t1),ROUND('Tableaux amortissement proj (2'!AA167/'Tableaux amortissement proj (2'!S167,_nbdeci1t1)),I175))</f>
        <v>240200</v>
      </c>
      <c r="J176" s="10"/>
      <c r="K176" s="10"/>
      <c r="L176" s="10"/>
      <c r="M176" s="10"/>
      <c r="O176" s="186">
        <v>174</v>
      </c>
    </row>
    <row r="177" spans="1:15" x14ac:dyDescent="0.2">
      <c r="A177" s="29">
        <f>IF('Tableaux amortissement proj (2'!A168&gt;0,IF(_tauxactuariel1t,(('Tableaux amortissement proj (2'!A168+1)^(1/_nbechan1t))-1,'Tableaux amortissement proj (2'!A168/_nbechan1t),A176)</f>
        <v>1.5499999999999999E-3</v>
      </c>
      <c r="B177" s="28">
        <f>IF('Tableaux amortissement proj (2'!D168&gt;0,'Tableaux amortissement proj (2'!D168,IF('Tableaux amortissement proj (2'!C168&gt;0,IF(AND(_echfixe1t,A177&gt;0),ROUND(('Tableaux amortissement proj (2'!K168-'Tableaux amortissement proj (2'!B168)*A177/(1-((1+A177)^-'Tableaux amortissement proj (2'!C168)),_nbdeci1t),ROUND('Tableaux amortissement proj (2'!K168/'Tableaux amortissement proj (2'!C168,_nbdeci1t)),B176))</f>
        <v>606.91999999999996</v>
      </c>
      <c r="C177" s="10"/>
      <c r="D177" s="10"/>
      <c r="E177" s="10"/>
      <c r="F177" s="10"/>
      <c r="H177" s="29">
        <f>IF('Tableaux amortissement proj (2'!Q168&gt;0,IF(_tauxactuariel1t1,(('Tableaux amortissement proj (2'!Q168+1)^(1/_nebchan1t))-1,'Tableaux amortissement proj (2'!Q168/_nebchan1t),H176)</f>
        <v>8.3333333333333339E-4</v>
      </c>
      <c r="I177" s="28">
        <f>IF('Tableaux amortissement proj (2'!T168&gt;0,'Tableaux amortissement proj (2'!T168,IF('Tableaux amortissement proj (2'!S168&gt;0,IF(AND(_echfixe12,H177&gt;0),ROUND(('Tableaux amortissement proj (2'!AA168-'Tableaux amortissement proj (2'!R168)*H177/(1-((1+H177)^-'Tableaux amortissement proj (2'!S168)),_nbdeci1t1),ROUND('Tableaux amortissement proj (2'!AA168/'Tableaux amortissement proj (2'!S168,_nbdeci1t1)),I176))</f>
        <v>240200</v>
      </c>
      <c r="J177" s="10"/>
      <c r="K177" s="10"/>
      <c r="L177" s="10"/>
      <c r="M177" s="10"/>
      <c r="O177" s="186">
        <v>175</v>
      </c>
    </row>
    <row r="178" spans="1:15" x14ac:dyDescent="0.2">
      <c r="A178" s="29">
        <f>IF('Tableaux amortissement proj (2'!A169&gt;0,IF(_tauxactuariel1t,(('Tableaux amortissement proj (2'!A169+1)^(1/_nbechan1t))-1,'Tableaux amortissement proj (2'!A169/_nbechan1t),A177)</f>
        <v>1.5499999999999999E-3</v>
      </c>
      <c r="B178" s="28">
        <f>IF('Tableaux amortissement proj (2'!D169&gt;0,'Tableaux amortissement proj (2'!D169,IF('Tableaux amortissement proj (2'!C169&gt;0,IF(AND(_echfixe1t,A178&gt;0),ROUND(('Tableaux amortissement proj (2'!K169-'Tableaux amortissement proj (2'!B169)*A178/(1-((1+A178)^-'Tableaux amortissement proj (2'!C169)),_nbdeci1t),ROUND('Tableaux amortissement proj (2'!K169/'Tableaux amortissement proj (2'!C169,_nbdeci1t)),B177))</f>
        <v>606.91999999999996</v>
      </c>
      <c r="C178" s="10"/>
      <c r="D178" s="10"/>
      <c r="E178" s="10"/>
      <c r="F178" s="10"/>
      <c r="H178" s="29">
        <f>IF('Tableaux amortissement proj (2'!Q169&gt;0,IF(_tauxactuariel1t1,(('Tableaux amortissement proj (2'!Q169+1)^(1/_nebchan1t))-1,'Tableaux amortissement proj (2'!Q169/_nebchan1t),H177)</f>
        <v>8.3333333333333339E-4</v>
      </c>
      <c r="I178" s="28">
        <f>IF('Tableaux amortissement proj (2'!T169&gt;0,'Tableaux amortissement proj (2'!T169,IF('Tableaux amortissement proj (2'!S169&gt;0,IF(AND(_echfixe12,H178&gt;0),ROUND(('Tableaux amortissement proj (2'!AA169-'Tableaux amortissement proj (2'!R169)*H178/(1-((1+H178)^-'Tableaux amortissement proj (2'!S169)),_nbdeci1t1),ROUND('Tableaux amortissement proj (2'!AA169/'Tableaux amortissement proj (2'!S169,_nbdeci1t1)),I177))</f>
        <v>240200</v>
      </c>
      <c r="J178" s="10"/>
      <c r="K178" s="10"/>
      <c r="L178" s="10"/>
      <c r="M178" s="10"/>
      <c r="O178" s="186">
        <v>176</v>
      </c>
    </row>
    <row r="179" spans="1:15" x14ac:dyDescent="0.2">
      <c r="A179" s="29">
        <f>IF('Tableaux amortissement proj (2'!A170&gt;0,IF(_tauxactuariel1t,(('Tableaux amortissement proj (2'!A170+1)^(1/_nbechan1t))-1,'Tableaux amortissement proj (2'!A170/_nbechan1t),A178)</f>
        <v>1.5499999999999999E-3</v>
      </c>
      <c r="B179" s="28">
        <f>IF('Tableaux amortissement proj (2'!D170&gt;0,'Tableaux amortissement proj (2'!D170,IF('Tableaux amortissement proj (2'!C170&gt;0,IF(AND(_echfixe1t,A179&gt;0),ROUND(('Tableaux amortissement proj (2'!K170-'Tableaux amortissement proj (2'!B170)*A179/(1-((1+A179)^-'Tableaux amortissement proj (2'!C170)),_nbdeci1t),ROUND('Tableaux amortissement proj (2'!K170/'Tableaux amortissement proj (2'!C170,_nbdeci1t)),B178))</f>
        <v>606.91999999999996</v>
      </c>
      <c r="C179" s="10"/>
      <c r="D179" s="10"/>
      <c r="E179" s="10"/>
      <c r="F179" s="10"/>
      <c r="H179" s="29">
        <f>IF('Tableaux amortissement proj (2'!Q170&gt;0,IF(_tauxactuariel1t1,(('Tableaux amortissement proj (2'!Q170+1)^(1/_nebchan1t))-1,'Tableaux amortissement proj (2'!Q170/_nebchan1t),H178)</f>
        <v>8.3333333333333339E-4</v>
      </c>
      <c r="I179" s="28">
        <f>IF('Tableaux amortissement proj (2'!T170&gt;0,'Tableaux amortissement proj (2'!T170,IF('Tableaux amortissement proj (2'!S170&gt;0,IF(AND(_echfixe12,H179&gt;0),ROUND(('Tableaux amortissement proj (2'!AA170-'Tableaux amortissement proj (2'!R170)*H179/(1-((1+H179)^-'Tableaux amortissement proj (2'!S170)),_nbdeci1t1),ROUND('Tableaux amortissement proj (2'!AA170/'Tableaux amortissement proj (2'!S170,_nbdeci1t1)),I178))</f>
        <v>240200</v>
      </c>
      <c r="J179" s="10"/>
      <c r="K179" s="10"/>
      <c r="L179" s="10"/>
      <c r="M179" s="10"/>
      <c r="O179" s="186">
        <v>177</v>
      </c>
    </row>
    <row r="180" spans="1:15" x14ac:dyDescent="0.2">
      <c r="A180" s="29">
        <f>IF('Tableaux amortissement proj (2'!A171&gt;0,IF(_tauxactuariel1t,(('Tableaux amortissement proj (2'!A171+1)^(1/_nbechan1t))-1,'Tableaux amortissement proj (2'!A171/_nbechan1t),A179)</f>
        <v>1.5499999999999999E-3</v>
      </c>
      <c r="B180" s="28">
        <f>IF('Tableaux amortissement proj (2'!D171&gt;0,'Tableaux amortissement proj (2'!D171,IF('Tableaux amortissement proj (2'!C171&gt;0,IF(AND(_echfixe1t,A180&gt;0),ROUND(('Tableaux amortissement proj (2'!K171-'Tableaux amortissement proj (2'!B171)*A180/(1-((1+A180)^-'Tableaux amortissement proj (2'!C171)),_nbdeci1t),ROUND('Tableaux amortissement proj (2'!K171/'Tableaux amortissement proj (2'!C171,_nbdeci1t)),B179))</f>
        <v>606.91999999999996</v>
      </c>
      <c r="C180" s="10"/>
      <c r="D180" s="10"/>
      <c r="E180" s="10"/>
      <c r="F180" s="10"/>
      <c r="H180" s="29">
        <f>IF('Tableaux amortissement proj (2'!Q171&gt;0,IF(_tauxactuariel1t1,(('Tableaux amortissement proj (2'!Q171+1)^(1/_nebchan1t))-1,'Tableaux amortissement proj (2'!Q171/_nebchan1t),H179)</f>
        <v>8.3333333333333339E-4</v>
      </c>
      <c r="I180" s="28">
        <f>IF('Tableaux amortissement proj (2'!T171&gt;0,'Tableaux amortissement proj (2'!T171,IF('Tableaux amortissement proj (2'!S171&gt;0,IF(AND(_echfixe12,H180&gt;0),ROUND(('Tableaux amortissement proj (2'!AA171-'Tableaux amortissement proj (2'!R171)*H180/(1-((1+H180)^-'Tableaux amortissement proj (2'!S171)),_nbdeci1t1),ROUND('Tableaux amortissement proj (2'!AA171/'Tableaux amortissement proj (2'!S171,_nbdeci1t1)),I179))</f>
        <v>240200</v>
      </c>
      <c r="J180" s="10"/>
      <c r="K180" s="10"/>
      <c r="L180" s="10"/>
      <c r="M180" s="10"/>
      <c r="O180" s="186">
        <v>178</v>
      </c>
    </row>
    <row r="181" spans="1:15" x14ac:dyDescent="0.2">
      <c r="A181" s="29">
        <f>IF('Tableaux amortissement proj (2'!A172&gt;0,IF(_tauxactuariel1t,(('Tableaux amortissement proj (2'!A172+1)^(1/_nbechan1t))-1,'Tableaux amortissement proj (2'!A172/_nbechan1t),A180)</f>
        <v>1.5499999999999999E-3</v>
      </c>
      <c r="B181" s="28">
        <f>IF('Tableaux amortissement proj (2'!D172&gt;0,'Tableaux amortissement proj (2'!D172,IF('Tableaux amortissement proj (2'!C172&gt;0,IF(AND(_echfixe1t,A181&gt;0),ROUND(('Tableaux amortissement proj (2'!K172-'Tableaux amortissement proj (2'!B172)*A181/(1-((1+A181)^-'Tableaux amortissement proj (2'!C172)),_nbdeci1t),ROUND('Tableaux amortissement proj (2'!K172/'Tableaux amortissement proj (2'!C172,_nbdeci1t)),B180))</f>
        <v>606.91999999999996</v>
      </c>
      <c r="C181" s="10"/>
      <c r="D181" s="10"/>
      <c r="E181" s="10"/>
      <c r="F181" s="10"/>
      <c r="H181" s="29">
        <f>IF('Tableaux amortissement proj (2'!Q172&gt;0,IF(_tauxactuariel1t1,(('Tableaux amortissement proj (2'!Q172+1)^(1/_nebchan1t))-1,'Tableaux amortissement proj (2'!Q172/_nebchan1t),H180)</f>
        <v>8.3333333333333339E-4</v>
      </c>
      <c r="I181" s="28">
        <f>IF('Tableaux amortissement proj (2'!T172&gt;0,'Tableaux amortissement proj (2'!T172,IF('Tableaux amortissement proj (2'!S172&gt;0,IF(AND(_echfixe12,H181&gt;0),ROUND(('Tableaux amortissement proj (2'!AA172-'Tableaux amortissement proj (2'!R172)*H181/(1-((1+H181)^-'Tableaux amortissement proj (2'!S172)),_nbdeci1t1),ROUND('Tableaux amortissement proj (2'!AA172/'Tableaux amortissement proj (2'!S172,_nbdeci1t1)),I180))</f>
        <v>240200</v>
      </c>
      <c r="J181" s="10"/>
      <c r="K181" s="10"/>
      <c r="L181" s="10"/>
      <c r="M181" s="10"/>
      <c r="O181" s="186">
        <v>179</v>
      </c>
    </row>
    <row r="182" spans="1:15" x14ac:dyDescent="0.2">
      <c r="A182" s="29">
        <f>IF('Tableaux amortissement proj (2'!A173&gt;0,IF(_tauxactuariel1t,(('Tableaux amortissement proj (2'!A173+1)^(1/_nbechan1t))-1,'Tableaux amortissement proj (2'!A173/_nbechan1t),A181)</f>
        <v>1.5499999999999999E-3</v>
      </c>
      <c r="B182" s="28">
        <f>IF('Tableaux amortissement proj (2'!D173&gt;0,'Tableaux amortissement proj (2'!D173,IF('Tableaux amortissement proj (2'!C173&gt;0,IF(AND(_echfixe1t,A182&gt;0),ROUND(('Tableaux amortissement proj (2'!K173-'Tableaux amortissement proj (2'!B173)*A182/(1-((1+A182)^-'Tableaux amortissement proj (2'!C173)),_nbdeci1t),ROUND('Tableaux amortissement proj (2'!K173/'Tableaux amortissement proj (2'!C173,_nbdeci1t)),B181))</f>
        <v>606.91999999999996</v>
      </c>
      <c r="C182" s="10"/>
      <c r="D182" s="10"/>
      <c r="E182" s="10"/>
      <c r="F182" s="10"/>
      <c r="H182" s="29">
        <f>IF('Tableaux amortissement proj (2'!Q173&gt;0,IF(_tauxactuariel1t1,(('Tableaux amortissement proj (2'!Q173+1)^(1/_nebchan1t))-1,'Tableaux amortissement proj (2'!Q173/_nebchan1t),H181)</f>
        <v>8.3333333333333339E-4</v>
      </c>
      <c r="I182" s="28">
        <f>IF('Tableaux amortissement proj (2'!T173&gt;0,'Tableaux amortissement proj (2'!T173,IF('Tableaux amortissement proj (2'!S173&gt;0,IF(AND(_echfixe12,H182&gt;0),ROUND(('Tableaux amortissement proj (2'!AA173-'Tableaux amortissement proj (2'!R173)*H182/(1-((1+H182)^-'Tableaux amortissement proj (2'!S173)),_nbdeci1t1),ROUND('Tableaux amortissement proj (2'!AA173/'Tableaux amortissement proj (2'!S173,_nbdeci1t1)),I181))</f>
        <v>240200</v>
      </c>
      <c r="J182" s="10"/>
      <c r="K182" s="10"/>
      <c r="L182" s="10"/>
      <c r="M182" s="10"/>
      <c r="O182" s="186">
        <v>180</v>
      </c>
    </row>
    <row r="183" spans="1:15" x14ac:dyDescent="0.2">
      <c r="A183" s="29">
        <f>IF('Tableaux amortissement proj (2'!A174&gt;0,IF(_tauxactuariel1t,(('Tableaux amortissement proj (2'!A174+1)^(1/_nbechan1t))-1,'Tableaux amortissement proj (2'!A174/_nbechan1t),A182)</f>
        <v>1.5499999999999999E-3</v>
      </c>
      <c r="B183" s="28">
        <f>IF('Tableaux amortissement proj (2'!D174&gt;0,'Tableaux amortissement proj (2'!D174,IF('Tableaux amortissement proj (2'!C174&gt;0,IF(AND(_echfixe1t,A183&gt;0),ROUND(('Tableaux amortissement proj (2'!K174-'Tableaux amortissement proj (2'!B174)*A183/(1-((1+A183)^-'Tableaux amortissement proj (2'!C174)),_nbdeci1t),ROUND('Tableaux amortissement proj (2'!K174/'Tableaux amortissement proj (2'!C174,_nbdeci1t)),B182))</f>
        <v>606.91999999999996</v>
      </c>
      <c r="C183" s="10"/>
      <c r="D183" s="10"/>
      <c r="E183" s="10"/>
      <c r="F183" s="10"/>
      <c r="H183" s="29">
        <f>IF('Tableaux amortissement proj (2'!Q174&gt;0,IF(_tauxactuariel1t1,(('Tableaux amortissement proj (2'!Q174+1)^(1/_nebchan1t))-1,'Tableaux amortissement proj (2'!Q174/_nebchan1t),H182)</f>
        <v>8.3333333333333339E-4</v>
      </c>
      <c r="I183" s="28">
        <f>IF('Tableaux amortissement proj (2'!T174&gt;0,'Tableaux amortissement proj (2'!T174,IF('Tableaux amortissement proj (2'!S174&gt;0,IF(AND(_echfixe12,H183&gt;0),ROUND(('Tableaux amortissement proj (2'!AA174-'Tableaux amortissement proj (2'!R174)*H183/(1-((1+H183)^-'Tableaux amortissement proj (2'!S174)),_nbdeci1t1),ROUND('Tableaux amortissement proj (2'!AA174/'Tableaux amortissement proj (2'!S174,_nbdeci1t1)),I182))</f>
        <v>240200</v>
      </c>
      <c r="J183" s="10"/>
      <c r="K183" s="10"/>
      <c r="L183" s="10"/>
      <c r="M183" s="10"/>
      <c r="O183" s="186">
        <v>181</v>
      </c>
    </row>
    <row r="184" spans="1:15" x14ac:dyDescent="0.2">
      <c r="A184" s="29">
        <f>IF('Tableaux amortissement proj (2'!A175&gt;0,IF(_tauxactuariel1t,(('Tableaux amortissement proj (2'!A175+1)^(1/_nbechan1t))-1,'Tableaux amortissement proj (2'!A175/_nbechan1t),A183)</f>
        <v>1.5499999999999999E-3</v>
      </c>
      <c r="B184" s="28">
        <f>IF('Tableaux amortissement proj (2'!D175&gt;0,'Tableaux amortissement proj (2'!D175,IF('Tableaux amortissement proj (2'!C175&gt;0,IF(AND(_echfixe1t,A184&gt;0),ROUND(('Tableaux amortissement proj (2'!K175-'Tableaux amortissement proj (2'!B175)*A184/(1-((1+A184)^-'Tableaux amortissement proj (2'!C175)),_nbdeci1t),ROUND('Tableaux amortissement proj (2'!K175/'Tableaux amortissement proj (2'!C175,_nbdeci1t)),B183))</f>
        <v>606.91999999999996</v>
      </c>
      <c r="C184" s="10"/>
      <c r="D184" s="10"/>
      <c r="E184" s="10"/>
      <c r="F184" s="10"/>
      <c r="H184" s="29">
        <f>IF('Tableaux amortissement proj (2'!Q175&gt;0,IF(_tauxactuariel1t1,(('Tableaux amortissement proj (2'!Q175+1)^(1/_nebchan1t))-1,'Tableaux amortissement proj (2'!Q175/_nebchan1t),H183)</f>
        <v>8.3333333333333339E-4</v>
      </c>
      <c r="I184" s="28">
        <f>IF('Tableaux amortissement proj (2'!T175&gt;0,'Tableaux amortissement proj (2'!T175,IF('Tableaux amortissement proj (2'!S175&gt;0,IF(AND(_echfixe12,H184&gt;0),ROUND(('Tableaux amortissement proj (2'!AA175-'Tableaux amortissement proj (2'!R175)*H184/(1-((1+H184)^-'Tableaux amortissement proj (2'!S175)),_nbdeci1t1),ROUND('Tableaux amortissement proj (2'!AA175/'Tableaux amortissement proj (2'!S175,_nbdeci1t1)),I183))</f>
        <v>240200</v>
      </c>
      <c r="J184" s="10"/>
      <c r="K184" s="10"/>
      <c r="L184" s="10"/>
      <c r="M184" s="10"/>
      <c r="O184" s="186">
        <v>182</v>
      </c>
    </row>
    <row r="185" spans="1:15" x14ac:dyDescent="0.2">
      <c r="A185" s="29">
        <f>IF('Tableaux amortissement proj (2'!A176&gt;0,IF(_tauxactuariel1t,(('Tableaux amortissement proj (2'!A176+1)^(1/_nbechan1t))-1,'Tableaux amortissement proj (2'!A176/_nbechan1t),A184)</f>
        <v>1.5499999999999999E-3</v>
      </c>
      <c r="B185" s="28">
        <f>IF('Tableaux amortissement proj (2'!D176&gt;0,'Tableaux amortissement proj (2'!D176,IF('Tableaux amortissement proj (2'!C176&gt;0,IF(AND(_echfixe1t,A185&gt;0),ROUND(('Tableaux amortissement proj (2'!K176-'Tableaux amortissement proj (2'!B176)*A185/(1-((1+A185)^-'Tableaux amortissement proj (2'!C176)),_nbdeci1t),ROUND('Tableaux amortissement proj (2'!K176/'Tableaux amortissement proj (2'!C176,_nbdeci1t)),B184))</f>
        <v>606.91999999999996</v>
      </c>
      <c r="C185" s="10"/>
      <c r="D185" s="10"/>
      <c r="E185" s="10"/>
      <c r="F185" s="10"/>
      <c r="H185" s="29">
        <f>IF('Tableaux amortissement proj (2'!Q176&gt;0,IF(_tauxactuariel1t1,(('Tableaux amortissement proj (2'!Q176+1)^(1/_nebchan1t))-1,'Tableaux amortissement proj (2'!Q176/_nebchan1t),H184)</f>
        <v>8.3333333333333339E-4</v>
      </c>
      <c r="I185" s="28">
        <f>IF('Tableaux amortissement proj (2'!T176&gt;0,'Tableaux amortissement proj (2'!T176,IF('Tableaux amortissement proj (2'!S176&gt;0,IF(AND(_echfixe12,H185&gt;0),ROUND(('Tableaux amortissement proj (2'!AA176-'Tableaux amortissement proj (2'!R176)*H185/(1-((1+H185)^-'Tableaux amortissement proj (2'!S176)),_nbdeci1t1),ROUND('Tableaux amortissement proj (2'!AA176/'Tableaux amortissement proj (2'!S176,_nbdeci1t1)),I184))</f>
        <v>240200</v>
      </c>
      <c r="J185" s="10"/>
      <c r="K185" s="10"/>
      <c r="L185" s="10"/>
      <c r="M185" s="10"/>
      <c r="O185" s="186">
        <v>183</v>
      </c>
    </row>
    <row r="186" spans="1:15" x14ac:dyDescent="0.2">
      <c r="A186" s="29">
        <f>IF('Tableaux amortissement proj (2'!A177&gt;0,IF(_tauxactuariel1t,(('Tableaux amortissement proj (2'!A177+1)^(1/_nbechan1t))-1,'Tableaux amortissement proj (2'!A177/_nbechan1t),A185)</f>
        <v>1.5499999999999999E-3</v>
      </c>
      <c r="B186" s="28">
        <f>IF('Tableaux amortissement proj (2'!D177&gt;0,'Tableaux amortissement proj (2'!D177,IF('Tableaux amortissement proj (2'!C177&gt;0,IF(AND(_echfixe1t,A186&gt;0),ROUND(('Tableaux amortissement proj (2'!K177-'Tableaux amortissement proj (2'!B177)*A186/(1-((1+A186)^-'Tableaux amortissement proj (2'!C177)),_nbdeci1t),ROUND('Tableaux amortissement proj (2'!K177/'Tableaux amortissement proj (2'!C177,_nbdeci1t)),B185))</f>
        <v>606.91999999999996</v>
      </c>
      <c r="C186" s="10"/>
      <c r="D186" s="10"/>
      <c r="E186" s="10"/>
      <c r="F186" s="10"/>
      <c r="H186" s="29">
        <f>IF('Tableaux amortissement proj (2'!Q177&gt;0,IF(_tauxactuariel1t1,(('Tableaux amortissement proj (2'!Q177+1)^(1/_nebchan1t))-1,'Tableaux amortissement proj (2'!Q177/_nebchan1t),H185)</f>
        <v>8.3333333333333339E-4</v>
      </c>
      <c r="I186" s="28">
        <f>IF('Tableaux amortissement proj (2'!T177&gt;0,'Tableaux amortissement proj (2'!T177,IF('Tableaux amortissement proj (2'!S177&gt;0,IF(AND(_echfixe12,H186&gt;0),ROUND(('Tableaux amortissement proj (2'!AA177-'Tableaux amortissement proj (2'!R177)*H186/(1-((1+H186)^-'Tableaux amortissement proj (2'!S177)),_nbdeci1t1),ROUND('Tableaux amortissement proj (2'!AA177/'Tableaux amortissement proj (2'!S177,_nbdeci1t1)),I185))</f>
        <v>240200</v>
      </c>
      <c r="J186" s="10"/>
      <c r="K186" s="10"/>
      <c r="L186" s="10"/>
      <c r="M186" s="10"/>
      <c r="O186" s="186">
        <v>184</v>
      </c>
    </row>
    <row r="187" spans="1:15" x14ac:dyDescent="0.2">
      <c r="A187" s="29">
        <f>IF('Tableaux amortissement proj (2'!A178&gt;0,IF(_tauxactuariel1t,(('Tableaux amortissement proj (2'!A178+1)^(1/_nbechan1t))-1,'Tableaux amortissement proj (2'!A178/_nbechan1t),A186)</f>
        <v>1.5499999999999999E-3</v>
      </c>
      <c r="B187" s="28">
        <f>IF('Tableaux amortissement proj (2'!D178&gt;0,'Tableaux amortissement proj (2'!D178,IF('Tableaux amortissement proj (2'!C178&gt;0,IF(AND(_echfixe1t,A187&gt;0),ROUND(('Tableaux amortissement proj (2'!K178-'Tableaux amortissement proj (2'!B178)*A187/(1-((1+A187)^-'Tableaux amortissement proj (2'!C178)),_nbdeci1t),ROUND('Tableaux amortissement proj (2'!K178/'Tableaux amortissement proj (2'!C178,_nbdeci1t)),B186))</f>
        <v>606.91999999999996</v>
      </c>
      <c r="C187" s="10"/>
      <c r="D187" s="10"/>
      <c r="E187" s="10"/>
      <c r="F187" s="10"/>
      <c r="H187" s="29">
        <f>IF('Tableaux amortissement proj (2'!Q178&gt;0,IF(_tauxactuariel1t1,(('Tableaux amortissement proj (2'!Q178+1)^(1/_nebchan1t))-1,'Tableaux amortissement proj (2'!Q178/_nebchan1t),H186)</f>
        <v>8.3333333333333339E-4</v>
      </c>
      <c r="I187" s="28">
        <f>IF('Tableaux amortissement proj (2'!T178&gt;0,'Tableaux amortissement proj (2'!T178,IF('Tableaux amortissement proj (2'!S178&gt;0,IF(AND(_echfixe12,H187&gt;0),ROUND(('Tableaux amortissement proj (2'!AA178-'Tableaux amortissement proj (2'!R178)*H187/(1-((1+H187)^-'Tableaux amortissement proj (2'!S178)),_nbdeci1t1),ROUND('Tableaux amortissement proj (2'!AA178/'Tableaux amortissement proj (2'!S178,_nbdeci1t1)),I186))</f>
        <v>240200</v>
      </c>
      <c r="J187" s="10"/>
      <c r="K187" s="10"/>
      <c r="L187" s="10"/>
      <c r="M187" s="10"/>
      <c r="O187" s="186">
        <v>185</v>
      </c>
    </row>
    <row r="188" spans="1:15" x14ac:dyDescent="0.2">
      <c r="A188" s="29">
        <f>IF('Tableaux amortissement proj (2'!A179&gt;0,IF(_tauxactuariel1t,(('Tableaux amortissement proj (2'!A179+1)^(1/_nbechan1t))-1,'Tableaux amortissement proj (2'!A179/_nbechan1t),A187)</f>
        <v>1.5499999999999999E-3</v>
      </c>
      <c r="B188" s="28">
        <f>IF('Tableaux amortissement proj (2'!D179&gt;0,'Tableaux amortissement proj (2'!D179,IF('Tableaux amortissement proj (2'!C179&gt;0,IF(AND(_echfixe1t,A188&gt;0),ROUND(('Tableaux amortissement proj (2'!K179-'Tableaux amortissement proj (2'!B179)*A188/(1-((1+A188)^-'Tableaux amortissement proj (2'!C179)),_nbdeci1t),ROUND('Tableaux amortissement proj (2'!K179/'Tableaux amortissement proj (2'!C179,_nbdeci1t)),B187))</f>
        <v>606.91999999999996</v>
      </c>
      <c r="C188" s="10"/>
      <c r="D188" s="10"/>
      <c r="E188" s="10"/>
      <c r="F188" s="10"/>
      <c r="H188" s="29">
        <f>IF('Tableaux amortissement proj (2'!Q179&gt;0,IF(_tauxactuariel1t1,(('Tableaux amortissement proj (2'!Q179+1)^(1/_nebchan1t))-1,'Tableaux amortissement proj (2'!Q179/_nebchan1t),H187)</f>
        <v>8.3333333333333339E-4</v>
      </c>
      <c r="I188" s="28">
        <f>IF('Tableaux amortissement proj (2'!T179&gt;0,'Tableaux amortissement proj (2'!T179,IF('Tableaux amortissement proj (2'!S179&gt;0,IF(AND(_echfixe12,H188&gt;0),ROUND(('Tableaux amortissement proj (2'!AA179-'Tableaux amortissement proj (2'!R179)*H188/(1-((1+H188)^-'Tableaux amortissement proj (2'!S179)),_nbdeci1t1),ROUND('Tableaux amortissement proj (2'!AA179/'Tableaux amortissement proj (2'!S179,_nbdeci1t1)),I187))</f>
        <v>240200</v>
      </c>
      <c r="J188" s="10"/>
      <c r="K188" s="10"/>
      <c r="L188" s="10"/>
      <c r="M188" s="10"/>
      <c r="O188" s="186">
        <v>186</v>
      </c>
    </row>
    <row r="189" spans="1:15" x14ac:dyDescent="0.2">
      <c r="A189" s="29">
        <f>IF('Tableaux amortissement proj (2'!A180&gt;0,IF(_tauxactuariel1t,(('Tableaux amortissement proj (2'!A180+1)^(1/_nbechan1t))-1,'Tableaux amortissement proj (2'!A180/_nbechan1t),A188)</f>
        <v>1.5499999999999999E-3</v>
      </c>
      <c r="B189" s="28">
        <f>IF('Tableaux amortissement proj (2'!D180&gt;0,'Tableaux amortissement proj (2'!D180,IF('Tableaux amortissement proj (2'!C180&gt;0,IF(AND(_echfixe1t,A189&gt;0),ROUND(('Tableaux amortissement proj (2'!K180-'Tableaux amortissement proj (2'!B180)*A189/(1-((1+A189)^-'Tableaux amortissement proj (2'!C180)),_nbdeci1t),ROUND('Tableaux amortissement proj (2'!K180/'Tableaux amortissement proj (2'!C180,_nbdeci1t)),B188))</f>
        <v>606.91999999999996</v>
      </c>
      <c r="C189" s="10"/>
      <c r="D189" s="10"/>
      <c r="E189" s="10"/>
      <c r="F189" s="10"/>
      <c r="H189" s="29">
        <f>IF('Tableaux amortissement proj (2'!Q180&gt;0,IF(_tauxactuariel1t1,(('Tableaux amortissement proj (2'!Q180+1)^(1/_nebchan1t))-1,'Tableaux amortissement proj (2'!Q180/_nebchan1t),H188)</f>
        <v>8.3333333333333339E-4</v>
      </c>
      <c r="I189" s="28">
        <f>IF('Tableaux amortissement proj (2'!T180&gt;0,'Tableaux amortissement proj (2'!T180,IF('Tableaux amortissement proj (2'!S180&gt;0,IF(AND(_echfixe12,H189&gt;0),ROUND(('Tableaux amortissement proj (2'!AA180-'Tableaux amortissement proj (2'!R180)*H189/(1-((1+H189)^-'Tableaux amortissement proj (2'!S180)),_nbdeci1t1),ROUND('Tableaux amortissement proj (2'!AA180/'Tableaux amortissement proj (2'!S180,_nbdeci1t1)),I188))</f>
        <v>240200</v>
      </c>
      <c r="J189" s="10"/>
      <c r="K189" s="10"/>
      <c r="L189" s="10"/>
      <c r="M189" s="10"/>
      <c r="O189" s="186">
        <v>187</v>
      </c>
    </row>
    <row r="190" spans="1:15" x14ac:dyDescent="0.2">
      <c r="A190" s="29">
        <f>IF('Tableaux amortissement proj (2'!A181&gt;0,IF(_tauxactuariel1t,(('Tableaux amortissement proj (2'!A181+1)^(1/_nbechan1t))-1,'Tableaux amortissement proj (2'!A181/_nbechan1t),A189)</f>
        <v>1.5499999999999999E-3</v>
      </c>
      <c r="B190" s="28">
        <f>IF('Tableaux amortissement proj (2'!D181&gt;0,'Tableaux amortissement proj (2'!D181,IF('Tableaux amortissement proj (2'!C181&gt;0,IF(AND(_echfixe1t,A190&gt;0),ROUND(('Tableaux amortissement proj (2'!K181-'Tableaux amortissement proj (2'!B181)*A190/(1-((1+A190)^-'Tableaux amortissement proj (2'!C181)),_nbdeci1t),ROUND('Tableaux amortissement proj (2'!K181/'Tableaux amortissement proj (2'!C181,_nbdeci1t)),B189))</f>
        <v>606.91999999999996</v>
      </c>
      <c r="C190" s="10"/>
      <c r="D190" s="10"/>
      <c r="E190" s="10"/>
      <c r="F190" s="10"/>
      <c r="H190" s="29">
        <f>IF('Tableaux amortissement proj (2'!Q181&gt;0,IF(_tauxactuariel1t1,(('Tableaux amortissement proj (2'!Q181+1)^(1/_nebchan1t))-1,'Tableaux amortissement proj (2'!Q181/_nebchan1t),H189)</f>
        <v>8.3333333333333339E-4</v>
      </c>
      <c r="I190" s="28">
        <f>IF('Tableaux amortissement proj (2'!T181&gt;0,'Tableaux amortissement proj (2'!T181,IF('Tableaux amortissement proj (2'!S181&gt;0,IF(AND(_echfixe12,H190&gt;0),ROUND(('Tableaux amortissement proj (2'!AA181-'Tableaux amortissement proj (2'!R181)*H190/(1-((1+H190)^-'Tableaux amortissement proj (2'!S181)),_nbdeci1t1),ROUND('Tableaux amortissement proj (2'!AA181/'Tableaux amortissement proj (2'!S181,_nbdeci1t1)),I189))</f>
        <v>240200</v>
      </c>
      <c r="J190" s="10"/>
      <c r="K190" s="10"/>
      <c r="L190" s="10"/>
      <c r="M190" s="10"/>
      <c r="O190" s="186">
        <v>188</v>
      </c>
    </row>
    <row r="191" spans="1:15" x14ac:dyDescent="0.2">
      <c r="A191" s="29">
        <f>IF('Tableaux amortissement proj (2'!A182&gt;0,IF(_tauxactuariel1t,(('Tableaux amortissement proj (2'!A182+1)^(1/_nbechan1t))-1,'Tableaux amortissement proj (2'!A182/_nbechan1t),A190)</f>
        <v>1.5499999999999999E-3</v>
      </c>
      <c r="B191" s="28">
        <f>IF('Tableaux amortissement proj (2'!D182&gt;0,'Tableaux amortissement proj (2'!D182,IF('Tableaux amortissement proj (2'!C182&gt;0,IF(AND(_echfixe1t,A191&gt;0),ROUND(('Tableaux amortissement proj (2'!K182-'Tableaux amortissement proj (2'!B182)*A191/(1-((1+A191)^-'Tableaux amortissement proj (2'!C182)),_nbdeci1t),ROUND('Tableaux amortissement proj (2'!K182/'Tableaux amortissement proj (2'!C182,_nbdeci1t)),B190))</f>
        <v>606.91999999999996</v>
      </c>
      <c r="C191" s="10"/>
      <c r="D191" s="10"/>
      <c r="E191" s="10"/>
      <c r="F191" s="10"/>
      <c r="H191" s="29">
        <f>IF('Tableaux amortissement proj (2'!Q182&gt;0,IF(_tauxactuariel1t1,(('Tableaux amortissement proj (2'!Q182+1)^(1/_nebchan1t))-1,'Tableaux amortissement proj (2'!Q182/_nebchan1t),H190)</f>
        <v>8.3333333333333339E-4</v>
      </c>
      <c r="I191" s="28">
        <f>IF('Tableaux amortissement proj (2'!T182&gt;0,'Tableaux amortissement proj (2'!T182,IF('Tableaux amortissement proj (2'!S182&gt;0,IF(AND(_echfixe12,H191&gt;0),ROUND(('Tableaux amortissement proj (2'!AA182-'Tableaux amortissement proj (2'!R182)*H191/(1-((1+H191)^-'Tableaux amortissement proj (2'!S182)),_nbdeci1t1),ROUND('Tableaux amortissement proj (2'!AA182/'Tableaux amortissement proj (2'!S182,_nbdeci1t1)),I190))</f>
        <v>240200</v>
      </c>
      <c r="J191" s="10"/>
      <c r="K191" s="10"/>
      <c r="L191" s="10"/>
      <c r="M191" s="10"/>
      <c r="O191" s="186">
        <v>189</v>
      </c>
    </row>
    <row r="192" spans="1:15" x14ac:dyDescent="0.2">
      <c r="A192" s="29">
        <f>IF('Tableaux amortissement proj (2'!A183&gt;0,IF(_tauxactuariel1t,(('Tableaux amortissement proj (2'!A183+1)^(1/_nbechan1t))-1,'Tableaux amortissement proj (2'!A183/_nbechan1t),A191)</f>
        <v>1.5499999999999999E-3</v>
      </c>
      <c r="B192" s="28">
        <f>IF('Tableaux amortissement proj (2'!D183&gt;0,'Tableaux amortissement proj (2'!D183,IF('Tableaux amortissement proj (2'!C183&gt;0,IF(AND(_echfixe1t,A192&gt;0),ROUND(('Tableaux amortissement proj (2'!K183-'Tableaux amortissement proj (2'!B183)*A192/(1-((1+A192)^-'Tableaux amortissement proj (2'!C183)),_nbdeci1t),ROUND('Tableaux amortissement proj (2'!K183/'Tableaux amortissement proj (2'!C183,_nbdeci1t)),B191))</f>
        <v>606.91999999999996</v>
      </c>
      <c r="C192" s="10"/>
      <c r="D192" s="10"/>
      <c r="E192" s="10"/>
      <c r="F192" s="10"/>
      <c r="H192" s="29">
        <f>IF('Tableaux amortissement proj (2'!Q183&gt;0,IF(_tauxactuariel1t1,(('Tableaux amortissement proj (2'!Q183+1)^(1/_nebchan1t))-1,'Tableaux amortissement proj (2'!Q183/_nebchan1t),H191)</f>
        <v>8.3333333333333339E-4</v>
      </c>
      <c r="I192" s="28">
        <f>IF('Tableaux amortissement proj (2'!T183&gt;0,'Tableaux amortissement proj (2'!T183,IF('Tableaux amortissement proj (2'!S183&gt;0,IF(AND(_echfixe12,H192&gt;0),ROUND(('Tableaux amortissement proj (2'!AA183-'Tableaux amortissement proj (2'!R183)*H192/(1-((1+H192)^-'Tableaux amortissement proj (2'!S183)),_nbdeci1t1),ROUND('Tableaux amortissement proj (2'!AA183/'Tableaux amortissement proj (2'!S183,_nbdeci1t1)),I191))</f>
        <v>240200</v>
      </c>
      <c r="J192" s="10"/>
      <c r="K192" s="10"/>
      <c r="L192" s="10"/>
      <c r="M192" s="10"/>
      <c r="O192" s="186">
        <v>190</v>
      </c>
    </row>
    <row r="193" spans="1:15" x14ac:dyDescent="0.2">
      <c r="A193" s="29">
        <f>IF('Tableaux amortissement proj (2'!A184&gt;0,IF(_tauxactuariel1t,(('Tableaux amortissement proj (2'!A184+1)^(1/_nbechan1t))-1,'Tableaux amortissement proj (2'!A184/_nbechan1t),A192)</f>
        <v>1.5499999999999999E-3</v>
      </c>
      <c r="B193" s="28">
        <f>IF('Tableaux amortissement proj (2'!D184&gt;0,'Tableaux amortissement proj (2'!D184,IF('Tableaux amortissement proj (2'!C184&gt;0,IF(AND(_echfixe1t,A193&gt;0),ROUND(('Tableaux amortissement proj (2'!K184-'Tableaux amortissement proj (2'!B184)*A193/(1-((1+A193)^-'Tableaux amortissement proj (2'!C184)),_nbdeci1t),ROUND('Tableaux amortissement proj (2'!K184/'Tableaux amortissement proj (2'!C184,_nbdeci1t)),B192))</f>
        <v>606.91999999999996</v>
      </c>
      <c r="C193" s="10"/>
      <c r="D193" s="10"/>
      <c r="E193" s="10"/>
      <c r="F193" s="10"/>
      <c r="H193" s="29">
        <f>IF('Tableaux amortissement proj (2'!Q184&gt;0,IF(_tauxactuariel1t1,(('Tableaux amortissement proj (2'!Q184+1)^(1/_nebchan1t))-1,'Tableaux amortissement proj (2'!Q184/_nebchan1t),H192)</f>
        <v>8.3333333333333339E-4</v>
      </c>
      <c r="I193" s="28">
        <f>IF('Tableaux amortissement proj (2'!T184&gt;0,'Tableaux amortissement proj (2'!T184,IF('Tableaux amortissement proj (2'!S184&gt;0,IF(AND(_echfixe12,H193&gt;0),ROUND(('Tableaux amortissement proj (2'!AA184-'Tableaux amortissement proj (2'!R184)*H193/(1-((1+H193)^-'Tableaux amortissement proj (2'!S184)),_nbdeci1t1),ROUND('Tableaux amortissement proj (2'!AA184/'Tableaux amortissement proj (2'!S184,_nbdeci1t1)),I192))</f>
        <v>240200</v>
      </c>
      <c r="J193" s="10"/>
      <c r="K193" s="10"/>
      <c r="L193" s="10"/>
      <c r="M193" s="10"/>
      <c r="O193" s="186">
        <v>191</v>
      </c>
    </row>
    <row r="194" spans="1:15" x14ac:dyDescent="0.2">
      <c r="A194" s="29">
        <f>IF('Tableaux amortissement proj (2'!A185&gt;0,IF(_tauxactuariel1t,(('Tableaux amortissement proj (2'!A185+1)^(1/_nbechan1t))-1,'Tableaux amortissement proj (2'!A185/_nbechan1t),A193)</f>
        <v>1.5499999999999999E-3</v>
      </c>
      <c r="B194" s="28">
        <f>IF('Tableaux amortissement proj (2'!D185&gt;0,'Tableaux amortissement proj (2'!D185,IF('Tableaux amortissement proj (2'!C185&gt;0,IF(AND(_echfixe1t,A194&gt;0),ROUND(('Tableaux amortissement proj (2'!K185-'Tableaux amortissement proj (2'!B185)*A194/(1-((1+A194)^-'Tableaux amortissement proj (2'!C185)),_nbdeci1t),ROUND('Tableaux amortissement proj (2'!K185/'Tableaux amortissement proj (2'!C185,_nbdeci1t)),B193))</f>
        <v>606.91999999999996</v>
      </c>
      <c r="C194" s="10"/>
      <c r="D194" s="10"/>
      <c r="E194" s="10"/>
      <c r="F194" s="10"/>
      <c r="H194" s="29">
        <f>IF('Tableaux amortissement proj (2'!Q185&gt;0,IF(_tauxactuariel1t1,(('Tableaux amortissement proj (2'!Q185+1)^(1/_nebchan1t))-1,'Tableaux amortissement proj (2'!Q185/_nebchan1t),H193)</f>
        <v>8.3333333333333339E-4</v>
      </c>
      <c r="I194" s="28">
        <f>IF('Tableaux amortissement proj (2'!T185&gt;0,'Tableaux amortissement proj (2'!T185,IF('Tableaux amortissement proj (2'!S185&gt;0,IF(AND(_echfixe12,H194&gt;0),ROUND(('Tableaux amortissement proj (2'!AA185-'Tableaux amortissement proj (2'!R185)*H194/(1-((1+H194)^-'Tableaux amortissement proj (2'!S185)),_nbdeci1t1),ROUND('Tableaux amortissement proj (2'!AA185/'Tableaux amortissement proj (2'!S185,_nbdeci1t1)),I193))</f>
        <v>240200</v>
      </c>
      <c r="J194" s="10"/>
      <c r="K194" s="10"/>
      <c r="L194" s="10"/>
      <c r="M194" s="10"/>
      <c r="O194" s="186">
        <v>192</v>
      </c>
    </row>
    <row r="195" spans="1:15" x14ac:dyDescent="0.2">
      <c r="A195" s="29">
        <f>IF('Tableaux amortissement proj (2'!A186&gt;0,IF(_tauxactuariel1t,(('Tableaux amortissement proj (2'!A186+1)^(1/_nbechan1t))-1,'Tableaux amortissement proj (2'!A186/_nbechan1t),A194)</f>
        <v>1.5499999999999999E-3</v>
      </c>
      <c r="B195" s="28">
        <f>IF('Tableaux amortissement proj (2'!D186&gt;0,'Tableaux amortissement proj (2'!D186,IF('Tableaux amortissement proj (2'!C186&gt;0,IF(AND(_echfixe1t,A195&gt;0),ROUND(('Tableaux amortissement proj (2'!K186-'Tableaux amortissement proj (2'!B186)*A195/(1-((1+A195)^-'Tableaux amortissement proj (2'!C186)),_nbdeci1t),ROUND('Tableaux amortissement proj (2'!K186/'Tableaux amortissement proj (2'!C186,_nbdeci1t)),B194))</f>
        <v>606.91999999999996</v>
      </c>
      <c r="C195" s="10"/>
      <c r="D195" s="10"/>
      <c r="E195" s="10"/>
      <c r="F195" s="10"/>
      <c r="H195" s="29">
        <f>IF('Tableaux amortissement proj (2'!Q186&gt;0,IF(_tauxactuariel1t1,(('Tableaux amortissement proj (2'!Q186+1)^(1/_nebchan1t))-1,'Tableaux amortissement proj (2'!Q186/_nebchan1t),H194)</f>
        <v>8.3333333333333339E-4</v>
      </c>
      <c r="I195" s="28">
        <f>IF('Tableaux amortissement proj (2'!T186&gt;0,'Tableaux amortissement proj (2'!T186,IF('Tableaux amortissement proj (2'!S186&gt;0,IF(AND(_echfixe12,H195&gt;0),ROUND(('Tableaux amortissement proj (2'!AA186-'Tableaux amortissement proj (2'!R186)*H195/(1-((1+H195)^-'Tableaux amortissement proj (2'!S186)),_nbdeci1t1),ROUND('Tableaux amortissement proj (2'!AA186/'Tableaux amortissement proj (2'!S186,_nbdeci1t1)),I194))</f>
        <v>240200</v>
      </c>
      <c r="J195" s="10"/>
      <c r="K195" s="10"/>
      <c r="L195" s="10"/>
      <c r="M195" s="10"/>
      <c r="O195" s="186">
        <v>193</v>
      </c>
    </row>
    <row r="196" spans="1:15" x14ac:dyDescent="0.2">
      <c r="A196" s="29">
        <f>IF('Tableaux amortissement proj (2'!A187&gt;0,IF(_tauxactuariel1t,(('Tableaux amortissement proj (2'!A187+1)^(1/_nbechan1t))-1,'Tableaux amortissement proj (2'!A187/_nbechan1t),A195)</f>
        <v>1.5499999999999999E-3</v>
      </c>
      <c r="B196" s="28">
        <f>IF('Tableaux amortissement proj (2'!D187&gt;0,'Tableaux amortissement proj (2'!D187,IF('Tableaux amortissement proj (2'!C187&gt;0,IF(AND(_echfixe1t,A196&gt;0),ROUND(('Tableaux amortissement proj (2'!K187-'Tableaux amortissement proj (2'!B187)*A196/(1-((1+A196)^-'Tableaux amortissement proj (2'!C187)),_nbdeci1t),ROUND('Tableaux amortissement proj (2'!K187/'Tableaux amortissement proj (2'!C187,_nbdeci1t)),B195))</f>
        <v>606.91999999999996</v>
      </c>
      <c r="C196" s="10"/>
      <c r="D196" s="10"/>
      <c r="E196" s="10"/>
      <c r="F196" s="10"/>
      <c r="H196" s="29">
        <f>IF('Tableaux amortissement proj (2'!Q187&gt;0,IF(_tauxactuariel1t1,(('Tableaux amortissement proj (2'!Q187+1)^(1/_nebchan1t))-1,'Tableaux amortissement proj (2'!Q187/_nebchan1t),H195)</f>
        <v>8.3333333333333339E-4</v>
      </c>
      <c r="I196" s="28">
        <f>IF('Tableaux amortissement proj (2'!T187&gt;0,'Tableaux amortissement proj (2'!T187,IF('Tableaux amortissement proj (2'!S187&gt;0,IF(AND(_echfixe12,H196&gt;0),ROUND(('Tableaux amortissement proj (2'!AA187-'Tableaux amortissement proj (2'!R187)*H196/(1-((1+H196)^-'Tableaux amortissement proj (2'!S187)),_nbdeci1t1),ROUND('Tableaux amortissement proj (2'!AA187/'Tableaux amortissement proj (2'!S187,_nbdeci1t1)),I195))</f>
        <v>240200</v>
      </c>
      <c r="J196" s="10"/>
      <c r="K196" s="10"/>
      <c r="L196" s="10"/>
      <c r="M196" s="10"/>
      <c r="O196" s="186">
        <v>194</v>
      </c>
    </row>
    <row r="197" spans="1:15" x14ac:dyDescent="0.2">
      <c r="A197" s="29">
        <f>IF('Tableaux amortissement proj (2'!A188&gt;0,IF(_tauxactuariel1t,(('Tableaux amortissement proj (2'!A188+1)^(1/_nbechan1t))-1,'Tableaux amortissement proj (2'!A188/_nbechan1t),A196)</f>
        <v>1.5499999999999999E-3</v>
      </c>
      <c r="B197" s="28">
        <f>IF('Tableaux amortissement proj (2'!D188&gt;0,'Tableaux amortissement proj (2'!D188,IF('Tableaux amortissement proj (2'!C188&gt;0,IF(AND(_echfixe1t,A197&gt;0),ROUND(('Tableaux amortissement proj (2'!K188-'Tableaux amortissement proj (2'!B188)*A197/(1-((1+A197)^-'Tableaux amortissement proj (2'!C188)),_nbdeci1t),ROUND('Tableaux amortissement proj (2'!K188/'Tableaux amortissement proj (2'!C188,_nbdeci1t)),B196))</f>
        <v>606.91999999999996</v>
      </c>
      <c r="C197" s="10"/>
      <c r="D197" s="10"/>
      <c r="E197" s="10"/>
      <c r="F197" s="10"/>
      <c r="H197" s="29">
        <f>IF('Tableaux amortissement proj (2'!Q188&gt;0,IF(_tauxactuariel1t1,(('Tableaux amortissement proj (2'!Q188+1)^(1/_nebchan1t))-1,'Tableaux amortissement proj (2'!Q188/_nebchan1t),H196)</f>
        <v>8.3333333333333339E-4</v>
      </c>
      <c r="I197" s="28">
        <f>IF('Tableaux amortissement proj (2'!T188&gt;0,'Tableaux amortissement proj (2'!T188,IF('Tableaux amortissement proj (2'!S188&gt;0,IF(AND(_echfixe12,H197&gt;0),ROUND(('Tableaux amortissement proj (2'!AA188-'Tableaux amortissement proj (2'!R188)*H197/(1-((1+H197)^-'Tableaux amortissement proj (2'!S188)),_nbdeci1t1),ROUND('Tableaux amortissement proj (2'!AA188/'Tableaux amortissement proj (2'!S188,_nbdeci1t1)),I196))</f>
        <v>240200</v>
      </c>
      <c r="J197" s="10"/>
      <c r="K197" s="10"/>
      <c r="L197" s="10"/>
      <c r="M197" s="10"/>
      <c r="O197" s="186">
        <v>195</v>
      </c>
    </row>
    <row r="198" spans="1:15" x14ac:dyDescent="0.2">
      <c r="A198" s="29">
        <f>IF('Tableaux amortissement proj (2'!A189&gt;0,IF(_tauxactuariel1t,(('Tableaux amortissement proj (2'!A189+1)^(1/_nbechan1t))-1,'Tableaux amortissement proj (2'!A189/_nbechan1t),A197)</f>
        <v>1.5499999999999999E-3</v>
      </c>
      <c r="B198" s="28">
        <f>IF('Tableaux amortissement proj (2'!D189&gt;0,'Tableaux amortissement proj (2'!D189,IF('Tableaux amortissement proj (2'!C189&gt;0,IF(AND(_echfixe1t,A198&gt;0),ROUND(('Tableaux amortissement proj (2'!K189-'Tableaux amortissement proj (2'!B189)*A198/(1-((1+A198)^-'Tableaux amortissement proj (2'!C189)),_nbdeci1t),ROUND('Tableaux amortissement proj (2'!K189/'Tableaux amortissement proj (2'!C189,_nbdeci1t)),B197))</f>
        <v>606.91999999999996</v>
      </c>
      <c r="C198" s="10"/>
      <c r="D198" s="10"/>
      <c r="E198" s="10"/>
      <c r="F198" s="10"/>
      <c r="H198" s="29">
        <f>IF('Tableaux amortissement proj (2'!Q189&gt;0,IF(_tauxactuariel1t1,(('Tableaux amortissement proj (2'!Q189+1)^(1/_nebchan1t))-1,'Tableaux amortissement proj (2'!Q189/_nebchan1t),H197)</f>
        <v>8.3333333333333339E-4</v>
      </c>
      <c r="I198" s="28">
        <f>IF('Tableaux amortissement proj (2'!T189&gt;0,'Tableaux amortissement proj (2'!T189,IF('Tableaux amortissement proj (2'!S189&gt;0,IF(AND(_echfixe12,H198&gt;0),ROUND(('Tableaux amortissement proj (2'!AA189-'Tableaux amortissement proj (2'!R189)*H198/(1-((1+H198)^-'Tableaux amortissement proj (2'!S189)),_nbdeci1t1),ROUND('Tableaux amortissement proj (2'!AA189/'Tableaux amortissement proj (2'!S189,_nbdeci1t1)),I197))</f>
        <v>240200</v>
      </c>
      <c r="J198" s="10"/>
      <c r="K198" s="10"/>
      <c r="L198" s="10"/>
      <c r="M198" s="10"/>
      <c r="O198" s="186">
        <v>196</v>
      </c>
    </row>
    <row r="199" spans="1:15" x14ac:dyDescent="0.2">
      <c r="A199" s="29">
        <f>IF('Tableaux amortissement proj (2'!A190&gt;0,IF(_tauxactuariel1t,(('Tableaux amortissement proj (2'!A190+1)^(1/_nbechan1t))-1,'Tableaux amortissement proj (2'!A190/_nbechan1t),A198)</f>
        <v>1.5499999999999999E-3</v>
      </c>
      <c r="B199" s="28">
        <f>IF('Tableaux amortissement proj (2'!D190&gt;0,'Tableaux amortissement proj (2'!D190,IF('Tableaux amortissement proj (2'!C190&gt;0,IF(AND(_echfixe1t,A199&gt;0),ROUND(('Tableaux amortissement proj (2'!K190-'Tableaux amortissement proj (2'!B190)*A199/(1-((1+A199)^-'Tableaux amortissement proj (2'!C190)),_nbdeci1t),ROUND('Tableaux amortissement proj (2'!K190/'Tableaux amortissement proj (2'!C190,_nbdeci1t)),B198))</f>
        <v>606.91999999999996</v>
      </c>
      <c r="C199" s="10"/>
      <c r="D199" s="10"/>
      <c r="E199" s="10"/>
      <c r="F199" s="10"/>
      <c r="H199" s="29">
        <f>IF('Tableaux amortissement proj (2'!Q190&gt;0,IF(_tauxactuariel1t1,(('Tableaux amortissement proj (2'!Q190+1)^(1/_nebchan1t))-1,'Tableaux amortissement proj (2'!Q190/_nebchan1t),H198)</f>
        <v>8.3333333333333339E-4</v>
      </c>
      <c r="I199" s="28">
        <f>IF('Tableaux amortissement proj (2'!T190&gt;0,'Tableaux amortissement proj (2'!T190,IF('Tableaux amortissement proj (2'!S190&gt;0,IF(AND(_echfixe12,H199&gt;0),ROUND(('Tableaux amortissement proj (2'!AA190-'Tableaux amortissement proj (2'!R190)*H199/(1-((1+H199)^-'Tableaux amortissement proj (2'!S190)),_nbdeci1t1),ROUND('Tableaux amortissement proj (2'!AA190/'Tableaux amortissement proj (2'!S190,_nbdeci1t1)),I198))</f>
        <v>240200</v>
      </c>
      <c r="J199" s="10"/>
      <c r="K199" s="10"/>
      <c r="L199" s="10"/>
      <c r="M199" s="10"/>
      <c r="O199" s="186">
        <v>197</v>
      </c>
    </row>
    <row r="200" spans="1:15" x14ac:dyDescent="0.2">
      <c r="A200" s="29">
        <f>IF('Tableaux amortissement proj (2'!A191&gt;0,IF(_tauxactuariel1t,(('Tableaux amortissement proj (2'!A191+1)^(1/_nbechan1t))-1,'Tableaux amortissement proj (2'!A191/_nbechan1t),A199)</f>
        <v>1.5499999999999999E-3</v>
      </c>
      <c r="B200" s="28">
        <f>IF('Tableaux amortissement proj (2'!D191&gt;0,'Tableaux amortissement proj (2'!D191,IF('Tableaux amortissement proj (2'!C191&gt;0,IF(AND(_echfixe1t,A200&gt;0),ROUND(('Tableaux amortissement proj (2'!K191-'Tableaux amortissement proj (2'!B191)*A200/(1-((1+A200)^-'Tableaux amortissement proj (2'!C191)),_nbdeci1t),ROUND('Tableaux amortissement proj (2'!K191/'Tableaux amortissement proj (2'!C191,_nbdeci1t)),B199))</f>
        <v>606.91999999999996</v>
      </c>
      <c r="C200" s="10"/>
      <c r="D200" s="10"/>
      <c r="E200" s="10"/>
      <c r="F200" s="10"/>
      <c r="H200" s="29">
        <f>IF('Tableaux amortissement proj (2'!Q191&gt;0,IF(_tauxactuariel1t1,(('Tableaux amortissement proj (2'!Q191+1)^(1/_nebchan1t))-1,'Tableaux amortissement proj (2'!Q191/_nebchan1t),H199)</f>
        <v>8.3333333333333339E-4</v>
      </c>
      <c r="I200" s="28">
        <f>IF('Tableaux amortissement proj (2'!T191&gt;0,'Tableaux amortissement proj (2'!T191,IF('Tableaux amortissement proj (2'!S191&gt;0,IF(AND(_echfixe12,H200&gt;0),ROUND(('Tableaux amortissement proj (2'!AA191-'Tableaux amortissement proj (2'!R191)*H200/(1-((1+H200)^-'Tableaux amortissement proj (2'!S191)),_nbdeci1t1),ROUND('Tableaux amortissement proj (2'!AA191/'Tableaux amortissement proj (2'!S191,_nbdeci1t1)),I199))</f>
        <v>240200</v>
      </c>
      <c r="J200" s="10"/>
      <c r="K200" s="10"/>
      <c r="L200" s="10"/>
      <c r="M200" s="10"/>
      <c r="O200" s="186">
        <v>198</v>
      </c>
    </row>
    <row r="201" spans="1:15" x14ac:dyDescent="0.2">
      <c r="A201" s="29">
        <f>IF('Tableaux amortissement proj (2'!A192&gt;0,IF(_tauxactuariel1t,(('Tableaux amortissement proj (2'!A192+1)^(1/_nbechan1t))-1,'Tableaux amortissement proj (2'!A192/_nbechan1t),A200)</f>
        <v>1.5499999999999999E-3</v>
      </c>
      <c r="B201" s="28">
        <f>IF('Tableaux amortissement proj (2'!D192&gt;0,'Tableaux amortissement proj (2'!D192,IF('Tableaux amortissement proj (2'!C192&gt;0,IF(AND(_echfixe1t,A201&gt;0),ROUND(('Tableaux amortissement proj (2'!K192-'Tableaux amortissement proj (2'!B192)*A201/(1-((1+A201)^-'Tableaux amortissement proj (2'!C192)),_nbdeci1t),ROUND('Tableaux amortissement proj (2'!K192/'Tableaux amortissement proj (2'!C192,_nbdeci1t)),B200))</f>
        <v>606.91999999999996</v>
      </c>
      <c r="C201" s="10"/>
      <c r="D201" s="10"/>
      <c r="E201" s="10"/>
      <c r="F201" s="10"/>
      <c r="H201" s="29">
        <f>IF('Tableaux amortissement proj (2'!Q192&gt;0,IF(_tauxactuariel1t1,(('Tableaux amortissement proj (2'!Q192+1)^(1/_nebchan1t))-1,'Tableaux amortissement proj (2'!Q192/_nebchan1t),H200)</f>
        <v>8.3333333333333339E-4</v>
      </c>
      <c r="I201" s="28">
        <f>IF('Tableaux amortissement proj (2'!T192&gt;0,'Tableaux amortissement proj (2'!T192,IF('Tableaux amortissement proj (2'!S192&gt;0,IF(AND(_echfixe12,H201&gt;0),ROUND(('Tableaux amortissement proj (2'!AA192-'Tableaux amortissement proj (2'!R192)*H201/(1-((1+H201)^-'Tableaux amortissement proj (2'!S192)),_nbdeci1t1),ROUND('Tableaux amortissement proj (2'!AA192/'Tableaux amortissement proj (2'!S192,_nbdeci1t1)),I200))</f>
        <v>240200</v>
      </c>
      <c r="J201" s="10"/>
      <c r="K201" s="10"/>
      <c r="L201" s="10"/>
      <c r="M201" s="10"/>
      <c r="O201" s="186">
        <v>199</v>
      </c>
    </row>
    <row r="202" spans="1:15" x14ac:dyDescent="0.2">
      <c r="A202" s="29">
        <f>IF('Tableaux amortissement proj (2'!A193&gt;0,IF(_tauxactuariel1t,(('Tableaux amortissement proj (2'!A193+1)^(1/_nbechan1t))-1,'Tableaux amortissement proj (2'!A193/_nbechan1t),A201)</f>
        <v>1.5499999999999999E-3</v>
      </c>
      <c r="B202" s="28">
        <f>IF('Tableaux amortissement proj (2'!D193&gt;0,'Tableaux amortissement proj (2'!D193,IF('Tableaux amortissement proj (2'!C193&gt;0,IF(AND(_echfixe1t,A202&gt;0),ROUND(('Tableaux amortissement proj (2'!K193-'Tableaux amortissement proj (2'!B193)*A202/(1-((1+A202)^-'Tableaux amortissement proj (2'!C193)),_nbdeci1t),ROUND('Tableaux amortissement proj (2'!K193/'Tableaux amortissement proj (2'!C193,_nbdeci1t)),B201))</f>
        <v>606.91999999999996</v>
      </c>
      <c r="C202" s="10"/>
      <c r="D202" s="10"/>
      <c r="E202" s="10"/>
      <c r="F202" s="10"/>
      <c r="H202" s="29">
        <f>IF('Tableaux amortissement proj (2'!Q193&gt;0,IF(_tauxactuariel1t1,(('Tableaux amortissement proj (2'!Q193+1)^(1/_nebchan1t))-1,'Tableaux amortissement proj (2'!Q193/_nebchan1t),H201)</f>
        <v>8.3333333333333339E-4</v>
      </c>
      <c r="I202" s="28">
        <f>IF('Tableaux amortissement proj (2'!T193&gt;0,'Tableaux amortissement proj (2'!T193,IF('Tableaux amortissement proj (2'!S193&gt;0,IF(AND(_echfixe12,H202&gt;0),ROUND(('Tableaux amortissement proj (2'!AA193-'Tableaux amortissement proj (2'!R193)*H202/(1-((1+H202)^-'Tableaux amortissement proj (2'!S193)),_nbdeci1t1),ROUND('Tableaux amortissement proj (2'!AA193/'Tableaux amortissement proj (2'!S193,_nbdeci1t1)),I201))</f>
        <v>240200</v>
      </c>
      <c r="J202" s="10"/>
      <c r="K202" s="10"/>
      <c r="L202" s="10"/>
      <c r="M202" s="10"/>
      <c r="O202" s="186">
        <v>200</v>
      </c>
    </row>
    <row r="203" spans="1:15" x14ac:dyDescent="0.2">
      <c r="A203" s="29">
        <f>IF('Tableaux amortissement proj (2'!A194&gt;0,IF(_tauxactuariel1t,(('Tableaux amortissement proj (2'!A194+1)^(1/_nbechan1t))-1,'Tableaux amortissement proj (2'!A194/_nbechan1t),A202)</f>
        <v>1.5499999999999999E-3</v>
      </c>
      <c r="B203" s="28">
        <f>IF('Tableaux amortissement proj (2'!D194&gt;0,'Tableaux amortissement proj (2'!D194,IF('Tableaux amortissement proj (2'!C194&gt;0,IF(AND(_echfixe1t,A203&gt;0),ROUND(('Tableaux amortissement proj (2'!K194-'Tableaux amortissement proj (2'!B194)*A203/(1-((1+A203)^-'Tableaux amortissement proj (2'!C194)),_nbdeci1t),ROUND('Tableaux amortissement proj (2'!K194/'Tableaux amortissement proj (2'!C194,_nbdeci1t)),B202))</f>
        <v>606.91999999999996</v>
      </c>
      <c r="C203" s="10"/>
      <c r="D203" s="10"/>
      <c r="E203" s="10"/>
      <c r="F203" s="10"/>
      <c r="H203" s="29">
        <f>IF('Tableaux amortissement proj (2'!Q194&gt;0,IF(_tauxactuariel1t1,(('Tableaux amortissement proj (2'!Q194+1)^(1/_nebchan1t))-1,'Tableaux amortissement proj (2'!Q194/_nebchan1t),H202)</f>
        <v>8.3333333333333339E-4</v>
      </c>
      <c r="I203" s="28">
        <f>IF('Tableaux amortissement proj (2'!T194&gt;0,'Tableaux amortissement proj (2'!T194,IF('Tableaux amortissement proj (2'!S194&gt;0,IF(AND(_echfixe12,H203&gt;0),ROUND(('Tableaux amortissement proj (2'!AA194-'Tableaux amortissement proj (2'!R194)*H203/(1-((1+H203)^-'Tableaux amortissement proj (2'!S194)),_nbdeci1t1),ROUND('Tableaux amortissement proj (2'!AA194/'Tableaux amortissement proj (2'!S194,_nbdeci1t1)),I202))</f>
        <v>240200</v>
      </c>
      <c r="J203" s="10"/>
      <c r="K203" s="10"/>
      <c r="L203" s="10"/>
      <c r="M203" s="10"/>
      <c r="O203" s="186">
        <v>201</v>
      </c>
    </row>
    <row r="204" spans="1:15" x14ac:dyDescent="0.2">
      <c r="A204" s="29">
        <f>IF('Tableaux amortissement proj (2'!A195&gt;0,IF(_tauxactuariel1t,(('Tableaux amortissement proj (2'!A195+1)^(1/_nbechan1t))-1,'Tableaux amortissement proj (2'!A195/_nbechan1t),A203)</f>
        <v>1.5499999999999999E-3</v>
      </c>
      <c r="B204" s="28">
        <f>IF('Tableaux amortissement proj (2'!D195&gt;0,'Tableaux amortissement proj (2'!D195,IF('Tableaux amortissement proj (2'!C195&gt;0,IF(AND(_echfixe1t,A204&gt;0),ROUND(('Tableaux amortissement proj (2'!K195-'Tableaux amortissement proj (2'!B195)*A204/(1-((1+A204)^-'Tableaux amortissement proj (2'!C195)),_nbdeci1t),ROUND('Tableaux amortissement proj (2'!K195/'Tableaux amortissement proj (2'!C195,_nbdeci1t)),B203))</f>
        <v>606.91999999999996</v>
      </c>
      <c r="C204" s="10"/>
      <c r="D204" s="10"/>
      <c r="E204" s="10"/>
      <c r="F204" s="10"/>
      <c r="H204" s="29">
        <f>IF('Tableaux amortissement proj (2'!Q195&gt;0,IF(_tauxactuariel1t1,(('Tableaux amortissement proj (2'!Q195+1)^(1/_nebchan1t))-1,'Tableaux amortissement proj (2'!Q195/_nebchan1t),H203)</f>
        <v>8.3333333333333339E-4</v>
      </c>
      <c r="I204" s="28">
        <f>IF('Tableaux amortissement proj (2'!T195&gt;0,'Tableaux amortissement proj (2'!T195,IF('Tableaux amortissement proj (2'!S195&gt;0,IF(AND(_echfixe12,H204&gt;0),ROUND(('Tableaux amortissement proj (2'!AA195-'Tableaux amortissement proj (2'!R195)*H204/(1-((1+H204)^-'Tableaux amortissement proj (2'!S195)),_nbdeci1t1),ROUND('Tableaux amortissement proj (2'!AA195/'Tableaux amortissement proj (2'!S195,_nbdeci1t1)),I203))</f>
        <v>240200</v>
      </c>
      <c r="J204" s="10"/>
      <c r="K204" s="10"/>
      <c r="L204" s="10"/>
      <c r="M204" s="10"/>
      <c r="O204" s="186">
        <v>202</v>
      </c>
    </row>
    <row r="205" spans="1:15" x14ac:dyDescent="0.2">
      <c r="A205" s="29">
        <f>IF('Tableaux amortissement proj (2'!A196&gt;0,IF(_tauxactuariel1t,(('Tableaux amortissement proj (2'!A196+1)^(1/_nbechan1t))-1,'Tableaux amortissement proj (2'!A196/_nbechan1t),A204)</f>
        <v>1.5499999999999999E-3</v>
      </c>
      <c r="B205" s="28">
        <f>IF('Tableaux amortissement proj (2'!D196&gt;0,'Tableaux amortissement proj (2'!D196,IF('Tableaux amortissement proj (2'!C196&gt;0,IF(AND(_echfixe1t,A205&gt;0),ROUND(('Tableaux amortissement proj (2'!K196-'Tableaux amortissement proj (2'!B196)*A205/(1-((1+A205)^-'Tableaux amortissement proj (2'!C196)),_nbdeci1t),ROUND('Tableaux amortissement proj (2'!K196/'Tableaux amortissement proj (2'!C196,_nbdeci1t)),B204))</f>
        <v>606.91999999999996</v>
      </c>
      <c r="C205" s="10"/>
      <c r="D205" s="10"/>
      <c r="E205" s="10"/>
      <c r="F205" s="10"/>
      <c r="H205" s="29">
        <f>IF('Tableaux amortissement proj (2'!Q196&gt;0,IF(_tauxactuariel1t1,(('Tableaux amortissement proj (2'!Q196+1)^(1/_nebchan1t))-1,'Tableaux amortissement proj (2'!Q196/_nebchan1t),H204)</f>
        <v>8.3333333333333339E-4</v>
      </c>
      <c r="I205" s="28">
        <f>IF('Tableaux amortissement proj (2'!T196&gt;0,'Tableaux amortissement proj (2'!T196,IF('Tableaux amortissement proj (2'!S196&gt;0,IF(AND(_echfixe12,H205&gt;0),ROUND(('Tableaux amortissement proj (2'!AA196-'Tableaux amortissement proj (2'!R196)*H205/(1-((1+H205)^-'Tableaux amortissement proj (2'!S196)),_nbdeci1t1),ROUND('Tableaux amortissement proj (2'!AA196/'Tableaux amortissement proj (2'!S196,_nbdeci1t1)),I204))</f>
        <v>240200</v>
      </c>
      <c r="J205" s="10"/>
      <c r="K205" s="10"/>
      <c r="L205" s="10"/>
      <c r="M205" s="10"/>
      <c r="O205" s="186">
        <v>203</v>
      </c>
    </row>
    <row r="206" spans="1:15" x14ac:dyDescent="0.2">
      <c r="A206" s="29">
        <f>IF('Tableaux amortissement proj (2'!A197&gt;0,IF(_tauxactuariel1t,(('Tableaux amortissement proj (2'!A197+1)^(1/_nbechan1t))-1,'Tableaux amortissement proj (2'!A197/_nbechan1t),A205)</f>
        <v>1.5499999999999999E-3</v>
      </c>
      <c r="B206" s="28">
        <f>IF('Tableaux amortissement proj (2'!D197&gt;0,'Tableaux amortissement proj (2'!D197,IF('Tableaux amortissement proj (2'!C197&gt;0,IF(AND(_echfixe1t,A206&gt;0),ROUND(('Tableaux amortissement proj (2'!K197-'Tableaux amortissement proj (2'!B197)*A206/(1-((1+A206)^-'Tableaux amortissement proj (2'!C197)),_nbdeci1t),ROUND('Tableaux amortissement proj (2'!K197/'Tableaux amortissement proj (2'!C197,_nbdeci1t)),B205))</f>
        <v>606.91999999999996</v>
      </c>
      <c r="C206" s="10"/>
      <c r="D206" s="10"/>
      <c r="E206" s="10"/>
      <c r="F206" s="10"/>
      <c r="H206" s="29">
        <f>IF('Tableaux amortissement proj (2'!Q197&gt;0,IF(_tauxactuariel1t1,(('Tableaux amortissement proj (2'!Q197+1)^(1/_nebchan1t))-1,'Tableaux amortissement proj (2'!Q197/_nebchan1t),H205)</f>
        <v>8.3333333333333339E-4</v>
      </c>
      <c r="I206" s="28">
        <f>IF('Tableaux amortissement proj (2'!T197&gt;0,'Tableaux amortissement proj (2'!T197,IF('Tableaux amortissement proj (2'!S197&gt;0,IF(AND(_echfixe12,H206&gt;0),ROUND(('Tableaux amortissement proj (2'!AA197-'Tableaux amortissement proj (2'!R197)*H206/(1-((1+H206)^-'Tableaux amortissement proj (2'!S197)),_nbdeci1t1),ROUND('Tableaux amortissement proj (2'!AA197/'Tableaux amortissement proj (2'!S197,_nbdeci1t1)),I205))</f>
        <v>240200</v>
      </c>
      <c r="J206" s="10"/>
      <c r="K206" s="10"/>
      <c r="L206" s="10"/>
      <c r="M206" s="10"/>
      <c r="O206" s="186">
        <v>204</v>
      </c>
    </row>
    <row r="207" spans="1:15" x14ac:dyDescent="0.2">
      <c r="A207" s="29">
        <f>IF('Tableaux amortissement proj (2'!A198&gt;0,IF(_tauxactuariel1t,(('Tableaux amortissement proj (2'!A198+1)^(1/_nbechan1t))-1,'Tableaux amortissement proj (2'!A198/_nbechan1t),A206)</f>
        <v>1.5499999999999999E-3</v>
      </c>
      <c r="B207" s="28">
        <f>IF('Tableaux amortissement proj (2'!D198&gt;0,'Tableaux amortissement proj (2'!D198,IF('Tableaux amortissement proj (2'!C198&gt;0,IF(AND(_echfixe1t,A207&gt;0),ROUND(('Tableaux amortissement proj (2'!K198-'Tableaux amortissement proj (2'!B198)*A207/(1-((1+A207)^-'Tableaux amortissement proj (2'!C198)),_nbdeci1t),ROUND('Tableaux amortissement proj (2'!K198/'Tableaux amortissement proj (2'!C198,_nbdeci1t)),B206))</f>
        <v>606.91999999999996</v>
      </c>
      <c r="C207" s="10"/>
      <c r="D207" s="10"/>
      <c r="E207" s="10"/>
      <c r="F207" s="10"/>
      <c r="H207" s="29">
        <f>IF('Tableaux amortissement proj (2'!Q198&gt;0,IF(_tauxactuariel1t1,(('Tableaux amortissement proj (2'!Q198+1)^(1/_nebchan1t))-1,'Tableaux amortissement proj (2'!Q198/_nebchan1t),H206)</f>
        <v>8.3333333333333339E-4</v>
      </c>
      <c r="I207" s="28">
        <f>IF('Tableaux amortissement proj (2'!T198&gt;0,'Tableaux amortissement proj (2'!T198,IF('Tableaux amortissement proj (2'!S198&gt;0,IF(AND(_echfixe12,H207&gt;0),ROUND(('Tableaux amortissement proj (2'!AA198-'Tableaux amortissement proj (2'!R198)*H207/(1-((1+H207)^-'Tableaux amortissement proj (2'!S198)),_nbdeci1t1),ROUND('Tableaux amortissement proj (2'!AA198/'Tableaux amortissement proj (2'!S198,_nbdeci1t1)),I206))</f>
        <v>240200</v>
      </c>
      <c r="J207" s="10"/>
      <c r="K207" s="10"/>
      <c r="L207" s="10"/>
      <c r="M207" s="10"/>
      <c r="O207" s="186">
        <v>205</v>
      </c>
    </row>
    <row r="208" spans="1:15" x14ac:dyDescent="0.2">
      <c r="A208" s="29">
        <f>IF('Tableaux amortissement proj (2'!A199&gt;0,IF(_tauxactuariel1t,(('Tableaux amortissement proj (2'!A199+1)^(1/_nbechan1t))-1,'Tableaux amortissement proj (2'!A199/_nbechan1t),A207)</f>
        <v>1.5499999999999999E-3</v>
      </c>
      <c r="B208" s="28">
        <f>IF('Tableaux amortissement proj (2'!D199&gt;0,'Tableaux amortissement proj (2'!D199,IF('Tableaux amortissement proj (2'!C199&gt;0,IF(AND(_echfixe1t,A208&gt;0),ROUND(('Tableaux amortissement proj (2'!K199-'Tableaux amortissement proj (2'!B199)*A208/(1-((1+A208)^-'Tableaux amortissement proj (2'!C199)),_nbdeci1t),ROUND('Tableaux amortissement proj (2'!K199/'Tableaux amortissement proj (2'!C199,_nbdeci1t)),B207))</f>
        <v>606.91999999999996</v>
      </c>
      <c r="C208" s="10"/>
      <c r="D208" s="10"/>
      <c r="E208" s="10"/>
      <c r="F208" s="10"/>
      <c r="H208" s="29">
        <f>IF('Tableaux amortissement proj (2'!Q199&gt;0,IF(_tauxactuariel1t1,(('Tableaux amortissement proj (2'!Q199+1)^(1/_nebchan1t))-1,'Tableaux amortissement proj (2'!Q199/_nebchan1t),H207)</f>
        <v>8.3333333333333339E-4</v>
      </c>
      <c r="I208" s="28">
        <f>IF('Tableaux amortissement proj (2'!T199&gt;0,'Tableaux amortissement proj (2'!T199,IF('Tableaux amortissement proj (2'!S199&gt;0,IF(AND(_echfixe12,H208&gt;0),ROUND(('Tableaux amortissement proj (2'!AA199-'Tableaux amortissement proj (2'!R199)*H208/(1-((1+H208)^-'Tableaux amortissement proj (2'!S199)),_nbdeci1t1),ROUND('Tableaux amortissement proj (2'!AA199/'Tableaux amortissement proj (2'!S199,_nbdeci1t1)),I207))</f>
        <v>240200</v>
      </c>
      <c r="J208" s="10"/>
      <c r="K208" s="10"/>
      <c r="L208" s="10"/>
      <c r="M208" s="10"/>
      <c r="O208" s="186">
        <v>206</v>
      </c>
    </row>
    <row r="209" spans="1:15" x14ac:dyDescent="0.2">
      <c r="A209" s="29">
        <f>IF('Tableaux amortissement proj (2'!A200&gt;0,IF(_tauxactuariel1t,(('Tableaux amortissement proj (2'!A200+1)^(1/_nbechan1t))-1,'Tableaux amortissement proj (2'!A200/_nbechan1t),A208)</f>
        <v>1.5499999999999999E-3</v>
      </c>
      <c r="B209" s="28">
        <f>IF('Tableaux amortissement proj (2'!D200&gt;0,'Tableaux amortissement proj (2'!D200,IF('Tableaux amortissement proj (2'!C200&gt;0,IF(AND(_echfixe1t,A209&gt;0),ROUND(('Tableaux amortissement proj (2'!K200-'Tableaux amortissement proj (2'!B200)*A209/(1-((1+A209)^-'Tableaux amortissement proj (2'!C200)),_nbdeci1t),ROUND('Tableaux amortissement proj (2'!K200/'Tableaux amortissement proj (2'!C200,_nbdeci1t)),B208))</f>
        <v>606.91999999999996</v>
      </c>
      <c r="C209" s="10"/>
      <c r="D209" s="10"/>
      <c r="E209" s="10"/>
      <c r="F209" s="10"/>
      <c r="H209" s="29">
        <f>IF('Tableaux amortissement proj (2'!Q200&gt;0,IF(_tauxactuariel1t1,(('Tableaux amortissement proj (2'!Q200+1)^(1/_nebchan1t))-1,'Tableaux amortissement proj (2'!Q200/_nebchan1t),H208)</f>
        <v>8.3333333333333339E-4</v>
      </c>
      <c r="I209" s="28">
        <f>IF('Tableaux amortissement proj (2'!T200&gt;0,'Tableaux amortissement proj (2'!T200,IF('Tableaux amortissement proj (2'!S200&gt;0,IF(AND(_echfixe12,H209&gt;0),ROUND(('Tableaux amortissement proj (2'!AA200-'Tableaux amortissement proj (2'!R200)*H209/(1-((1+H209)^-'Tableaux amortissement proj (2'!S200)),_nbdeci1t1),ROUND('Tableaux amortissement proj (2'!AA200/'Tableaux amortissement proj (2'!S200,_nbdeci1t1)),I208))</f>
        <v>240200</v>
      </c>
      <c r="J209" s="10"/>
      <c r="K209" s="10"/>
      <c r="L209" s="10"/>
      <c r="M209" s="10"/>
      <c r="O209" s="186">
        <v>207</v>
      </c>
    </row>
    <row r="210" spans="1:15" x14ac:dyDescent="0.2">
      <c r="A210" s="29">
        <f>IF('Tableaux amortissement proj (2'!A201&gt;0,IF(_tauxactuariel1t,(('Tableaux amortissement proj (2'!A201+1)^(1/_nbechan1t))-1,'Tableaux amortissement proj (2'!A201/_nbechan1t),A209)</f>
        <v>1.5499999999999999E-3</v>
      </c>
      <c r="B210" s="28">
        <f>IF('Tableaux amortissement proj (2'!D201&gt;0,'Tableaux amortissement proj (2'!D201,IF('Tableaux amortissement proj (2'!C201&gt;0,IF(AND(_echfixe1t,A210&gt;0),ROUND(('Tableaux amortissement proj (2'!K201-'Tableaux amortissement proj (2'!B201)*A210/(1-((1+A210)^-'Tableaux amortissement proj (2'!C201)),_nbdeci1t),ROUND('Tableaux amortissement proj (2'!K201/'Tableaux amortissement proj (2'!C201,_nbdeci1t)),B209))</f>
        <v>606.91999999999996</v>
      </c>
      <c r="C210" s="10"/>
      <c r="D210" s="10"/>
      <c r="E210" s="10"/>
      <c r="F210" s="10"/>
      <c r="H210" s="29">
        <f>IF('Tableaux amortissement proj (2'!Q201&gt;0,IF(_tauxactuariel1t1,(('Tableaux amortissement proj (2'!Q201+1)^(1/_nebchan1t))-1,'Tableaux amortissement proj (2'!Q201/_nebchan1t),H209)</f>
        <v>8.3333333333333339E-4</v>
      </c>
      <c r="I210" s="28">
        <f>IF('Tableaux amortissement proj (2'!T201&gt;0,'Tableaux amortissement proj (2'!T201,IF('Tableaux amortissement proj (2'!S201&gt;0,IF(AND(_echfixe12,H210&gt;0),ROUND(('Tableaux amortissement proj (2'!AA201-'Tableaux amortissement proj (2'!R201)*H210/(1-((1+H210)^-'Tableaux amortissement proj (2'!S201)),_nbdeci1t1),ROUND('Tableaux amortissement proj (2'!AA201/'Tableaux amortissement proj (2'!S201,_nbdeci1t1)),I209))</f>
        <v>240200</v>
      </c>
      <c r="J210" s="10"/>
      <c r="K210" s="10"/>
      <c r="L210" s="10"/>
      <c r="M210" s="10"/>
      <c r="O210" s="186">
        <v>208</v>
      </c>
    </row>
    <row r="211" spans="1:15" x14ac:dyDescent="0.2">
      <c r="A211" s="29">
        <f>IF('Tableaux amortissement proj (2'!A202&gt;0,IF(_tauxactuariel1t,(('Tableaux amortissement proj (2'!A202+1)^(1/_nbechan1t))-1,'Tableaux amortissement proj (2'!A202/_nbechan1t),A210)</f>
        <v>1.5499999999999999E-3</v>
      </c>
      <c r="B211" s="28">
        <f>IF('Tableaux amortissement proj (2'!D202&gt;0,'Tableaux amortissement proj (2'!D202,IF('Tableaux amortissement proj (2'!C202&gt;0,IF(AND(_echfixe1t,A211&gt;0),ROUND(('Tableaux amortissement proj (2'!K202-'Tableaux amortissement proj (2'!B202)*A211/(1-((1+A211)^-'Tableaux amortissement proj (2'!C202)),_nbdeci1t),ROUND('Tableaux amortissement proj (2'!K202/'Tableaux amortissement proj (2'!C202,_nbdeci1t)),B210))</f>
        <v>606.91999999999996</v>
      </c>
      <c r="C211" s="10"/>
      <c r="D211" s="10"/>
      <c r="E211" s="10"/>
      <c r="F211" s="10"/>
      <c r="H211" s="29">
        <f>IF('Tableaux amortissement proj (2'!Q202&gt;0,IF(_tauxactuariel1t1,(('Tableaux amortissement proj (2'!Q202+1)^(1/_nebchan1t))-1,'Tableaux amortissement proj (2'!Q202/_nebchan1t),H210)</f>
        <v>8.3333333333333339E-4</v>
      </c>
      <c r="I211" s="28">
        <f>IF('Tableaux amortissement proj (2'!T202&gt;0,'Tableaux amortissement proj (2'!T202,IF('Tableaux amortissement proj (2'!S202&gt;0,IF(AND(_echfixe12,H211&gt;0),ROUND(('Tableaux amortissement proj (2'!AA202-'Tableaux amortissement proj (2'!R202)*H211/(1-((1+H211)^-'Tableaux amortissement proj (2'!S202)),_nbdeci1t1),ROUND('Tableaux amortissement proj (2'!AA202/'Tableaux amortissement proj (2'!S202,_nbdeci1t1)),I210))</f>
        <v>240200</v>
      </c>
      <c r="J211" s="10"/>
      <c r="K211" s="10"/>
      <c r="L211" s="10"/>
      <c r="M211" s="10"/>
      <c r="O211" s="186">
        <v>209</v>
      </c>
    </row>
    <row r="212" spans="1:15" x14ac:dyDescent="0.2">
      <c r="A212" s="29">
        <f>IF('Tableaux amortissement proj (2'!A203&gt;0,IF(_tauxactuariel1t,(('Tableaux amortissement proj (2'!A203+1)^(1/_nbechan1t))-1,'Tableaux amortissement proj (2'!A203/_nbechan1t),A211)</f>
        <v>1.5499999999999999E-3</v>
      </c>
      <c r="B212" s="28">
        <f>IF('Tableaux amortissement proj (2'!D203&gt;0,'Tableaux amortissement proj (2'!D203,IF('Tableaux amortissement proj (2'!C203&gt;0,IF(AND(_echfixe1t,A212&gt;0),ROUND(('Tableaux amortissement proj (2'!K203-'Tableaux amortissement proj (2'!B203)*A212/(1-((1+A212)^-'Tableaux amortissement proj (2'!C203)),_nbdeci1t),ROUND('Tableaux amortissement proj (2'!K203/'Tableaux amortissement proj (2'!C203,_nbdeci1t)),B211))</f>
        <v>606.91999999999996</v>
      </c>
      <c r="C212" s="10"/>
      <c r="D212" s="10"/>
      <c r="E212" s="10"/>
      <c r="F212" s="10"/>
      <c r="H212" s="29">
        <f>IF('Tableaux amortissement proj (2'!Q203&gt;0,IF(_tauxactuariel1t1,(('Tableaux amortissement proj (2'!Q203+1)^(1/_nebchan1t))-1,'Tableaux amortissement proj (2'!Q203/_nebchan1t),H211)</f>
        <v>8.3333333333333339E-4</v>
      </c>
      <c r="I212" s="28">
        <f>IF('Tableaux amortissement proj (2'!T203&gt;0,'Tableaux amortissement proj (2'!T203,IF('Tableaux amortissement proj (2'!S203&gt;0,IF(AND(_echfixe12,H212&gt;0),ROUND(('Tableaux amortissement proj (2'!AA203-'Tableaux amortissement proj (2'!R203)*H212/(1-((1+H212)^-'Tableaux amortissement proj (2'!S203)),_nbdeci1t1),ROUND('Tableaux amortissement proj (2'!AA203/'Tableaux amortissement proj (2'!S203,_nbdeci1t1)),I211))</f>
        <v>240200</v>
      </c>
      <c r="J212" s="10"/>
      <c r="K212" s="10"/>
      <c r="L212" s="10"/>
      <c r="M212" s="10"/>
      <c r="O212" s="186">
        <v>210</v>
      </c>
    </row>
    <row r="213" spans="1:15" x14ac:dyDescent="0.2">
      <c r="A213" s="29">
        <f>IF('Tableaux amortissement proj (2'!A204&gt;0,IF(_tauxactuariel1t,(('Tableaux amortissement proj (2'!A204+1)^(1/_nbechan1t))-1,'Tableaux amortissement proj (2'!A204/_nbechan1t),A212)</f>
        <v>1.5499999999999999E-3</v>
      </c>
      <c r="B213" s="28">
        <f>IF('Tableaux amortissement proj (2'!D204&gt;0,'Tableaux amortissement proj (2'!D204,IF('Tableaux amortissement proj (2'!C204&gt;0,IF(AND(_echfixe1t,A213&gt;0),ROUND(('Tableaux amortissement proj (2'!K204-'Tableaux amortissement proj (2'!B204)*A213/(1-((1+A213)^-'Tableaux amortissement proj (2'!C204)),_nbdeci1t),ROUND('Tableaux amortissement proj (2'!K204/'Tableaux amortissement proj (2'!C204,_nbdeci1t)),B212))</f>
        <v>606.91999999999996</v>
      </c>
      <c r="C213" s="10"/>
      <c r="D213" s="10"/>
      <c r="E213" s="10"/>
      <c r="F213" s="10"/>
      <c r="H213" s="29">
        <f>IF('Tableaux amortissement proj (2'!Q204&gt;0,IF(_tauxactuariel1t1,(('Tableaux amortissement proj (2'!Q204+1)^(1/_nebchan1t))-1,'Tableaux amortissement proj (2'!Q204/_nebchan1t),H212)</f>
        <v>8.3333333333333339E-4</v>
      </c>
      <c r="I213" s="28">
        <f>IF('Tableaux amortissement proj (2'!T204&gt;0,'Tableaux amortissement proj (2'!T204,IF('Tableaux amortissement proj (2'!S204&gt;0,IF(AND(_echfixe12,H213&gt;0),ROUND(('Tableaux amortissement proj (2'!AA204-'Tableaux amortissement proj (2'!R204)*H213/(1-((1+H213)^-'Tableaux amortissement proj (2'!S204)),_nbdeci1t1),ROUND('Tableaux amortissement proj (2'!AA204/'Tableaux amortissement proj (2'!S204,_nbdeci1t1)),I212))</f>
        <v>240200</v>
      </c>
      <c r="J213" s="10"/>
      <c r="K213" s="10"/>
      <c r="L213" s="10"/>
      <c r="M213" s="10"/>
      <c r="O213" s="186">
        <v>211</v>
      </c>
    </row>
    <row r="214" spans="1:15" x14ac:dyDescent="0.2">
      <c r="A214" s="29">
        <f>IF('Tableaux amortissement proj (2'!A205&gt;0,IF(_tauxactuariel1t,(('Tableaux amortissement proj (2'!A205+1)^(1/_nbechan1t))-1,'Tableaux amortissement proj (2'!A205/_nbechan1t),A213)</f>
        <v>1.5499999999999999E-3</v>
      </c>
      <c r="B214" s="28">
        <f>IF('Tableaux amortissement proj (2'!D205&gt;0,'Tableaux amortissement proj (2'!D205,IF('Tableaux amortissement proj (2'!C205&gt;0,IF(AND(_echfixe1t,A214&gt;0),ROUND(('Tableaux amortissement proj (2'!K205-'Tableaux amortissement proj (2'!B205)*A214/(1-((1+A214)^-'Tableaux amortissement proj (2'!C205)),_nbdeci1t),ROUND('Tableaux amortissement proj (2'!K205/'Tableaux amortissement proj (2'!C205,_nbdeci1t)),B213))</f>
        <v>606.91999999999996</v>
      </c>
      <c r="C214" s="10"/>
      <c r="D214" s="10"/>
      <c r="E214" s="10"/>
      <c r="F214" s="10"/>
      <c r="H214" s="29">
        <f>IF('Tableaux amortissement proj (2'!Q205&gt;0,IF(_tauxactuariel1t1,(('Tableaux amortissement proj (2'!Q205+1)^(1/_nebchan1t))-1,'Tableaux amortissement proj (2'!Q205/_nebchan1t),H213)</f>
        <v>8.3333333333333339E-4</v>
      </c>
      <c r="I214" s="28">
        <f>IF('Tableaux amortissement proj (2'!T205&gt;0,'Tableaux amortissement proj (2'!T205,IF('Tableaux amortissement proj (2'!S205&gt;0,IF(AND(_echfixe12,H214&gt;0),ROUND(('Tableaux amortissement proj (2'!AA205-'Tableaux amortissement proj (2'!R205)*H214/(1-((1+H214)^-'Tableaux amortissement proj (2'!S205)),_nbdeci1t1),ROUND('Tableaux amortissement proj (2'!AA205/'Tableaux amortissement proj (2'!S205,_nbdeci1t1)),I213))</f>
        <v>240200</v>
      </c>
      <c r="J214" s="10"/>
      <c r="K214" s="10"/>
      <c r="L214" s="10"/>
      <c r="M214" s="10"/>
      <c r="O214" s="186">
        <v>212</v>
      </c>
    </row>
    <row r="215" spans="1:15" x14ac:dyDescent="0.2">
      <c r="A215" s="29">
        <f>IF('Tableaux amortissement proj (2'!A206&gt;0,IF(_tauxactuariel1t,(('Tableaux amortissement proj (2'!A206+1)^(1/_nbechan1t))-1,'Tableaux amortissement proj (2'!A206/_nbechan1t),A214)</f>
        <v>1.5499999999999999E-3</v>
      </c>
      <c r="B215" s="28">
        <f>IF('Tableaux amortissement proj (2'!D206&gt;0,'Tableaux amortissement proj (2'!D206,IF('Tableaux amortissement proj (2'!C206&gt;0,IF(AND(_echfixe1t,A215&gt;0),ROUND(('Tableaux amortissement proj (2'!K206-'Tableaux amortissement proj (2'!B206)*A215/(1-((1+A215)^-'Tableaux amortissement proj (2'!C206)),_nbdeci1t),ROUND('Tableaux amortissement proj (2'!K206/'Tableaux amortissement proj (2'!C206,_nbdeci1t)),B214))</f>
        <v>606.91999999999996</v>
      </c>
      <c r="C215" s="10"/>
      <c r="D215" s="10"/>
      <c r="E215" s="10"/>
      <c r="F215" s="10"/>
      <c r="H215" s="29">
        <f>IF('Tableaux amortissement proj (2'!Q206&gt;0,IF(_tauxactuariel1t1,(('Tableaux amortissement proj (2'!Q206+1)^(1/_nebchan1t))-1,'Tableaux amortissement proj (2'!Q206/_nebchan1t),H214)</f>
        <v>8.3333333333333339E-4</v>
      </c>
      <c r="I215" s="28">
        <f>IF('Tableaux amortissement proj (2'!T206&gt;0,'Tableaux amortissement proj (2'!T206,IF('Tableaux amortissement proj (2'!S206&gt;0,IF(AND(_echfixe12,H215&gt;0),ROUND(('Tableaux amortissement proj (2'!AA206-'Tableaux amortissement proj (2'!R206)*H215/(1-((1+H215)^-'Tableaux amortissement proj (2'!S206)),_nbdeci1t1),ROUND('Tableaux amortissement proj (2'!AA206/'Tableaux amortissement proj (2'!S206,_nbdeci1t1)),I214))</f>
        <v>240200</v>
      </c>
      <c r="J215" s="10"/>
      <c r="K215" s="10"/>
      <c r="L215" s="10"/>
      <c r="M215" s="10"/>
      <c r="O215" s="186">
        <v>213</v>
      </c>
    </row>
    <row r="216" spans="1:15" x14ac:dyDescent="0.2">
      <c r="A216" s="29">
        <f>IF('Tableaux amortissement proj (2'!A207&gt;0,IF(_tauxactuariel1t,(('Tableaux amortissement proj (2'!A207+1)^(1/_nbechan1t))-1,'Tableaux amortissement proj (2'!A207/_nbechan1t),A215)</f>
        <v>1.5499999999999999E-3</v>
      </c>
      <c r="B216" s="28">
        <f>IF('Tableaux amortissement proj (2'!D207&gt;0,'Tableaux amortissement proj (2'!D207,IF('Tableaux amortissement proj (2'!C207&gt;0,IF(AND(_echfixe1t,A216&gt;0),ROUND(('Tableaux amortissement proj (2'!K207-'Tableaux amortissement proj (2'!B207)*A216/(1-((1+A216)^-'Tableaux amortissement proj (2'!C207)),_nbdeci1t),ROUND('Tableaux amortissement proj (2'!K207/'Tableaux amortissement proj (2'!C207,_nbdeci1t)),B215))</f>
        <v>606.91999999999996</v>
      </c>
      <c r="C216" s="10"/>
      <c r="D216" s="10"/>
      <c r="E216" s="10"/>
      <c r="F216" s="10"/>
      <c r="H216" s="29">
        <f>IF('Tableaux amortissement proj (2'!Q207&gt;0,IF(_tauxactuariel1t1,(('Tableaux amortissement proj (2'!Q207+1)^(1/_nebchan1t))-1,'Tableaux amortissement proj (2'!Q207/_nebchan1t),H215)</f>
        <v>8.3333333333333339E-4</v>
      </c>
      <c r="I216" s="28">
        <f>IF('Tableaux amortissement proj (2'!T207&gt;0,'Tableaux amortissement proj (2'!T207,IF('Tableaux amortissement proj (2'!S207&gt;0,IF(AND(_echfixe12,H216&gt;0),ROUND(('Tableaux amortissement proj (2'!AA207-'Tableaux amortissement proj (2'!R207)*H216/(1-((1+H216)^-'Tableaux amortissement proj (2'!S207)),_nbdeci1t1),ROUND('Tableaux amortissement proj (2'!AA207/'Tableaux amortissement proj (2'!S207,_nbdeci1t1)),I215))</f>
        <v>240200</v>
      </c>
      <c r="J216" s="10"/>
      <c r="K216" s="10"/>
      <c r="L216" s="10"/>
      <c r="M216" s="10"/>
      <c r="O216" s="186">
        <v>214</v>
      </c>
    </row>
    <row r="217" spans="1:15" x14ac:dyDescent="0.2">
      <c r="A217" s="29">
        <f>IF('Tableaux amortissement proj (2'!A208&gt;0,IF(_tauxactuariel1t,(('Tableaux amortissement proj (2'!A208+1)^(1/_nbechan1t))-1,'Tableaux amortissement proj (2'!A208/_nbechan1t),A216)</f>
        <v>1.5499999999999999E-3</v>
      </c>
      <c r="B217" s="28">
        <f>IF('Tableaux amortissement proj (2'!D208&gt;0,'Tableaux amortissement proj (2'!D208,IF('Tableaux amortissement proj (2'!C208&gt;0,IF(AND(_echfixe1t,A217&gt;0),ROUND(('Tableaux amortissement proj (2'!K208-'Tableaux amortissement proj (2'!B208)*A217/(1-((1+A217)^-'Tableaux amortissement proj (2'!C208)),_nbdeci1t),ROUND('Tableaux amortissement proj (2'!K208/'Tableaux amortissement proj (2'!C208,_nbdeci1t)),B216))</f>
        <v>606.91999999999996</v>
      </c>
      <c r="C217" s="10"/>
      <c r="D217" s="10"/>
      <c r="E217" s="10"/>
      <c r="F217" s="10"/>
      <c r="H217" s="29">
        <f>IF('Tableaux amortissement proj (2'!Q208&gt;0,IF(_tauxactuariel1t1,(('Tableaux amortissement proj (2'!Q208+1)^(1/_nebchan1t))-1,'Tableaux amortissement proj (2'!Q208/_nebchan1t),H216)</f>
        <v>8.3333333333333339E-4</v>
      </c>
      <c r="I217" s="28">
        <f>IF('Tableaux amortissement proj (2'!T208&gt;0,'Tableaux amortissement proj (2'!T208,IF('Tableaux amortissement proj (2'!S208&gt;0,IF(AND(_echfixe12,H217&gt;0),ROUND(('Tableaux amortissement proj (2'!AA208-'Tableaux amortissement proj (2'!R208)*H217/(1-((1+H217)^-'Tableaux amortissement proj (2'!S208)),_nbdeci1t1),ROUND('Tableaux amortissement proj (2'!AA208/'Tableaux amortissement proj (2'!S208,_nbdeci1t1)),I216))</f>
        <v>240200</v>
      </c>
      <c r="J217" s="10"/>
      <c r="K217" s="10"/>
      <c r="L217" s="10"/>
      <c r="M217" s="10"/>
      <c r="O217" s="186">
        <v>215</v>
      </c>
    </row>
    <row r="218" spans="1:15" x14ac:dyDescent="0.2">
      <c r="A218" s="29">
        <f>IF('Tableaux amortissement proj (2'!A209&gt;0,IF(_tauxactuariel1t,(('Tableaux amortissement proj (2'!A209+1)^(1/_nbechan1t))-1,'Tableaux amortissement proj (2'!A209/_nbechan1t),A217)</f>
        <v>1.5499999999999999E-3</v>
      </c>
      <c r="B218" s="28">
        <f>IF('Tableaux amortissement proj (2'!D209&gt;0,'Tableaux amortissement proj (2'!D209,IF('Tableaux amortissement proj (2'!C209&gt;0,IF(AND(_echfixe1t,A218&gt;0),ROUND(('Tableaux amortissement proj (2'!K209-'Tableaux amortissement proj (2'!B209)*A218/(1-((1+A218)^-'Tableaux amortissement proj (2'!C209)),_nbdeci1t),ROUND('Tableaux amortissement proj (2'!K209/'Tableaux amortissement proj (2'!C209,_nbdeci1t)),B217))</f>
        <v>606.91999999999996</v>
      </c>
      <c r="C218" s="10"/>
      <c r="D218" s="10"/>
      <c r="E218" s="10"/>
      <c r="F218" s="10"/>
      <c r="H218" s="29">
        <f>IF('Tableaux amortissement proj (2'!Q209&gt;0,IF(_tauxactuariel1t1,(('Tableaux amortissement proj (2'!Q209+1)^(1/_nebchan1t))-1,'Tableaux amortissement proj (2'!Q209/_nebchan1t),H217)</f>
        <v>8.3333333333333339E-4</v>
      </c>
      <c r="I218" s="28">
        <f>IF('Tableaux amortissement proj (2'!T209&gt;0,'Tableaux amortissement proj (2'!T209,IF('Tableaux amortissement proj (2'!S209&gt;0,IF(AND(_echfixe12,H218&gt;0),ROUND(('Tableaux amortissement proj (2'!AA209-'Tableaux amortissement proj (2'!R209)*H218/(1-((1+H218)^-'Tableaux amortissement proj (2'!S209)),_nbdeci1t1),ROUND('Tableaux amortissement proj (2'!AA209/'Tableaux amortissement proj (2'!S209,_nbdeci1t1)),I217))</f>
        <v>240200</v>
      </c>
      <c r="J218" s="10"/>
      <c r="K218" s="10"/>
      <c r="L218" s="10"/>
      <c r="M218" s="10"/>
      <c r="O218" s="186">
        <v>216</v>
      </c>
    </row>
    <row r="219" spans="1:15" x14ac:dyDescent="0.2">
      <c r="A219" s="29">
        <f>IF('Tableaux amortissement proj (2'!A210&gt;0,IF(_tauxactuariel1t,(('Tableaux amortissement proj (2'!A210+1)^(1/_nbechan1t))-1,'Tableaux amortissement proj (2'!A210/_nbechan1t),A218)</f>
        <v>1.5499999999999999E-3</v>
      </c>
      <c r="B219" s="28">
        <f>IF('Tableaux amortissement proj (2'!D210&gt;0,'Tableaux amortissement proj (2'!D210,IF('Tableaux amortissement proj (2'!C210&gt;0,IF(AND(_echfixe1t,A219&gt;0),ROUND(('Tableaux amortissement proj (2'!K210-'Tableaux amortissement proj (2'!B210)*A219/(1-((1+A219)^-'Tableaux amortissement proj (2'!C210)),_nbdeci1t),ROUND('Tableaux amortissement proj (2'!K210/'Tableaux amortissement proj (2'!C210,_nbdeci1t)),B218))</f>
        <v>606.91999999999996</v>
      </c>
      <c r="C219" s="10"/>
      <c r="D219" s="10"/>
      <c r="E219" s="10"/>
      <c r="F219" s="10"/>
      <c r="H219" s="29">
        <f>IF('Tableaux amortissement proj (2'!Q210&gt;0,IF(_tauxactuariel1t1,(('Tableaux amortissement proj (2'!Q210+1)^(1/_nebchan1t))-1,'Tableaux amortissement proj (2'!Q210/_nebchan1t),H218)</f>
        <v>8.3333333333333339E-4</v>
      </c>
      <c r="I219" s="28">
        <f>IF('Tableaux amortissement proj (2'!T210&gt;0,'Tableaux amortissement proj (2'!T210,IF('Tableaux amortissement proj (2'!S210&gt;0,IF(AND(_echfixe12,H219&gt;0),ROUND(('Tableaux amortissement proj (2'!AA210-'Tableaux amortissement proj (2'!R210)*H219/(1-((1+H219)^-'Tableaux amortissement proj (2'!S210)),_nbdeci1t1),ROUND('Tableaux amortissement proj (2'!AA210/'Tableaux amortissement proj (2'!S210,_nbdeci1t1)),I218))</f>
        <v>240200</v>
      </c>
      <c r="J219" s="10"/>
      <c r="K219" s="10"/>
      <c r="L219" s="10"/>
      <c r="M219" s="10"/>
      <c r="O219" s="186">
        <v>217</v>
      </c>
    </row>
    <row r="220" spans="1:15" x14ac:dyDescent="0.2">
      <c r="A220" s="29">
        <f>IF('Tableaux amortissement proj (2'!A211&gt;0,IF(_tauxactuariel1t,(('Tableaux amortissement proj (2'!A211+1)^(1/_nbechan1t))-1,'Tableaux amortissement proj (2'!A211/_nbechan1t),A219)</f>
        <v>1.5499999999999999E-3</v>
      </c>
      <c r="B220" s="28">
        <f>IF('Tableaux amortissement proj (2'!D211&gt;0,'Tableaux amortissement proj (2'!D211,IF('Tableaux amortissement proj (2'!C211&gt;0,IF(AND(_echfixe1t,A220&gt;0),ROUND(('Tableaux amortissement proj (2'!K211-'Tableaux amortissement proj (2'!B211)*A220/(1-((1+A220)^-'Tableaux amortissement proj (2'!C211)),_nbdeci1t),ROUND('Tableaux amortissement proj (2'!K211/'Tableaux amortissement proj (2'!C211,_nbdeci1t)),B219))</f>
        <v>606.91999999999996</v>
      </c>
      <c r="C220" s="10"/>
      <c r="D220" s="10"/>
      <c r="E220" s="10"/>
      <c r="F220" s="10"/>
      <c r="H220" s="29">
        <f>IF('Tableaux amortissement proj (2'!Q211&gt;0,IF(_tauxactuariel1t1,(('Tableaux amortissement proj (2'!Q211+1)^(1/_nebchan1t))-1,'Tableaux amortissement proj (2'!Q211/_nebchan1t),H219)</f>
        <v>8.3333333333333339E-4</v>
      </c>
      <c r="I220" s="28">
        <f>IF('Tableaux amortissement proj (2'!T211&gt;0,'Tableaux amortissement proj (2'!T211,IF('Tableaux amortissement proj (2'!S211&gt;0,IF(AND(_echfixe12,H220&gt;0),ROUND(('Tableaux amortissement proj (2'!AA211-'Tableaux amortissement proj (2'!R211)*H220/(1-((1+H220)^-'Tableaux amortissement proj (2'!S211)),_nbdeci1t1),ROUND('Tableaux amortissement proj (2'!AA211/'Tableaux amortissement proj (2'!S211,_nbdeci1t1)),I219))</f>
        <v>240200</v>
      </c>
      <c r="J220" s="10"/>
      <c r="K220" s="10"/>
      <c r="L220" s="10"/>
      <c r="M220" s="10"/>
      <c r="O220" s="186">
        <v>218</v>
      </c>
    </row>
    <row r="221" spans="1:15" x14ac:dyDescent="0.2">
      <c r="A221" s="29">
        <f>IF('Tableaux amortissement proj (2'!A212&gt;0,IF(_tauxactuariel1t,(('Tableaux amortissement proj (2'!A212+1)^(1/_nbechan1t))-1,'Tableaux amortissement proj (2'!A212/_nbechan1t),A220)</f>
        <v>1.5499999999999999E-3</v>
      </c>
      <c r="B221" s="28">
        <f>IF('Tableaux amortissement proj (2'!D212&gt;0,'Tableaux amortissement proj (2'!D212,IF('Tableaux amortissement proj (2'!C212&gt;0,IF(AND(_echfixe1t,A221&gt;0),ROUND(('Tableaux amortissement proj (2'!K212-'Tableaux amortissement proj (2'!B212)*A221/(1-((1+A221)^-'Tableaux amortissement proj (2'!C212)),_nbdeci1t),ROUND('Tableaux amortissement proj (2'!K212/'Tableaux amortissement proj (2'!C212,_nbdeci1t)),B220))</f>
        <v>606.91999999999996</v>
      </c>
      <c r="C221" s="10"/>
      <c r="D221" s="10"/>
      <c r="E221" s="10"/>
      <c r="F221" s="10"/>
      <c r="H221" s="29">
        <f>IF('Tableaux amortissement proj (2'!Q212&gt;0,IF(_tauxactuariel1t1,(('Tableaux amortissement proj (2'!Q212+1)^(1/_nebchan1t))-1,'Tableaux amortissement proj (2'!Q212/_nebchan1t),H220)</f>
        <v>8.3333333333333339E-4</v>
      </c>
      <c r="I221" s="28">
        <f>IF('Tableaux amortissement proj (2'!T212&gt;0,'Tableaux amortissement proj (2'!T212,IF('Tableaux amortissement proj (2'!S212&gt;0,IF(AND(_echfixe12,H221&gt;0),ROUND(('Tableaux amortissement proj (2'!AA212-'Tableaux amortissement proj (2'!R212)*H221/(1-((1+H221)^-'Tableaux amortissement proj (2'!S212)),_nbdeci1t1),ROUND('Tableaux amortissement proj (2'!AA212/'Tableaux amortissement proj (2'!S212,_nbdeci1t1)),I220))</f>
        <v>240200</v>
      </c>
      <c r="J221" s="10"/>
      <c r="K221" s="10"/>
      <c r="L221" s="10"/>
      <c r="M221" s="10"/>
      <c r="O221" s="186">
        <v>219</v>
      </c>
    </row>
    <row r="222" spans="1:15" x14ac:dyDescent="0.2">
      <c r="A222" s="29">
        <f>IF('Tableaux amortissement proj (2'!A213&gt;0,IF(_tauxactuariel1t,(('Tableaux amortissement proj (2'!A213+1)^(1/_nbechan1t))-1,'Tableaux amortissement proj (2'!A213/_nbechan1t),A221)</f>
        <v>1.5499999999999999E-3</v>
      </c>
      <c r="B222" s="28">
        <f>IF('Tableaux amortissement proj (2'!D213&gt;0,'Tableaux amortissement proj (2'!D213,IF('Tableaux amortissement proj (2'!C213&gt;0,IF(AND(_echfixe1t,A222&gt;0),ROUND(('Tableaux amortissement proj (2'!K213-'Tableaux amortissement proj (2'!B213)*A222/(1-((1+A222)^-'Tableaux amortissement proj (2'!C213)),_nbdeci1t),ROUND('Tableaux amortissement proj (2'!K213/'Tableaux amortissement proj (2'!C213,_nbdeci1t)),B221))</f>
        <v>606.91999999999996</v>
      </c>
      <c r="C222" s="10"/>
      <c r="D222" s="10"/>
      <c r="E222" s="10"/>
      <c r="F222" s="10"/>
      <c r="H222" s="29">
        <f>IF('Tableaux amortissement proj (2'!Q213&gt;0,IF(_tauxactuariel1t1,(('Tableaux amortissement proj (2'!Q213+1)^(1/_nebchan1t))-1,'Tableaux amortissement proj (2'!Q213/_nebchan1t),H221)</f>
        <v>8.3333333333333339E-4</v>
      </c>
      <c r="I222" s="28">
        <f>IF('Tableaux amortissement proj (2'!T213&gt;0,'Tableaux amortissement proj (2'!T213,IF('Tableaux amortissement proj (2'!S213&gt;0,IF(AND(_echfixe12,H222&gt;0),ROUND(('Tableaux amortissement proj (2'!AA213-'Tableaux amortissement proj (2'!R213)*H222/(1-((1+H222)^-'Tableaux amortissement proj (2'!S213)),_nbdeci1t1),ROUND('Tableaux amortissement proj (2'!AA213/'Tableaux amortissement proj (2'!S213,_nbdeci1t1)),I221))</f>
        <v>240200</v>
      </c>
      <c r="J222" s="10"/>
      <c r="K222" s="10"/>
      <c r="L222" s="10"/>
      <c r="M222" s="10"/>
      <c r="O222" s="186">
        <v>220</v>
      </c>
    </row>
    <row r="223" spans="1:15" x14ac:dyDescent="0.2">
      <c r="A223" s="29">
        <f>IF('Tableaux amortissement proj (2'!A214&gt;0,IF(_tauxactuariel1t,(('Tableaux amortissement proj (2'!A214+1)^(1/_nbechan1t))-1,'Tableaux amortissement proj (2'!A214/_nbechan1t),A222)</f>
        <v>1.5499999999999999E-3</v>
      </c>
      <c r="B223" s="28">
        <f>IF('Tableaux amortissement proj (2'!D214&gt;0,'Tableaux amortissement proj (2'!D214,IF('Tableaux amortissement proj (2'!C214&gt;0,IF(AND(_echfixe1t,A223&gt;0),ROUND(('Tableaux amortissement proj (2'!K214-'Tableaux amortissement proj (2'!B214)*A223/(1-((1+A223)^-'Tableaux amortissement proj (2'!C214)),_nbdeci1t),ROUND('Tableaux amortissement proj (2'!K214/'Tableaux amortissement proj (2'!C214,_nbdeci1t)),B222))</f>
        <v>606.91999999999996</v>
      </c>
      <c r="C223" s="10"/>
      <c r="D223" s="10"/>
      <c r="E223" s="10"/>
      <c r="F223" s="10"/>
      <c r="H223" s="29">
        <f>IF('Tableaux amortissement proj (2'!Q214&gt;0,IF(_tauxactuariel1t1,(('Tableaux amortissement proj (2'!Q214+1)^(1/_nebchan1t))-1,'Tableaux amortissement proj (2'!Q214/_nebchan1t),H222)</f>
        <v>8.3333333333333339E-4</v>
      </c>
      <c r="I223" s="28">
        <f>IF('Tableaux amortissement proj (2'!T214&gt;0,'Tableaux amortissement proj (2'!T214,IF('Tableaux amortissement proj (2'!S214&gt;0,IF(AND(_echfixe12,H223&gt;0),ROUND(('Tableaux amortissement proj (2'!AA214-'Tableaux amortissement proj (2'!R214)*H223/(1-((1+H223)^-'Tableaux amortissement proj (2'!S214)),_nbdeci1t1),ROUND('Tableaux amortissement proj (2'!AA214/'Tableaux amortissement proj (2'!S214,_nbdeci1t1)),I222))</f>
        <v>240200</v>
      </c>
      <c r="J223" s="10"/>
      <c r="K223" s="10"/>
      <c r="L223" s="10"/>
      <c r="M223" s="10"/>
      <c r="O223" s="186">
        <v>221</v>
      </c>
    </row>
    <row r="224" spans="1:15" x14ac:dyDescent="0.2">
      <c r="A224" s="29">
        <f>IF('Tableaux amortissement proj (2'!A215&gt;0,IF(_tauxactuariel1t,(('Tableaux amortissement proj (2'!A215+1)^(1/_nbechan1t))-1,'Tableaux amortissement proj (2'!A215/_nbechan1t),A223)</f>
        <v>1.5499999999999999E-3</v>
      </c>
      <c r="B224" s="28">
        <f>IF('Tableaux amortissement proj (2'!D215&gt;0,'Tableaux amortissement proj (2'!D215,IF('Tableaux amortissement proj (2'!C215&gt;0,IF(AND(_echfixe1t,A224&gt;0),ROUND(('Tableaux amortissement proj (2'!K215-'Tableaux amortissement proj (2'!B215)*A224/(1-((1+A224)^-'Tableaux amortissement proj (2'!C215)),_nbdeci1t),ROUND('Tableaux amortissement proj (2'!K215/'Tableaux amortissement proj (2'!C215,_nbdeci1t)),B223))</f>
        <v>606.91999999999996</v>
      </c>
      <c r="C224" s="10"/>
      <c r="D224" s="10"/>
      <c r="E224" s="10"/>
      <c r="F224" s="10"/>
      <c r="H224" s="29">
        <f>IF('Tableaux amortissement proj (2'!Q215&gt;0,IF(_tauxactuariel1t1,(('Tableaux amortissement proj (2'!Q215+1)^(1/_nebchan1t))-1,'Tableaux amortissement proj (2'!Q215/_nebchan1t),H223)</f>
        <v>8.3333333333333339E-4</v>
      </c>
      <c r="I224" s="28">
        <f>IF('Tableaux amortissement proj (2'!T215&gt;0,'Tableaux amortissement proj (2'!T215,IF('Tableaux amortissement proj (2'!S215&gt;0,IF(AND(_echfixe12,H224&gt;0),ROUND(('Tableaux amortissement proj (2'!AA215-'Tableaux amortissement proj (2'!R215)*H224/(1-((1+H224)^-'Tableaux amortissement proj (2'!S215)),_nbdeci1t1),ROUND('Tableaux amortissement proj (2'!AA215/'Tableaux amortissement proj (2'!S215,_nbdeci1t1)),I223))</f>
        <v>240200</v>
      </c>
      <c r="J224" s="10"/>
      <c r="K224" s="10"/>
      <c r="L224" s="10"/>
      <c r="M224" s="10"/>
      <c r="O224" s="186">
        <v>222</v>
      </c>
    </row>
    <row r="225" spans="1:15" x14ac:dyDescent="0.2">
      <c r="A225" s="29">
        <f>IF('Tableaux amortissement proj (2'!A216&gt;0,IF(_tauxactuariel1t,(('Tableaux amortissement proj (2'!A216+1)^(1/_nbechan1t))-1,'Tableaux amortissement proj (2'!A216/_nbechan1t),A224)</f>
        <v>1.5499999999999999E-3</v>
      </c>
      <c r="B225" s="28">
        <f>IF('Tableaux amortissement proj (2'!D216&gt;0,'Tableaux amortissement proj (2'!D216,IF('Tableaux amortissement proj (2'!C216&gt;0,IF(AND(_echfixe1t,A225&gt;0),ROUND(('Tableaux amortissement proj (2'!K216-'Tableaux amortissement proj (2'!B216)*A225/(1-((1+A225)^-'Tableaux amortissement proj (2'!C216)),_nbdeci1t),ROUND('Tableaux amortissement proj (2'!K216/'Tableaux amortissement proj (2'!C216,_nbdeci1t)),B224))</f>
        <v>606.91999999999996</v>
      </c>
      <c r="C225" s="10"/>
      <c r="D225" s="10"/>
      <c r="E225" s="10"/>
      <c r="F225" s="10"/>
      <c r="H225" s="29">
        <f>IF('Tableaux amortissement proj (2'!Q216&gt;0,IF(_tauxactuariel1t1,(('Tableaux amortissement proj (2'!Q216+1)^(1/_nebchan1t))-1,'Tableaux amortissement proj (2'!Q216/_nebchan1t),H224)</f>
        <v>8.3333333333333339E-4</v>
      </c>
      <c r="I225" s="28">
        <f>IF('Tableaux amortissement proj (2'!T216&gt;0,'Tableaux amortissement proj (2'!T216,IF('Tableaux amortissement proj (2'!S216&gt;0,IF(AND(_echfixe12,H225&gt;0),ROUND(('Tableaux amortissement proj (2'!AA216-'Tableaux amortissement proj (2'!R216)*H225/(1-((1+H225)^-'Tableaux amortissement proj (2'!S216)),_nbdeci1t1),ROUND('Tableaux amortissement proj (2'!AA216/'Tableaux amortissement proj (2'!S216,_nbdeci1t1)),I224))</f>
        <v>240200</v>
      </c>
      <c r="J225" s="10"/>
      <c r="K225" s="10"/>
      <c r="L225" s="10"/>
      <c r="M225" s="10"/>
      <c r="O225" s="186">
        <v>223</v>
      </c>
    </row>
    <row r="226" spans="1:15" x14ac:dyDescent="0.2">
      <c r="A226" s="29">
        <f>IF('Tableaux amortissement proj (2'!A217&gt;0,IF(_tauxactuariel1t,(('Tableaux amortissement proj (2'!A217+1)^(1/_nbechan1t))-1,'Tableaux amortissement proj (2'!A217/_nbechan1t),A225)</f>
        <v>1.5499999999999999E-3</v>
      </c>
      <c r="B226" s="28">
        <f>IF('Tableaux amortissement proj (2'!D217&gt;0,'Tableaux amortissement proj (2'!D217,IF('Tableaux amortissement proj (2'!C217&gt;0,IF(AND(_echfixe1t,A226&gt;0),ROUND(('Tableaux amortissement proj (2'!K217-'Tableaux amortissement proj (2'!B217)*A226/(1-((1+A226)^-'Tableaux amortissement proj (2'!C217)),_nbdeci1t),ROUND('Tableaux amortissement proj (2'!K217/'Tableaux amortissement proj (2'!C217,_nbdeci1t)),B225))</f>
        <v>606.91999999999996</v>
      </c>
      <c r="C226" s="10"/>
      <c r="D226" s="10"/>
      <c r="E226" s="10"/>
      <c r="F226" s="10"/>
      <c r="H226" s="29">
        <f>IF('Tableaux amortissement proj (2'!Q217&gt;0,IF(_tauxactuariel1t1,(('Tableaux amortissement proj (2'!Q217+1)^(1/_nebchan1t))-1,'Tableaux amortissement proj (2'!Q217/_nebchan1t),H225)</f>
        <v>8.3333333333333339E-4</v>
      </c>
      <c r="I226" s="28">
        <f>IF('Tableaux amortissement proj (2'!T217&gt;0,'Tableaux amortissement proj (2'!T217,IF('Tableaux amortissement proj (2'!S217&gt;0,IF(AND(_echfixe12,H226&gt;0),ROUND(('Tableaux amortissement proj (2'!AA217-'Tableaux amortissement proj (2'!R217)*H226/(1-((1+H226)^-'Tableaux amortissement proj (2'!S217)),_nbdeci1t1),ROUND('Tableaux amortissement proj (2'!AA217/'Tableaux amortissement proj (2'!S217,_nbdeci1t1)),I225))</f>
        <v>240200</v>
      </c>
      <c r="J226" s="10"/>
      <c r="K226" s="10"/>
      <c r="L226" s="10"/>
      <c r="M226" s="10"/>
      <c r="O226" s="186">
        <v>224</v>
      </c>
    </row>
    <row r="227" spans="1:15" x14ac:dyDescent="0.2">
      <c r="A227" s="29">
        <f>IF('Tableaux amortissement proj (2'!A218&gt;0,IF(_tauxactuariel1t,(('Tableaux amortissement proj (2'!A218+1)^(1/_nbechan1t))-1,'Tableaux amortissement proj (2'!A218/_nbechan1t),A226)</f>
        <v>1.5499999999999999E-3</v>
      </c>
      <c r="B227" s="28">
        <f>IF('Tableaux amortissement proj (2'!D218&gt;0,'Tableaux amortissement proj (2'!D218,IF('Tableaux amortissement proj (2'!C218&gt;0,IF(AND(_echfixe1t,A227&gt;0),ROUND(('Tableaux amortissement proj (2'!K218-'Tableaux amortissement proj (2'!B218)*A227/(1-((1+A227)^-'Tableaux amortissement proj (2'!C218)),_nbdeci1t),ROUND('Tableaux amortissement proj (2'!K218/'Tableaux amortissement proj (2'!C218,_nbdeci1t)),B226))</f>
        <v>606.91999999999996</v>
      </c>
      <c r="C227" s="10"/>
      <c r="D227" s="10"/>
      <c r="E227" s="10"/>
      <c r="F227" s="10"/>
      <c r="H227" s="29">
        <f>IF('Tableaux amortissement proj (2'!Q218&gt;0,IF(_tauxactuariel1t1,(('Tableaux amortissement proj (2'!Q218+1)^(1/_nebchan1t))-1,'Tableaux amortissement proj (2'!Q218/_nebchan1t),H226)</f>
        <v>8.3333333333333339E-4</v>
      </c>
      <c r="I227" s="28">
        <f>IF('Tableaux amortissement proj (2'!T218&gt;0,'Tableaux amortissement proj (2'!T218,IF('Tableaux amortissement proj (2'!S218&gt;0,IF(AND(_echfixe12,H227&gt;0),ROUND(('Tableaux amortissement proj (2'!AA218-'Tableaux amortissement proj (2'!R218)*H227/(1-((1+H227)^-'Tableaux amortissement proj (2'!S218)),_nbdeci1t1),ROUND('Tableaux amortissement proj (2'!AA218/'Tableaux amortissement proj (2'!S218,_nbdeci1t1)),I226))</f>
        <v>240200</v>
      </c>
      <c r="J227" s="10"/>
      <c r="K227" s="10"/>
      <c r="L227" s="10"/>
      <c r="M227" s="10"/>
      <c r="O227" s="186">
        <v>225</v>
      </c>
    </row>
    <row r="228" spans="1:15" x14ac:dyDescent="0.2">
      <c r="A228" s="29">
        <f>IF('Tableaux amortissement proj (2'!A219&gt;0,IF(_tauxactuariel1t,(('Tableaux amortissement proj (2'!A219+1)^(1/_nbechan1t))-1,'Tableaux amortissement proj (2'!A219/_nbechan1t),A227)</f>
        <v>1.5499999999999999E-3</v>
      </c>
      <c r="B228" s="28">
        <f>IF('Tableaux amortissement proj (2'!D219&gt;0,'Tableaux amortissement proj (2'!D219,IF('Tableaux amortissement proj (2'!C219&gt;0,IF(AND(_echfixe1t,A228&gt;0),ROUND(('Tableaux amortissement proj (2'!K219-'Tableaux amortissement proj (2'!B219)*A228/(1-((1+A228)^-'Tableaux amortissement proj (2'!C219)),_nbdeci1t),ROUND('Tableaux amortissement proj (2'!K219/'Tableaux amortissement proj (2'!C219,_nbdeci1t)),B227))</f>
        <v>606.91999999999996</v>
      </c>
      <c r="C228" s="10"/>
      <c r="D228" s="10"/>
      <c r="E228" s="10"/>
      <c r="F228" s="10"/>
      <c r="H228" s="29">
        <f>IF('Tableaux amortissement proj (2'!Q219&gt;0,IF(_tauxactuariel1t1,(('Tableaux amortissement proj (2'!Q219+1)^(1/_nebchan1t))-1,'Tableaux amortissement proj (2'!Q219/_nebchan1t),H227)</f>
        <v>8.3333333333333339E-4</v>
      </c>
      <c r="I228" s="28">
        <f>IF('Tableaux amortissement proj (2'!T219&gt;0,'Tableaux amortissement proj (2'!T219,IF('Tableaux amortissement proj (2'!S219&gt;0,IF(AND(_echfixe12,H228&gt;0),ROUND(('Tableaux amortissement proj (2'!AA219-'Tableaux amortissement proj (2'!R219)*H228/(1-((1+H228)^-'Tableaux amortissement proj (2'!S219)),_nbdeci1t1),ROUND('Tableaux amortissement proj (2'!AA219/'Tableaux amortissement proj (2'!S219,_nbdeci1t1)),I227))</f>
        <v>240200</v>
      </c>
      <c r="J228" s="10"/>
      <c r="K228" s="10"/>
      <c r="L228" s="10"/>
      <c r="M228" s="10"/>
      <c r="O228" s="186">
        <v>226</v>
      </c>
    </row>
    <row r="229" spans="1:15" x14ac:dyDescent="0.2">
      <c r="A229" s="29">
        <f>IF('Tableaux amortissement proj (2'!A220&gt;0,IF(_tauxactuariel1t,(('Tableaux amortissement proj (2'!A220+1)^(1/_nbechan1t))-1,'Tableaux amortissement proj (2'!A220/_nbechan1t),A228)</f>
        <v>1.5499999999999999E-3</v>
      </c>
      <c r="B229" s="28">
        <f>IF('Tableaux amortissement proj (2'!D220&gt;0,'Tableaux amortissement proj (2'!D220,IF('Tableaux amortissement proj (2'!C220&gt;0,IF(AND(_echfixe1t,A229&gt;0),ROUND(('Tableaux amortissement proj (2'!K220-'Tableaux amortissement proj (2'!B220)*A229/(1-((1+A229)^-'Tableaux amortissement proj (2'!C220)),_nbdeci1t),ROUND('Tableaux amortissement proj (2'!K220/'Tableaux amortissement proj (2'!C220,_nbdeci1t)),B228))</f>
        <v>606.91999999999996</v>
      </c>
      <c r="C229" s="10"/>
      <c r="D229" s="10"/>
      <c r="E229" s="10"/>
      <c r="F229" s="10"/>
      <c r="H229" s="29">
        <f>IF('Tableaux amortissement proj (2'!Q220&gt;0,IF(_tauxactuariel1t1,(('Tableaux amortissement proj (2'!Q220+1)^(1/_nebchan1t))-1,'Tableaux amortissement proj (2'!Q220/_nebchan1t),H228)</f>
        <v>8.3333333333333339E-4</v>
      </c>
      <c r="I229" s="28">
        <f>IF('Tableaux amortissement proj (2'!T220&gt;0,'Tableaux amortissement proj (2'!T220,IF('Tableaux amortissement proj (2'!S220&gt;0,IF(AND(_echfixe12,H229&gt;0),ROUND(('Tableaux amortissement proj (2'!AA220-'Tableaux amortissement proj (2'!R220)*H229/(1-((1+H229)^-'Tableaux amortissement proj (2'!S220)),_nbdeci1t1),ROUND('Tableaux amortissement proj (2'!AA220/'Tableaux amortissement proj (2'!S220,_nbdeci1t1)),I228))</f>
        <v>240200</v>
      </c>
      <c r="J229" s="10"/>
      <c r="K229" s="10"/>
      <c r="L229" s="10"/>
      <c r="M229" s="10"/>
      <c r="O229" s="186">
        <v>227</v>
      </c>
    </row>
    <row r="230" spans="1:15" x14ac:dyDescent="0.2">
      <c r="A230" s="29">
        <f>IF('Tableaux amortissement proj (2'!A221&gt;0,IF(_tauxactuariel1t,(('Tableaux amortissement proj (2'!A221+1)^(1/_nbechan1t))-1,'Tableaux amortissement proj (2'!A221/_nbechan1t),A229)</f>
        <v>1.5499999999999999E-3</v>
      </c>
      <c r="B230" s="28">
        <f>IF('Tableaux amortissement proj (2'!D221&gt;0,'Tableaux amortissement proj (2'!D221,IF('Tableaux amortissement proj (2'!C221&gt;0,IF(AND(_echfixe1t,A230&gt;0),ROUND(('Tableaux amortissement proj (2'!K221-'Tableaux amortissement proj (2'!B221)*A230/(1-((1+A230)^-'Tableaux amortissement proj (2'!C221)),_nbdeci1t),ROUND('Tableaux amortissement proj (2'!K221/'Tableaux amortissement proj (2'!C221,_nbdeci1t)),B229))</f>
        <v>606.91999999999996</v>
      </c>
      <c r="C230" s="10"/>
      <c r="D230" s="10"/>
      <c r="E230" s="10"/>
      <c r="F230" s="10"/>
      <c r="H230" s="29">
        <f>IF('Tableaux amortissement proj (2'!Q221&gt;0,IF(_tauxactuariel1t1,(('Tableaux amortissement proj (2'!Q221+1)^(1/_nebchan1t))-1,'Tableaux amortissement proj (2'!Q221/_nebchan1t),H229)</f>
        <v>8.3333333333333339E-4</v>
      </c>
      <c r="I230" s="28">
        <f>IF('Tableaux amortissement proj (2'!T221&gt;0,'Tableaux amortissement proj (2'!T221,IF('Tableaux amortissement proj (2'!S221&gt;0,IF(AND(_echfixe12,H230&gt;0),ROUND(('Tableaux amortissement proj (2'!AA221-'Tableaux amortissement proj (2'!R221)*H230/(1-((1+H230)^-'Tableaux amortissement proj (2'!S221)),_nbdeci1t1),ROUND('Tableaux amortissement proj (2'!AA221/'Tableaux amortissement proj (2'!S221,_nbdeci1t1)),I229))</f>
        <v>240200</v>
      </c>
      <c r="J230" s="10"/>
      <c r="K230" s="10"/>
      <c r="L230" s="10"/>
      <c r="M230" s="10"/>
      <c r="O230" s="186">
        <v>228</v>
      </c>
    </row>
    <row r="231" spans="1:15" x14ac:dyDescent="0.2">
      <c r="A231" s="29">
        <f>IF('Tableaux amortissement proj (2'!A222&gt;0,IF(_tauxactuariel1t,(('Tableaux amortissement proj (2'!A222+1)^(1/_nbechan1t))-1,'Tableaux amortissement proj (2'!A222/_nbechan1t),A230)</f>
        <v>1.5499999999999999E-3</v>
      </c>
      <c r="B231" s="28">
        <f>IF('Tableaux amortissement proj (2'!D222&gt;0,'Tableaux amortissement proj (2'!D222,IF('Tableaux amortissement proj (2'!C222&gt;0,IF(AND(_echfixe1t,A231&gt;0),ROUND(('Tableaux amortissement proj (2'!K222-'Tableaux amortissement proj (2'!B222)*A231/(1-((1+A231)^-'Tableaux amortissement proj (2'!C222)),_nbdeci1t),ROUND('Tableaux amortissement proj (2'!K222/'Tableaux amortissement proj (2'!C222,_nbdeci1t)),B230))</f>
        <v>606.91999999999996</v>
      </c>
      <c r="C231" s="10"/>
      <c r="D231" s="10"/>
      <c r="E231" s="10"/>
      <c r="F231" s="10"/>
      <c r="H231" s="29">
        <f>IF('Tableaux amortissement proj (2'!Q222&gt;0,IF(_tauxactuariel1t1,(('Tableaux amortissement proj (2'!Q222+1)^(1/_nebchan1t))-1,'Tableaux amortissement proj (2'!Q222/_nebchan1t),H230)</f>
        <v>8.3333333333333339E-4</v>
      </c>
      <c r="I231" s="28">
        <f>IF('Tableaux amortissement proj (2'!T222&gt;0,'Tableaux amortissement proj (2'!T222,IF('Tableaux amortissement proj (2'!S222&gt;0,IF(AND(_echfixe12,H231&gt;0),ROUND(('Tableaux amortissement proj (2'!AA222-'Tableaux amortissement proj (2'!R222)*H231/(1-((1+H231)^-'Tableaux amortissement proj (2'!S222)),_nbdeci1t1),ROUND('Tableaux amortissement proj (2'!AA222/'Tableaux amortissement proj (2'!S222,_nbdeci1t1)),I230))</f>
        <v>240200</v>
      </c>
      <c r="J231" s="10"/>
      <c r="K231" s="10"/>
      <c r="L231" s="10"/>
      <c r="M231" s="10"/>
      <c r="O231" s="186">
        <v>229</v>
      </c>
    </row>
    <row r="232" spans="1:15" x14ac:dyDescent="0.2">
      <c r="A232" s="29">
        <f>IF('Tableaux amortissement proj (2'!A223&gt;0,IF(_tauxactuariel1t,(('Tableaux amortissement proj (2'!A223+1)^(1/_nbechan1t))-1,'Tableaux amortissement proj (2'!A223/_nbechan1t),A231)</f>
        <v>1.5499999999999999E-3</v>
      </c>
      <c r="B232" s="28">
        <f>IF('Tableaux amortissement proj (2'!D223&gt;0,'Tableaux amortissement proj (2'!D223,IF('Tableaux amortissement proj (2'!C223&gt;0,IF(AND(_echfixe1t,A232&gt;0),ROUND(('Tableaux amortissement proj (2'!K223-'Tableaux amortissement proj (2'!B223)*A232/(1-((1+A232)^-'Tableaux amortissement proj (2'!C223)),_nbdeci1t),ROUND('Tableaux amortissement proj (2'!K223/'Tableaux amortissement proj (2'!C223,_nbdeci1t)),B231))</f>
        <v>606.91999999999996</v>
      </c>
      <c r="C232" s="10"/>
      <c r="D232" s="10"/>
      <c r="E232" s="10"/>
      <c r="F232" s="10"/>
      <c r="H232" s="29">
        <f>IF('Tableaux amortissement proj (2'!Q223&gt;0,IF(_tauxactuariel1t1,(('Tableaux amortissement proj (2'!Q223+1)^(1/_nebchan1t))-1,'Tableaux amortissement proj (2'!Q223/_nebchan1t),H231)</f>
        <v>8.3333333333333339E-4</v>
      </c>
      <c r="I232" s="28">
        <f>IF('Tableaux amortissement proj (2'!T223&gt;0,'Tableaux amortissement proj (2'!T223,IF('Tableaux amortissement proj (2'!S223&gt;0,IF(AND(_echfixe12,H232&gt;0),ROUND(('Tableaux amortissement proj (2'!AA223-'Tableaux amortissement proj (2'!R223)*H232/(1-((1+H232)^-'Tableaux amortissement proj (2'!S223)),_nbdeci1t1),ROUND('Tableaux amortissement proj (2'!AA223/'Tableaux amortissement proj (2'!S223,_nbdeci1t1)),I231))</f>
        <v>240200</v>
      </c>
      <c r="J232" s="10"/>
      <c r="K232" s="10"/>
      <c r="L232" s="10"/>
      <c r="M232" s="10"/>
      <c r="O232" s="186">
        <v>230</v>
      </c>
    </row>
    <row r="233" spans="1:15" x14ac:dyDescent="0.2">
      <c r="A233" s="29">
        <f>IF('Tableaux amortissement proj (2'!A224&gt;0,IF(_tauxactuariel1t,(('Tableaux amortissement proj (2'!A224+1)^(1/_nbechan1t))-1,'Tableaux amortissement proj (2'!A224/_nbechan1t),A232)</f>
        <v>1.5499999999999999E-3</v>
      </c>
      <c r="B233" s="28">
        <f>IF('Tableaux amortissement proj (2'!D224&gt;0,'Tableaux amortissement proj (2'!D224,IF('Tableaux amortissement proj (2'!C224&gt;0,IF(AND(_echfixe1t,A233&gt;0),ROUND(('Tableaux amortissement proj (2'!K224-'Tableaux amortissement proj (2'!B224)*A233/(1-((1+A233)^-'Tableaux amortissement proj (2'!C224)),_nbdeci1t),ROUND('Tableaux amortissement proj (2'!K224/'Tableaux amortissement proj (2'!C224,_nbdeci1t)),B232))</f>
        <v>606.91999999999996</v>
      </c>
      <c r="C233" s="10"/>
      <c r="D233" s="10"/>
      <c r="E233" s="10"/>
      <c r="F233" s="10"/>
      <c r="H233" s="29">
        <f>IF('Tableaux amortissement proj (2'!Q224&gt;0,IF(_tauxactuariel1t1,(('Tableaux amortissement proj (2'!Q224+1)^(1/_nebchan1t))-1,'Tableaux amortissement proj (2'!Q224/_nebchan1t),H232)</f>
        <v>8.3333333333333339E-4</v>
      </c>
      <c r="I233" s="28">
        <f>IF('Tableaux amortissement proj (2'!T224&gt;0,'Tableaux amortissement proj (2'!T224,IF('Tableaux amortissement proj (2'!S224&gt;0,IF(AND(_echfixe12,H233&gt;0),ROUND(('Tableaux amortissement proj (2'!AA224-'Tableaux amortissement proj (2'!R224)*H233/(1-((1+H233)^-'Tableaux amortissement proj (2'!S224)),_nbdeci1t1),ROUND('Tableaux amortissement proj (2'!AA224/'Tableaux amortissement proj (2'!S224,_nbdeci1t1)),I232))</f>
        <v>240200</v>
      </c>
      <c r="J233" s="10"/>
      <c r="K233" s="10"/>
      <c r="L233" s="10"/>
      <c r="M233" s="10"/>
      <c r="O233" s="186">
        <v>231</v>
      </c>
    </row>
    <row r="234" spans="1:15" x14ac:dyDescent="0.2">
      <c r="A234" s="29">
        <f>IF('Tableaux amortissement proj (2'!A225&gt;0,IF(_tauxactuariel1t,(('Tableaux amortissement proj (2'!A225+1)^(1/_nbechan1t))-1,'Tableaux amortissement proj (2'!A225/_nbechan1t),A233)</f>
        <v>1.5499999999999999E-3</v>
      </c>
      <c r="B234" s="28">
        <f>IF('Tableaux amortissement proj (2'!D225&gt;0,'Tableaux amortissement proj (2'!D225,IF('Tableaux amortissement proj (2'!C225&gt;0,IF(AND(_echfixe1t,A234&gt;0),ROUND(('Tableaux amortissement proj (2'!K225-'Tableaux amortissement proj (2'!B225)*A234/(1-((1+A234)^-'Tableaux amortissement proj (2'!C225)),_nbdeci1t),ROUND('Tableaux amortissement proj (2'!K225/'Tableaux amortissement proj (2'!C225,_nbdeci1t)),B233))</f>
        <v>606.91999999999996</v>
      </c>
      <c r="C234" s="10"/>
      <c r="D234" s="10"/>
      <c r="E234" s="10"/>
      <c r="F234" s="10"/>
      <c r="H234" s="29">
        <f>IF('Tableaux amortissement proj (2'!Q225&gt;0,IF(_tauxactuariel1t1,(('Tableaux amortissement proj (2'!Q225+1)^(1/_nebchan1t))-1,'Tableaux amortissement proj (2'!Q225/_nebchan1t),H233)</f>
        <v>8.3333333333333339E-4</v>
      </c>
      <c r="I234" s="28">
        <f>IF('Tableaux amortissement proj (2'!T225&gt;0,'Tableaux amortissement proj (2'!T225,IF('Tableaux amortissement proj (2'!S225&gt;0,IF(AND(_echfixe12,H234&gt;0),ROUND(('Tableaux amortissement proj (2'!AA225-'Tableaux amortissement proj (2'!R225)*H234/(1-((1+H234)^-'Tableaux amortissement proj (2'!S225)),_nbdeci1t1),ROUND('Tableaux amortissement proj (2'!AA225/'Tableaux amortissement proj (2'!S225,_nbdeci1t1)),I233))</f>
        <v>240200</v>
      </c>
      <c r="J234" s="10"/>
      <c r="K234" s="10"/>
      <c r="L234" s="10"/>
      <c r="M234" s="10"/>
      <c r="O234" s="186">
        <v>232</v>
      </c>
    </row>
    <row r="235" spans="1:15" x14ac:dyDescent="0.2">
      <c r="A235" s="29">
        <f>IF('Tableaux amortissement proj (2'!A226&gt;0,IF(_tauxactuariel1t,(('Tableaux amortissement proj (2'!A226+1)^(1/_nbechan1t))-1,'Tableaux amortissement proj (2'!A226/_nbechan1t),A234)</f>
        <v>1.5499999999999999E-3</v>
      </c>
      <c r="B235" s="28">
        <f>IF('Tableaux amortissement proj (2'!D226&gt;0,'Tableaux amortissement proj (2'!D226,IF('Tableaux amortissement proj (2'!C226&gt;0,IF(AND(_echfixe1t,A235&gt;0),ROUND(('Tableaux amortissement proj (2'!K226-'Tableaux amortissement proj (2'!B226)*A235/(1-((1+A235)^-'Tableaux amortissement proj (2'!C226)),_nbdeci1t),ROUND('Tableaux amortissement proj (2'!K226/'Tableaux amortissement proj (2'!C226,_nbdeci1t)),B234))</f>
        <v>606.91999999999996</v>
      </c>
      <c r="C235" s="10"/>
      <c r="D235" s="10"/>
      <c r="E235" s="10"/>
      <c r="F235" s="10"/>
      <c r="H235" s="29">
        <f>IF('Tableaux amortissement proj (2'!Q226&gt;0,IF(_tauxactuariel1t1,(('Tableaux amortissement proj (2'!Q226+1)^(1/_nebchan1t))-1,'Tableaux amortissement proj (2'!Q226/_nebchan1t),H234)</f>
        <v>8.3333333333333339E-4</v>
      </c>
      <c r="I235" s="28">
        <f>IF('Tableaux amortissement proj (2'!T226&gt;0,'Tableaux amortissement proj (2'!T226,IF('Tableaux amortissement proj (2'!S226&gt;0,IF(AND(_echfixe12,H235&gt;0),ROUND(('Tableaux amortissement proj (2'!AA226-'Tableaux amortissement proj (2'!R226)*H235/(1-((1+H235)^-'Tableaux amortissement proj (2'!S226)),_nbdeci1t1),ROUND('Tableaux amortissement proj (2'!AA226/'Tableaux amortissement proj (2'!S226,_nbdeci1t1)),I234))</f>
        <v>240200</v>
      </c>
      <c r="J235" s="10"/>
      <c r="K235" s="10"/>
      <c r="L235" s="10"/>
      <c r="M235" s="10"/>
      <c r="O235" s="186">
        <v>233</v>
      </c>
    </row>
    <row r="236" spans="1:15" x14ac:dyDescent="0.2">
      <c r="A236" s="29">
        <f>IF('Tableaux amortissement proj (2'!A227&gt;0,IF(_tauxactuariel1t,(('Tableaux amortissement proj (2'!A227+1)^(1/_nbechan1t))-1,'Tableaux amortissement proj (2'!A227/_nbechan1t),A235)</f>
        <v>1.5499999999999999E-3</v>
      </c>
      <c r="B236" s="28">
        <f>IF('Tableaux amortissement proj (2'!D227&gt;0,'Tableaux amortissement proj (2'!D227,IF('Tableaux amortissement proj (2'!C227&gt;0,IF(AND(_echfixe1t,A236&gt;0),ROUND(('Tableaux amortissement proj (2'!K227-'Tableaux amortissement proj (2'!B227)*A236/(1-((1+A236)^-'Tableaux amortissement proj (2'!C227)),_nbdeci1t),ROUND('Tableaux amortissement proj (2'!K227/'Tableaux amortissement proj (2'!C227,_nbdeci1t)),B235))</f>
        <v>606.91999999999996</v>
      </c>
      <c r="C236" s="10"/>
      <c r="D236" s="10"/>
      <c r="E236" s="10"/>
      <c r="F236" s="10"/>
      <c r="H236" s="29">
        <f>IF('Tableaux amortissement proj (2'!Q227&gt;0,IF(_tauxactuariel1t1,(('Tableaux amortissement proj (2'!Q227+1)^(1/_nebchan1t))-1,'Tableaux amortissement proj (2'!Q227/_nebchan1t),H235)</f>
        <v>8.3333333333333339E-4</v>
      </c>
      <c r="I236" s="28">
        <f>IF('Tableaux amortissement proj (2'!T227&gt;0,'Tableaux amortissement proj (2'!T227,IF('Tableaux amortissement proj (2'!S227&gt;0,IF(AND(_echfixe12,H236&gt;0),ROUND(('Tableaux amortissement proj (2'!AA227-'Tableaux amortissement proj (2'!R227)*H236/(1-((1+H236)^-'Tableaux amortissement proj (2'!S227)),_nbdeci1t1),ROUND('Tableaux amortissement proj (2'!AA227/'Tableaux amortissement proj (2'!S227,_nbdeci1t1)),I235))</f>
        <v>240200</v>
      </c>
      <c r="J236" s="10"/>
      <c r="K236" s="10"/>
      <c r="L236" s="10"/>
      <c r="M236" s="10"/>
      <c r="O236" s="186">
        <v>234</v>
      </c>
    </row>
    <row r="237" spans="1:15" x14ac:dyDescent="0.2">
      <c r="A237" s="29">
        <f>IF('Tableaux amortissement proj (2'!A228&gt;0,IF(_tauxactuariel1t,(('Tableaux amortissement proj (2'!A228+1)^(1/_nbechan1t))-1,'Tableaux amortissement proj (2'!A228/_nbechan1t),A236)</f>
        <v>1.5499999999999999E-3</v>
      </c>
      <c r="B237" s="28">
        <f>IF('Tableaux amortissement proj (2'!D228&gt;0,'Tableaux amortissement proj (2'!D228,IF('Tableaux amortissement proj (2'!C228&gt;0,IF(AND(_echfixe1t,A237&gt;0),ROUND(('Tableaux amortissement proj (2'!K228-'Tableaux amortissement proj (2'!B228)*A237/(1-((1+A237)^-'Tableaux amortissement proj (2'!C228)),_nbdeci1t),ROUND('Tableaux amortissement proj (2'!K228/'Tableaux amortissement proj (2'!C228,_nbdeci1t)),B236))</f>
        <v>606.91999999999996</v>
      </c>
      <c r="C237" s="10"/>
      <c r="D237" s="10"/>
      <c r="E237" s="10"/>
      <c r="F237" s="10"/>
      <c r="H237" s="29">
        <f>IF('Tableaux amortissement proj (2'!Q228&gt;0,IF(_tauxactuariel1t1,(('Tableaux amortissement proj (2'!Q228+1)^(1/_nebchan1t))-1,'Tableaux amortissement proj (2'!Q228/_nebchan1t),H236)</f>
        <v>8.3333333333333339E-4</v>
      </c>
      <c r="I237" s="28">
        <f>IF('Tableaux amortissement proj (2'!T228&gt;0,'Tableaux amortissement proj (2'!T228,IF('Tableaux amortissement proj (2'!S228&gt;0,IF(AND(_echfixe12,H237&gt;0),ROUND(('Tableaux amortissement proj (2'!AA228-'Tableaux amortissement proj (2'!R228)*H237/(1-((1+H237)^-'Tableaux amortissement proj (2'!S228)),_nbdeci1t1),ROUND('Tableaux amortissement proj (2'!AA228/'Tableaux amortissement proj (2'!S228,_nbdeci1t1)),I236))</f>
        <v>240200</v>
      </c>
      <c r="J237" s="10"/>
      <c r="K237" s="10"/>
      <c r="L237" s="10"/>
      <c r="M237" s="10"/>
      <c r="O237" s="186">
        <v>235</v>
      </c>
    </row>
    <row r="238" spans="1:15" x14ac:dyDescent="0.2">
      <c r="A238" s="29">
        <f>IF('Tableaux amortissement proj (2'!A229&gt;0,IF(_tauxactuariel1t,(('Tableaux amortissement proj (2'!A229+1)^(1/_nbechan1t))-1,'Tableaux amortissement proj (2'!A229/_nbechan1t),A237)</f>
        <v>1.5499999999999999E-3</v>
      </c>
      <c r="B238" s="28">
        <f>IF('Tableaux amortissement proj (2'!D229&gt;0,'Tableaux amortissement proj (2'!D229,IF('Tableaux amortissement proj (2'!C229&gt;0,IF(AND(_echfixe1t,A238&gt;0),ROUND(('Tableaux amortissement proj (2'!K229-'Tableaux amortissement proj (2'!B229)*A238/(1-((1+A238)^-'Tableaux amortissement proj (2'!C229)),_nbdeci1t),ROUND('Tableaux amortissement proj (2'!K229/'Tableaux amortissement proj (2'!C229,_nbdeci1t)),B237))</f>
        <v>606.91999999999996</v>
      </c>
      <c r="C238" s="10"/>
      <c r="D238" s="10"/>
      <c r="E238" s="10"/>
      <c r="F238" s="10"/>
      <c r="H238" s="29">
        <f>IF('Tableaux amortissement proj (2'!Q229&gt;0,IF(_tauxactuariel1t1,(('Tableaux amortissement proj (2'!Q229+1)^(1/_nebchan1t))-1,'Tableaux amortissement proj (2'!Q229/_nebchan1t),H237)</f>
        <v>8.3333333333333339E-4</v>
      </c>
      <c r="I238" s="28">
        <f>IF('Tableaux amortissement proj (2'!T229&gt;0,'Tableaux amortissement proj (2'!T229,IF('Tableaux amortissement proj (2'!S229&gt;0,IF(AND(_echfixe12,H238&gt;0),ROUND(('Tableaux amortissement proj (2'!AA229-'Tableaux amortissement proj (2'!R229)*H238/(1-((1+H238)^-'Tableaux amortissement proj (2'!S229)),_nbdeci1t1),ROUND('Tableaux amortissement proj (2'!AA229/'Tableaux amortissement proj (2'!S229,_nbdeci1t1)),I237))</f>
        <v>240200</v>
      </c>
      <c r="J238" s="10"/>
      <c r="K238" s="10"/>
      <c r="L238" s="10"/>
      <c r="M238" s="10"/>
      <c r="O238" s="186">
        <v>236</v>
      </c>
    </row>
    <row r="239" spans="1:15" x14ac:dyDescent="0.2">
      <c r="A239" s="29">
        <f>IF('Tableaux amortissement proj (2'!A230&gt;0,IF(_tauxactuariel1t,(('Tableaux amortissement proj (2'!A230+1)^(1/_nbechan1t))-1,'Tableaux amortissement proj (2'!A230/_nbechan1t),A238)</f>
        <v>1.5499999999999999E-3</v>
      </c>
      <c r="B239" s="28">
        <f>IF('Tableaux amortissement proj (2'!D230&gt;0,'Tableaux amortissement proj (2'!D230,IF('Tableaux amortissement proj (2'!C230&gt;0,IF(AND(_echfixe1t,A239&gt;0),ROUND(('Tableaux amortissement proj (2'!K230-'Tableaux amortissement proj (2'!B230)*A239/(1-((1+A239)^-'Tableaux amortissement proj (2'!C230)),_nbdeci1t),ROUND('Tableaux amortissement proj (2'!K230/'Tableaux amortissement proj (2'!C230,_nbdeci1t)),B238))</f>
        <v>606.91999999999996</v>
      </c>
      <c r="C239" s="10"/>
      <c r="D239" s="10"/>
      <c r="E239" s="10"/>
      <c r="F239" s="10"/>
      <c r="H239" s="29">
        <f>IF('Tableaux amortissement proj (2'!Q230&gt;0,IF(_tauxactuariel1t1,(('Tableaux amortissement proj (2'!Q230+1)^(1/_nebchan1t))-1,'Tableaux amortissement proj (2'!Q230/_nebchan1t),H238)</f>
        <v>8.3333333333333339E-4</v>
      </c>
      <c r="I239" s="28">
        <f>IF('Tableaux amortissement proj (2'!T230&gt;0,'Tableaux amortissement proj (2'!T230,IF('Tableaux amortissement proj (2'!S230&gt;0,IF(AND(_echfixe12,H239&gt;0),ROUND(('Tableaux amortissement proj (2'!AA230-'Tableaux amortissement proj (2'!R230)*H239/(1-((1+H239)^-'Tableaux amortissement proj (2'!S230)),_nbdeci1t1),ROUND('Tableaux amortissement proj (2'!AA230/'Tableaux amortissement proj (2'!S230,_nbdeci1t1)),I238))</f>
        <v>240200</v>
      </c>
      <c r="J239" s="10"/>
      <c r="K239" s="10"/>
      <c r="L239" s="10"/>
      <c r="M239" s="10"/>
      <c r="O239" s="186">
        <v>237</v>
      </c>
    </row>
    <row r="240" spans="1:15" x14ac:dyDescent="0.2">
      <c r="A240" s="29">
        <f>IF('Tableaux amortissement proj (2'!A231&gt;0,IF(_tauxactuariel1t,(('Tableaux amortissement proj (2'!A231+1)^(1/_nbechan1t))-1,'Tableaux amortissement proj (2'!A231/_nbechan1t),A239)</f>
        <v>1.5499999999999999E-3</v>
      </c>
      <c r="B240" s="28">
        <f>IF('Tableaux amortissement proj (2'!D231&gt;0,'Tableaux amortissement proj (2'!D231,IF('Tableaux amortissement proj (2'!C231&gt;0,IF(AND(_echfixe1t,A240&gt;0),ROUND(('Tableaux amortissement proj (2'!K231-'Tableaux amortissement proj (2'!B231)*A240/(1-((1+A240)^-'Tableaux amortissement proj (2'!C231)),_nbdeci1t),ROUND('Tableaux amortissement proj (2'!K231/'Tableaux amortissement proj (2'!C231,_nbdeci1t)),B239))</f>
        <v>606.91999999999996</v>
      </c>
      <c r="C240" s="10"/>
      <c r="D240" s="10"/>
      <c r="E240" s="10"/>
      <c r="F240" s="10"/>
      <c r="H240" s="29">
        <f>IF('Tableaux amortissement proj (2'!Q231&gt;0,IF(_tauxactuariel1t1,(('Tableaux amortissement proj (2'!Q231+1)^(1/_nebchan1t))-1,'Tableaux amortissement proj (2'!Q231/_nebchan1t),H239)</f>
        <v>8.3333333333333339E-4</v>
      </c>
      <c r="I240" s="28">
        <f>IF('Tableaux amortissement proj (2'!T231&gt;0,'Tableaux amortissement proj (2'!T231,IF('Tableaux amortissement proj (2'!S231&gt;0,IF(AND(_echfixe12,H240&gt;0),ROUND(('Tableaux amortissement proj (2'!AA231-'Tableaux amortissement proj (2'!R231)*H240/(1-((1+H240)^-'Tableaux amortissement proj (2'!S231)),_nbdeci1t1),ROUND('Tableaux amortissement proj (2'!AA231/'Tableaux amortissement proj (2'!S231,_nbdeci1t1)),I239))</f>
        <v>240200</v>
      </c>
      <c r="J240" s="10"/>
      <c r="K240" s="10"/>
      <c r="L240" s="10"/>
      <c r="M240" s="10"/>
      <c r="O240" s="186">
        <v>238</v>
      </c>
    </row>
    <row r="241" spans="1:15" x14ac:dyDescent="0.2">
      <c r="A241" s="29">
        <f>IF('Tableaux amortissement proj (2'!A232&gt;0,IF(_tauxactuariel1t,(('Tableaux amortissement proj (2'!A232+1)^(1/_nbechan1t))-1,'Tableaux amortissement proj (2'!A232/_nbechan1t),A240)</f>
        <v>1.5499999999999999E-3</v>
      </c>
      <c r="B241" s="28">
        <f>IF('Tableaux amortissement proj (2'!D232&gt;0,'Tableaux amortissement proj (2'!D232,IF('Tableaux amortissement proj (2'!C232&gt;0,IF(AND(_echfixe1t,A241&gt;0),ROUND(('Tableaux amortissement proj (2'!K232-'Tableaux amortissement proj (2'!B232)*A241/(1-((1+A241)^-'Tableaux amortissement proj (2'!C232)),_nbdeci1t),ROUND('Tableaux amortissement proj (2'!K232/'Tableaux amortissement proj (2'!C232,_nbdeci1t)),B240))</f>
        <v>606.91999999999996</v>
      </c>
      <c r="C241" s="10"/>
      <c r="D241" s="10"/>
      <c r="E241" s="10"/>
      <c r="F241" s="10"/>
      <c r="H241" s="29">
        <f>IF('Tableaux amortissement proj (2'!Q232&gt;0,IF(_tauxactuariel1t1,(('Tableaux amortissement proj (2'!Q232+1)^(1/_nebchan1t))-1,'Tableaux amortissement proj (2'!Q232/_nebchan1t),H240)</f>
        <v>8.3333333333333339E-4</v>
      </c>
      <c r="I241" s="28">
        <f>IF('Tableaux amortissement proj (2'!T232&gt;0,'Tableaux amortissement proj (2'!T232,IF('Tableaux amortissement proj (2'!S232&gt;0,IF(AND(_echfixe12,H241&gt;0),ROUND(('Tableaux amortissement proj (2'!AA232-'Tableaux amortissement proj (2'!R232)*H241/(1-((1+H241)^-'Tableaux amortissement proj (2'!S232)),_nbdeci1t1),ROUND('Tableaux amortissement proj (2'!AA232/'Tableaux amortissement proj (2'!S232,_nbdeci1t1)),I240))</f>
        <v>240200</v>
      </c>
      <c r="J241" s="10"/>
      <c r="K241" s="10"/>
      <c r="L241" s="10"/>
      <c r="M241" s="10"/>
      <c r="O241" s="186">
        <v>239</v>
      </c>
    </row>
    <row r="242" spans="1:15" x14ac:dyDescent="0.2">
      <c r="A242" s="29">
        <f>IF('Tableaux amortissement proj (2'!A233&gt;0,IF(_tauxactuariel1t,(('Tableaux amortissement proj (2'!A233+1)^(1/_nbechan1t))-1,'Tableaux amortissement proj (2'!A233/_nbechan1t),A241)</f>
        <v>1.5499999999999999E-3</v>
      </c>
      <c r="B242" s="28">
        <f>IF('Tableaux amortissement proj (2'!D233&gt;0,'Tableaux amortissement proj (2'!D233,IF('Tableaux amortissement proj (2'!C233&gt;0,IF(AND(_echfixe1t,A242&gt;0),ROUND(('Tableaux amortissement proj (2'!K233-'Tableaux amortissement proj (2'!B233)*A242/(1-((1+A242)^-'Tableaux amortissement proj (2'!C233)),_nbdeci1t),ROUND('Tableaux amortissement proj (2'!K233/'Tableaux amortissement proj (2'!C233,_nbdeci1t)),B241))</f>
        <v>606.91999999999996</v>
      </c>
      <c r="C242" s="10"/>
      <c r="D242" s="10"/>
      <c r="E242" s="10"/>
      <c r="F242" s="10"/>
      <c r="H242" s="29">
        <f>IF('Tableaux amortissement proj (2'!Q233&gt;0,IF(_tauxactuariel1t1,(('Tableaux amortissement proj (2'!Q233+1)^(1/_nebchan1t))-1,'Tableaux amortissement proj (2'!Q233/_nebchan1t),H241)</f>
        <v>8.3333333333333339E-4</v>
      </c>
      <c r="I242" s="28">
        <f>IF('Tableaux amortissement proj (2'!T233&gt;0,'Tableaux amortissement proj (2'!T233,IF('Tableaux amortissement proj (2'!S233&gt;0,IF(AND(_echfixe12,H242&gt;0),ROUND(('Tableaux amortissement proj (2'!AA233-'Tableaux amortissement proj (2'!R233)*H242/(1-((1+H242)^-'Tableaux amortissement proj (2'!S233)),_nbdeci1t1),ROUND('Tableaux amortissement proj (2'!AA233/'Tableaux amortissement proj (2'!S233,_nbdeci1t1)),I241))</f>
        <v>240200</v>
      </c>
      <c r="J242" s="10"/>
      <c r="K242" s="10"/>
      <c r="L242" s="10"/>
      <c r="M242" s="10"/>
      <c r="O242" s="186">
        <v>240</v>
      </c>
    </row>
    <row r="243" spans="1:15" x14ac:dyDescent="0.2">
      <c r="A243" s="29">
        <f>IF('Tableaux amortissement proj (2'!A234&gt;0,IF(_tauxactuariel1t,(('Tableaux amortissement proj (2'!A234+1)^(1/_nbechan1t))-1,'Tableaux amortissement proj (2'!A234/_nbechan1t),A242)</f>
        <v>1.5499999999999999E-3</v>
      </c>
      <c r="B243" s="28">
        <f>IF('Tableaux amortissement proj (2'!D234&gt;0,'Tableaux amortissement proj (2'!D234,IF('Tableaux amortissement proj (2'!C234&gt;0,IF(AND(_echfixe1t,A243&gt;0),ROUND(('Tableaux amortissement proj (2'!K234-'Tableaux amortissement proj (2'!B234)*A243/(1-((1+A243)^-'Tableaux amortissement proj (2'!C234)),_nbdeci1t),ROUND('Tableaux amortissement proj (2'!K234/'Tableaux amortissement proj (2'!C234,_nbdeci1t)),B242))</f>
        <v>606.91999999999996</v>
      </c>
      <c r="C243" s="10"/>
      <c r="D243" s="10"/>
      <c r="E243" s="10"/>
      <c r="F243" s="10"/>
      <c r="H243" s="29">
        <f>IF('Tableaux amortissement proj (2'!Q234&gt;0,IF(_tauxactuariel1t1,(('Tableaux amortissement proj (2'!Q234+1)^(1/_nebchan1t))-1,'Tableaux amortissement proj (2'!Q234/_nebchan1t),H242)</f>
        <v>8.3333333333333339E-4</v>
      </c>
      <c r="I243" s="28">
        <f>IF('Tableaux amortissement proj (2'!T234&gt;0,'Tableaux amortissement proj (2'!T234,IF('Tableaux amortissement proj (2'!S234&gt;0,IF(AND(_echfixe12,H243&gt;0),ROUND(('Tableaux amortissement proj (2'!AA234-'Tableaux amortissement proj (2'!R234)*H243/(1-((1+H243)^-'Tableaux amortissement proj (2'!S234)),_nbdeci1t1),ROUND('Tableaux amortissement proj (2'!AA234/'Tableaux amortissement proj (2'!S234,_nbdeci1t1)),I242))</f>
        <v>240200</v>
      </c>
      <c r="J243" s="10"/>
      <c r="K243" s="10"/>
      <c r="L243" s="10"/>
      <c r="M243" s="10"/>
      <c r="O243" s="186">
        <v>241</v>
      </c>
    </row>
    <row r="244" spans="1:15" x14ac:dyDescent="0.2">
      <c r="A244" s="29">
        <f>IF('Tableaux amortissement proj (2'!A235&gt;0,IF(_tauxactuariel1t,(('Tableaux amortissement proj (2'!A235+1)^(1/_nbechan1t))-1,'Tableaux amortissement proj (2'!A235/_nbechan1t),A243)</f>
        <v>1.5499999999999999E-3</v>
      </c>
      <c r="B244" s="28">
        <f>IF('Tableaux amortissement proj (2'!D235&gt;0,'Tableaux amortissement proj (2'!D235,IF('Tableaux amortissement proj (2'!C235&gt;0,IF(AND(_echfixe1t,A244&gt;0),ROUND(('Tableaux amortissement proj (2'!K235-'Tableaux amortissement proj (2'!B235)*A244/(1-((1+A244)^-'Tableaux amortissement proj (2'!C235)),_nbdeci1t),ROUND('Tableaux amortissement proj (2'!K235/'Tableaux amortissement proj (2'!C235,_nbdeci1t)),B243))</f>
        <v>606.91999999999996</v>
      </c>
      <c r="C244" s="10"/>
      <c r="D244" s="10"/>
      <c r="E244" s="10"/>
      <c r="F244" s="10"/>
      <c r="H244" s="29">
        <f>IF('Tableaux amortissement proj (2'!Q235&gt;0,IF(_tauxactuariel1t1,(('Tableaux amortissement proj (2'!Q235+1)^(1/_nebchan1t))-1,'Tableaux amortissement proj (2'!Q235/_nebchan1t),H243)</f>
        <v>8.3333333333333339E-4</v>
      </c>
      <c r="I244" s="28">
        <f>IF('Tableaux amortissement proj (2'!T235&gt;0,'Tableaux amortissement proj (2'!T235,IF('Tableaux amortissement proj (2'!S235&gt;0,IF(AND(_echfixe12,H244&gt;0),ROUND(('Tableaux amortissement proj (2'!AA235-'Tableaux amortissement proj (2'!R235)*H244/(1-((1+H244)^-'Tableaux amortissement proj (2'!S235)),_nbdeci1t1),ROUND('Tableaux amortissement proj (2'!AA235/'Tableaux amortissement proj (2'!S235,_nbdeci1t1)),I243))</f>
        <v>240200</v>
      </c>
      <c r="J244" s="10"/>
      <c r="K244" s="10"/>
      <c r="L244" s="10"/>
      <c r="M244" s="10"/>
      <c r="O244" s="186">
        <v>242</v>
      </c>
    </row>
    <row r="245" spans="1:15" x14ac:dyDescent="0.2">
      <c r="A245" s="29">
        <f>IF('Tableaux amortissement proj (2'!A236&gt;0,IF(_tauxactuariel1t,(('Tableaux amortissement proj (2'!A236+1)^(1/_nbechan1t))-1,'Tableaux amortissement proj (2'!A236/_nbechan1t),A244)</f>
        <v>1.5499999999999999E-3</v>
      </c>
      <c r="B245" s="28">
        <f>IF('Tableaux amortissement proj (2'!D236&gt;0,'Tableaux amortissement proj (2'!D236,IF('Tableaux amortissement proj (2'!C236&gt;0,IF(AND(_echfixe1t,A245&gt;0),ROUND(('Tableaux amortissement proj (2'!K236-'Tableaux amortissement proj (2'!B236)*A245/(1-((1+A245)^-'Tableaux amortissement proj (2'!C236)),_nbdeci1t),ROUND('Tableaux amortissement proj (2'!K236/'Tableaux amortissement proj (2'!C236,_nbdeci1t)),B244))</f>
        <v>606.91999999999996</v>
      </c>
      <c r="C245" s="10"/>
      <c r="D245" s="10"/>
      <c r="E245" s="10"/>
      <c r="F245" s="10"/>
      <c r="H245" s="29">
        <f>IF('Tableaux amortissement proj (2'!Q236&gt;0,IF(_tauxactuariel1t1,(('Tableaux amortissement proj (2'!Q236+1)^(1/_nebchan1t))-1,'Tableaux amortissement proj (2'!Q236/_nebchan1t),H244)</f>
        <v>8.3333333333333339E-4</v>
      </c>
      <c r="I245" s="28">
        <f>IF('Tableaux amortissement proj (2'!T236&gt;0,'Tableaux amortissement proj (2'!T236,IF('Tableaux amortissement proj (2'!S236&gt;0,IF(AND(_echfixe12,H245&gt;0),ROUND(('Tableaux amortissement proj (2'!AA236-'Tableaux amortissement proj (2'!R236)*H245/(1-((1+H245)^-'Tableaux amortissement proj (2'!S236)),_nbdeci1t1),ROUND('Tableaux amortissement proj (2'!AA236/'Tableaux amortissement proj (2'!S236,_nbdeci1t1)),I244))</f>
        <v>240200</v>
      </c>
      <c r="J245" s="10"/>
      <c r="K245" s="10"/>
      <c r="L245" s="10"/>
      <c r="M245" s="10"/>
      <c r="O245" s="186">
        <v>243</v>
      </c>
    </row>
    <row r="246" spans="1:15" x14ac:dyDescent="0.2">
      <c r="A246" s="29">
        <f>IF('Tableaux amortissement proj (2'!A237&gt;0,IF(_tauxactuariel1t,(('Tableaux amortissement proj (2'!A237+1)^(1/_nbechan1t))-1,'Tableaux amortissement proj (2'!A237/_nbechan1t),A245)</f>
        <v>1.5499999999999999E-3</v>
      </c>
      <c r="B246" s="28">
        <f>IF('Tableaux amortissement proj (2'!D237&gt;0,'Tableaux amortissement proj (2'!D237,IF('Tableaux amortissement proj (2'!C237&gt;0,IF(AND(_echfixe1t,A246&gt;0),ROUND(('Tableaux amortissement proj (2'!K237-'Tableaux amortissement proj (2'!B237)*A246/(1-((1+A246)^-'Tableaux amortissement proj (2'!C237)),_nbdeci1t),ROUND('Tableaux amortissement proj (2'!K237/'Tableaux amortissement proj (2'!C237,_nbdeci1t)),B245))</f>
        <v>606.91999999999996</v>
      </c>
      <c r="C246" s="10"/>
      <c r="D246" s="10"/>
      <c r="E246" s="10"/>
      <c r="F246" s="10"/>
      <c r="H246" s="29">
        <f>IF('Tableaux amortissement proj (2'!Q237&gt;0,IF(_tauxactuariel1t1,(('Tableaux amortissement proj (2'!Q237+1)^(1/_nebchan1t))-1,'Tableaux amortissement proj (2'!Q237/_nebchan1t),H245)</f>
        <v>8.3333333333333339E-4</v>
      </c>
      <c r="I246" s="28">
        <f>IF('Tableaux amortissement proj (2'!T237&gt;0,'Tableaux amortissement proj (2'!T237,IF('Tableaux amortissement proj (2'!S237&gt;0,IF(AND(_echfixe12,H246&gt;0),ROUND(('Tableaux amortissement proj (2'!AA237-'Tableaux amortissement proj (2'!R237)*H246/(1-((1+H246)^-'Tableaux amortissement proj (2'!S237)),_nbdeci1t1),ROUND('Tableaux amortissement proj (2'!AA237/'Tableaux amortissement proj (2'!S237,_nbdeci1t1)),I245))</f>
        <v>240200</v>
      </c>
      <c r="J246" s="10"/>
      <c r="K246" s="10"/>
      <c r="L246" s="10"/>
      <c r="M246" s="10"/>
      <c r="O246" s="186">
        <v>244</v>
      </c>
    </row>
    <row r="247" spans="1:15" x14ac:dyDescent="0.2">
      <c r="A247" s="29">
        <f>IF('Tableaux amortissement proj (2'!A238&gt;0,IF(_tauxactuariel1t,(('Tableaux amortissement proj (2'!A238+1)^(1/_nbechan1t))-1,'Tableaux amortissement proj (2'!A238/_nbechan1t),A246)</f>
        <v>1.5499999999999999E-3</v>
      </c>
      <c r="B247" s="28">
        <f>IF('Tableaux amortissement proj (2'!D238&gt;0,'Tableaux amortissement proj (2'!D238,IF('Tableaux amortissement proj (2'!C238&gt;0,IF(AND(_echfixe1t,A247&gt;0),ROUND(('Tableaux amortissement proj (2'!K238-'Tableaux amortissement proj (2'!B238)*A247/(1-((1+A247)^-'Tableaux amortissement proj (2'!C238)),_nbdeci1t),ROUND('Tableaux amortissement proj (2'!K238/'Tableaux amortissement proj (2'!C238,_nbdeci1t)),B246))</f>
        <v>606.91999999999996</v>
      </c>
      <c r="C247" s="10"/>
      <c r="D247" s="10"/>
      <c r="E247" s="10"/>
      <c r="F247" s="10"/>
      <c r="H247" s="29">
        <f>IF('Tableaux amortissement proj (2'!Q238&gt;0,IF(_tauxactuariel1t1,(('Tableaux amortissement proj (2'!Q238+1)^(1/_nebchan1t))-1,'Tableaux amortissement proj (2'!Q238/_nebchan1t),H246)</f>
        <v>8.3333333333333339E-4</v>
      </c>
      <c r="I247" s="28">
        <f>IF('Tableaux amortissement proj (2'!T238&gt;0,'Tableaux amortissement proj (2'!T238,IF('Tableaux amortissement proj (2'!S238&gt;0,IF(AND(_echfixe12,H247&gt;0),ROUND(('Tableaux amortissement proj (2'!AA238-'Tableaux amortissement proj (2'!R238)*H247/(1-((1+H247)^-'Tableaux amortissement proj (2'!S238)),_nbdeci1t1),ROUND('Tableaux amortissement proj (2'!AA238/'Tableaux amortissement proj (2'!S238,_nbdeci1t1)),I246))</f>
        <v>240200</v>
      </c>
      <c r="J247" s="10"/>
      <c r="K247" s="10"/>
      <c r="L247" s="10"/>
      <c r="M247" s="10"/>
      <c r="O247" s="186">
        <v>245</v>
      </c>
    </row>
    <row r="248" spans="1:15" x14ac:dyDescent="0.2">
      <c r="A248" s="29">
        <f>IF('Tableaux amortissement proj (2'!A239&gt;0,IF(_tauxactuariel1t,(('Tableaux amortissement proj (2'!A239+1)^(1/_nbechan1t))-1,'Tableaux amortissement proj (2'!A239/_nbechan1t),A247)</f>
        <v>1.5499999999999999E-3</v>
      </c>
      <c r="B248" s="28">
        <f>IF('Tableaux amortissement proj (2'!D239&gt;0,'Tableaux amortissement proj (2'!D239,IF('Tableaux amortissement proj (2'!C239&gt;0,IF(AND(_echfixe1t,A248&gt;0),ROUND(('Tableaux amortissement proj (2'!K239-'Tableaux amortissement proj (2'!B239)*A248/(1-((1+A248)^-'Tableaux amortissement proj (2'!C239)),_nbdeci1t),ROUND('Tableaux amortissement proj (2'!K239/'Tableaux amortissement proj (2'!C239,_nbdeci1t)),B247))</f>
        <v>606.91999999999996</v>
      </c>
      <c r="C248" s="10"/>
      <c r="D248" s="10"/>
      <c r="E248" s="10"/>
      <c r="F248" s="10"/>
      <c r="H248" s="29">
        <f>IF('Tableaux amortissement proj (2'!Q239&gt;0,IF(_tauxactuariel1t1,(('Tableaux amortissement proj (2'!Q239+1)^(1/_nebchan1t))-1,'Tableaux amortissement proj (2'!Q239/_nebchan1t),H247)</f>
        <v>8.3333333333333339E-4</v>
      </c>
      <c r="I248" s="28">
        <f>IF('Tableaux amortissement proj (2'!T239&gt;0,'Tableaux amortissement proj (2'!T239,IF('Tableaux amortissement proj (2'!S239&gt;0,IF(AND(_echfixe12,H248&gt;0),ROUND(('Tableaux amortissement proj (2'!AA239-'Tableaux amortissement proj (2'!R239)*H248/(1-((1+H248)^-'Tableaux amortissement proj (2'!S239)),_nbdeci1t1),ROUND('Tableaux amortissement proj (2'!AA239/'Tableaux amortissement proj (2'!S239,_nbdeci1t1)),I247))</f>
        <v>240200</v>
      </c>
      <c r="J248" s="10"/>
      <c r="K248" s="10"/>
      <c r="L248" s="10"/>
      <c r="M248" s="10"/>
      <c r="O248" s="186">
        <v>246</v>
      </c>
    </row>
    <row r="249" spans="1:15" x14ac:dyDescent="0.2">
      <c r="A249" s="29">
        <f>IF('Tableaux amortissement proj (2'!A240&gt;0,IF(_tauxactuariel1t,(('Tableaux amortissement proj (2'!A240+1)^(1/_nbechan1t))-1,'Tableaux amortissement proj (2'!A240/_nbechan1t),A248)</f>
        <v>1.5499999999999999E-3</v>
      </c>
      <c r="B249" s="28">
        <f>IF('Tableaux amortissement proj (2'!D240&gt;0,'Tableaux amortissement proj (2'!D240,IF('Tableaux amortissement proj (2'!C240&gt;0,IF(AND(_echfixe1t,A249&gt;0),ROUND(('Tableaux amortissement proj (2'!K240-'Tableaux amortissement proj (2'!B240)*A249/(1-((1+A249)^-'Tableaux amortissement proj (2'!C240)),_nbdeci1t),ROUND('Tableaux amortissement proj (2'!K240/'Tableaux amortissement proj (2'!C240,_nbdeci1t)),B248))</f>
        <v>606.91999999999996</v>
      </c>
      <c r="C249" s="10"/>
      <c r="D249" s="10"/>
      <c r="E249" s="10"/>
      <c r="F249" s="10"/>
      <c r="H249" s="29">
        <f>IF('Tableaux amortissement proj (2'!Q240&gt;0,IF(_tauxactuariel1t1,(('Tableaux amortissement proj (2'!Q240+1)^(1/_nebchan1t))-1,'Tableaux amortissement proj (2'!Q240/_nebchan1t),H248)</f>
        <v>8.3333333333333339E-4</v>
      </c>
      <c r="I249" s="28">
        <f>IF('Tableaux amortissement proj (2'!T240&gt;0,'Tableaux amortissement proj (2'!T240,IF('Tableaux amortissement proj (2'!S240&gt;0,IF(AND(_echfixe12,H249&gt;0),ROUND(('Tableaux amortissement proj (2'!AA240-'Tableaux amortissement proj (2'!R240)*H249/(1-((1+H249)^-'Tableaux amortissement proj (2'!S240)),_nbdeci1t1),ROUND('Tableaux amortissement proj (2'!AA240/'Tableaux amortissement proj (2'!S240,_nbdeci1t1)),I248))</f>
        <v>240200</v>
      </c>
      <c r="J249" s="10"/>
      <c r="K249" s="10"/>
      <c r="L249" s="10"/>
      <c r="M249" s="10"/>
      <c r="O249" s="186">
        <v>247</v>
      </c>
    </row>
    <row r="250" spans="1:15" x14ac:dyDescent="0.2">
      <c r="A250" s="29">
        <f>IF('Tableaux amortissement proj (2'!A241&gt;0,IF(_tauxactuariel1t,(('Tableaux amortissement proj (2'!A241+1)^(1/_nbechan1t))-1,'Tableaux amortissement proj (2'!A241/_nbechan1t),A249)</f>
        <v>1.5499999999999999E-3</v>
      </c>
      <c r="B250" s="28">
        <f>IF('Tableaux amortissement proj (2'!D241&gt;0,'Tableaux amortissement proj (2'!D241,IF('Tableaux amortissement proj (2'!C241&gt;0,IF(AND(_echfixe1t,A250&gt;0),ROUND(('Tableaux amortissement proj (2'!K241-'Tableaux amortissement proj (2'!B241)*A250/(1-((1+A250)^-'Tableaux amortissement proj (2'!C241)),_nbdeci1t),ROUND('Tableaux amortissement proj (2'!K241/'Tableaux amortissement proj (2'!C241,_nbdeci1t)),B249))</f>
        <v>606.91999999999996</v>
      </c>
      <c r="C250" s="10"/>
      <c r="D250" s="10"/>
      <c r="E250" s="10"/>
      <c r="F250" s="10"/>
      <c r="H250" s="29">
        <f>IF('Tableaux amortissement proj (2'!Q241&gt;0,IF(_tauxactuariel1t1,(('Tableaux amortissement proj (2'!Q241+1)^(1/_nebchan1t))-1,'Tableaux amortissement proj (2'!Q241/_nebchan1t),H249)</f>
        <v>8.3333333333333339E-4</v>
      </c>
      <c r="I250" s="28">
        <f>IF('Tableaux amortissement proj (2'!T241&gt;0,'Tableaux amortissement proj (2'!T241,IF('Tableaux amortissement proj (2'!S241&gt;0,IF(AND(_echfixe12,H250&gt;0),ROUND(('Tableaux amortissement proj (2'!AA241-'Tableaux amortissement proj (2'!R241)*H250/(1-((1+H250)^-'Tableaux amortissement proj (2'!S241)),_nbdeci1t1),ROUND('Tableaux amortissement proj (2'!AA241/'Tableaux amortissement proj (2'!S241,_nbdeci1t1)),I249))</f>
        <v>240200</v>
      </c>
      <c r="J250" s="10"/>
      <c r="K250" s="10"/>
      <c r="L250" s="10"/>
      <c r="M250" s="10"/>
      <c r="O250" s="186">
        <v>248</v>
      </c>
    </row>
    <row r="251" spans="1:15" x14ac:dyDescent="0.2">
      <c r="A251" s="29">
        <f>IF('Tableaux amortissement proj (2'!A242&gt;0,IF(_tauxactuariel1t,(('Tableaux amortissement proj (2'!A242+1)^(1/_nbechan1t))-1,'Tableaux amortissement proj (2'!A242/_nbechan1t),A250)</f>
        <v>1.5499999999999999E-3</v>
      </c>
      <c r="B251" s="28">
        <f>IF('Tableaux amortissement proj (2'!D242&gt;0,'Tableaux amortissement proj (2'!D242,IF('Tableaux amortissement proj (2'!C242&gt;0,IF(AND(_echfixe1t,A251&gt;0),ROUND(('Tableaux amortissement proj (2'!K242-'Tableaux amortissement proj (2'!B242)*A251/(1-((1+A251)^-'Tableaux amortissement proj (2'!C242)),_nbdeci1t),ROUND('Tableaux amortissement proj (2'!K242/'Tableaux amortissement proj (2'!C242,_nbdeci1t)),B250))</f>
        <v>606.91999999999996</v>
      </c>
      <c r="C251" s="10"/>
      <c r="D251" s="10"/>
      <c r="E251" s="10"/>
      <c r="F251" s="10"/>
      <c r="H251" s="29">
        <f>IF('Tableaux amortissement proj (2'!Q242&gt;0,IF(_tauxactuariel1t1,(('Tableaux amortissement proj (2'!Q242+1)^(1/_nebchan1t))-1,'Tableaux amortissement proj (2'!Q242/_nebchan1t),H250)</f>
        <v>8.3333333333333339E-4</v>
      </c>
      <c r="I251" s="28">
        <f>IF('Tableaux amortissement proj (2'!T242&gt;0,'Tableaux amortissement proj (2'!T242,IF('Tableaux amortissement proj (2'!S242&gt;0,IF(AND(_echfixe12,H251&gt;0),ROUND(('Tableaux amortissement proj (2'!AA242-'Tableaux amortissement proj (2'!R242)*H251/(1-((1+H251)^-'Tableaux amortissement proj (2'!S242)),_nbdeci1t1),ROUND('Tableaux amortissement proj (2'!AA242/'Tableaux amortissement proj (2'!S242,_nbdeci1t1)),I250))</f>
        <v>240200</v>
      </c>
      <c r="J251" s="10"/>
      <c r="K251" s="10"/>
      <c r="L251" s="10"/>
      <c r="M251" s="10"/>
      <c r="O251" s="186">
        <v>249</v>
      </c>
    </row>
    <row r="252" spans="1:15" x14ac:dyDescent="0.2">
      <c r="A252" s="29">
        <f>IF('Tableaux amortissement proj (2'!A243&gt;0,IF(_tauxactuariel1t,(('Tableaux amortissement proj (2'!A243+1)^(1/_nbechan1t))-1,'Tableaux amortissement proj (2'!A243/_nbechan1t),A251)</f>
        <v>1.5499999999999999E-3</v>
      </c>
      <c r="B252" s="28">
        <f>IF('Tableaux amortissement proj (2'!D243&gt;0,'Tableaux amortissement proj (2'!D243,IF('Tableaux amortissement proj (2'!C243&gt;0,IF(AND(_echfixe1t,A252&gt;0),ROUND(('Tableaux amortissement proj (2'!K243-'Tableaux amortissement proj (2'!B243)*A252/(1-((1+A252)^-'Tableaux amortissement proj (2'!C243)),_nbdeci1t),ROUND('Tableaux amortissement proj (2'!K243/'Tableaux amortissement proj (2'!C243,_nbdeci1t)),B251))</f>
        <v>606.91999999999996</v>
      </c>
      <c r="C252" s="10"/>
      <c r="D252" s="10"/>
      <c r="E252" s="10"/>
      <c r="F252" s="10"/>
      <c r="H252" s="29">
        <f>IF('Tableaux amortissement proj (2'!Q243&gt;0,IF(_tauxactuariel1t1,(('Tableaux amortissement proj (2'!Q243+1)^(1/_nebchan1t))-1,'Tableaux amortissement proj (2'!Q243/_nebchan1t),H251)</f>
        <v>8.3333333333333339E-4</v>
      </c>
      <c r="I252" s="28">
        <f>IF('Tableaux amortissement proj (2'!T243&gt;0,'Tableaux amortissement proj (2'!T243,IF('Tableaux amortissement proj (2'!S243&gt;0,IF(AND(_echfixe12,H252&gt;0),ROUND(('Tableaux amortissement proj (2'!AA243-'Tableaux amortissement proj (2'!R243)*H252/(1-((1+H252)^-'Tableaux amortissement proj (2'!S243)),_nbdeci1t1),ROUND('Tableaux amortissement proj (2'!AA243/'Tableaux amortissement proj (2'!S243,_nbdeci1t1)),I251))</f>
        <v>240200</v>
      </c>
      <c r="J252" s="10"/>
      <c r="K252" s="10"/>
      <c r="L252" s="10"/>
      <c r="M252" s="10"/>
      <c r="O252" s="186">
        <v>250</v>
      </c>
    </row>
    <row r="253" spans="1:15" x14ac:dyDescent="0.2">
      <c r="A253" s="29">
        <f>IF('Tableaux amortissement proj (2'!A244&gt;0,IF(_tauxactuariel1t,(('Tableaux amortissement proj (2'!A244+1)^(1/_nbechan1t))-1,'Tableaux amortissement proj (2'!A244/_nbechan1t),A252)</f>
        <v>1.5499999999999999E-3</v>
      </c>
      <c r="B253" s="28">
        <f>IF('Tableaux amortissement proj (2'!D244&gt;0,'Tableaux amortissement proj (2'!D244,IF('Tableaux amortissement proj (2'!C244&gt;0,IF(AND(_echfixe1t,A253&gt;0),ROUND(('Tableaux amortissement proj (2'!K244-'Tableaux amortissement proj (2'!B244)*A253/(1-((1+A253)^-'Tableaux amortissement proj (2'!C244)),_nbdeci1t),ROUND('Tableaux amortissement proj (2'!K244/'Tableaux amortissement proj (2'!C244,_nbdeci1t)),B252))</f>
        <v>606.91999999999996</v>
      </c>
      <c r="C253" s="10"/>
      <c r="D253" s="10"/>
      <c r="E253" s="10"/>
      <c r="F253" s="10"/>
      <c r="H253" s="29">
        <f>IF('Tableaux amortissement proj (2'!Q244&gt;0,IF(_tauxactuariel1t1,(('Tableaux amortissement proj (2'!Q244+1)^(1/_nebchan1t))-1,'Tableaux amortissement proj (2'!Q244/_nebchan1t),H252)</f>
        <v>8.3333333333333339E-4</v>
      </c>
      <c r="I253" s="28">
        <f>IF('Tableaux amortissement proj (2'!T244&gt;0,'Tableaux amortissement proj (2'!T244,IF('Tableaux amortissement proj (2'!S244&gt;0,IF(AND(_echfixe12,H253&gt;0),ROUND(('Tableaux amortissement proj (2'!AA244-'Tableaux amortissement proj (2'!R244)*H253/(1-((1+H253)^-'Tableaux amortissement proj (2'!S244)),_nbdeci1t1),ROUND('Tableaux amortissement proj (2'!AA244/'Tableaux amortissement proj (2'!S244,_nbdeci1t1)),I252))</f>
        <v>240200</v>
      </c>
      <c r="J253" s="10"/>
      <c r="K253" s="10"/>
      <c r="L253" s="10"/>
      <c r="M253" s="10"/>
      <c r="O253" s="186">
        <v>251</v>
      </c>
    </row>
    <row r="254" spans="1:15" x14ac:dyDescent="0.2">
      <c r="A254" s="29">
        <f>IF('Tableaux amortissement proj (2'!A245&gt;0,IF(_tauxactuariel1t,(('Tableaux amortissement proj (2'!A245+1)^(1/_nbechan1t))-1,'Tableaux amortissement proj (2'!A245/_nbechan1t),A253)</f>
        <v>1.5499999999999999E-3</v>
      </c>
      <c r="B254" s="28">
        <f>IF('Tableaux amortissement proj (2'!D245&gt;0,'Tableaux amortissement proj (2'!D245,IF('Tableaux amortissement proj (2'!C245&gt;0,IF(AND(_echfixe1t,A254&gt;0),ROUND(('Tableaux amortissement proj (2'!K245-'Tableaux amortissement proj (2'!B245)*A254/(1-((1+A254)^-'Tableaux amortissement proj (2'!C245)),_nbdeci1t),ROUND('Tableaux amortissement proj (2'!K245/'Tableaux amortissement proj (2'!C245,_nbdeci1t)),B253))</f>
        <v>606.91999999999996</v>
      </c>
      <c r="C254" s="10"/>
      <c r="D254" s="10"/>
      <c r="E254" s="10"/>
      <c r="F254" s="10"/>
      <c r="H254" s="29">
        <f>IF('Tableaux amortissement proj (2'!Q245&gt;0,IF(_tauxactuariel1t1,(('Tableaux amortissement proj (2'!Q245+1)^(1/_nebchan1t))-1,'Tableaux amortissement proj (2'!Q245/_nebchan1t),H253)</f>
        <v>8.3333333333333339E-4</v>
      </c>
      <c r="I254" s="28">
        <f>IF('Tableaux amortissement proj (2'!T245&gt;0,'Tableaux amortissement proj (2'!T245,IF('Tableaux amortissement proj (2'!S245&gt;0,IF(AND(_echfixe12,H254&gt;0),ROUND(('Tableaux amortissement proj (2'!AA245-'Tableaux amortissement proj (2'!R245)*H254/(1-((1+H254)^-'Tableaux amortissement proj (2'!S245)),_nbdeci1t1),ROUND('Tableaux amortissement proj (2'!AA245/'Tableaux amortissement proj (2'!S245,_nbdeci1t1)),I253))</f>
        <v>240200</v>
      </c>
      <c r="J254" s="10"/>
      <c r="K254" s="10"/>
      <c r="L254" s="10"/>
      <c r="M254" s="10"/>
      <c r="O254" s="186">
        <v>252</v>
      </c>
    </row>
    <row r="255" spans="1:15" x14ac:dyDescent="0.2">
      <c r="A255" s="29">
        <f>IF('Tableaux amortissement proj (2'!A246&gt;0,IF(_tauxactuariel1t,(('Tableaux amortissement proj (2'!A246+1)^(1/_nbechan1t))-1,'Tableaux amortissement proj (2'!A246/_nbechan1t),A254)</f>
        <v>1.5499999999999999E-3</v>
      </c>
      <c r="B255" s="28">
        <f>IF('Tableaux amortissement proj (2'!D246&gt;0,'Tableaux amortissement proj (2'!D246,IF('Tableaux amortissement proj (2'!C246&gt;0,IF(AND(_echfixe1t,A255&gt;0),ROUND(('Tableaux amortissement proj (2'!K246-'Tableaux amortissement proj (2'!B246)*A255/(1-((1+A255)^-'Tableaux amortissement proj (2'!C246)),_nbdeci1t),ROUND('Tableaux amortissement proj (2'!K246/'Tableaux amortissement proj (2'!C246,_nbdeci1t)),B254))</f>
        <v>606.91999999999996</v>
      </c>
      <c r="C255" s="10"/>
      <c r="D255" s="10"/>
      <c r="E255" s="10"/>
      <c r="F255" s="10"/>
      <c r="H255" s="29">
        <f>IF('Tableaux amortissement proj (2'!Q246&gt;0,IF(_tauxactuariel1t1,(('Tableaux amortissement proj (2'!Q246+1)^(1/_nebchan1t))-1,'Tableaux amortissement proj (2'!Q246/_nebchan1t),H254)</f>
        <v>8.3333333333333339E-4</v>
      </c>
      <c r="I255" s="28">
        <f>IF('Tableaux amortissement proj (2'!T246&gt;0,'Tableaux amortissement proj (2'!T246,IF('Tableaux amortissement proj (2'!S246&gt;0,IF(AND(_echfixe12,H255&gt;0),ROUND(('Tableaux amortissement proj (2'!AA246-'Tableaux amortissement proj (2'!R246)*H255/(1-((1+H255)^-'Tableaux amortissement proj (2'!S246)),_nbdeci1t1),ROUND('Tableaux amortissement proj (2'!AA246/'Tableaux amortissement proj (2'!S246,_nbdeci1t1)),I254))</f>
        <v>240200</v>
      </c>
      <c r="J255" s="10"/>
      <c r="K255" s="10"/>
      <c r="L255" s="10"/>
      <c r="M255" s="10"/>
      <c r="O255" s="186">
        <v>253</v>
      </c>
    </row>
    <row r="256" spans="1:15" x14ac:dyDescent="0.2">
      <c r="A256" s="29">
        <f>IF('Tableaux amortissement proj (2'!A247&gt;0,IF(_tauxactuariel1t,(('Tableaux amortissement proj (2'!A247+1)^(1/_nbechan1t))-1,'Tableaux amortissement proj (2'!A247/_nbechan1t),A255)</f>
        <v>1.5499999999999999E-3</v>
      </c>
      <c r="B256" s="28">
        <f>IF('Tableaux amortissement proj (2'!D247&gt;0,'Tableaux amortissement proj (2'!D247,IF('Tableaux amortissement proj (2'!C247&gt;0,IF(AND(_echfixe1t,A256&gt;0),ROUND(('Tableaux amortissement proj (2'!K247-'Tableaux amortissement proj (2'!B247)*A256/(1-((1+A256)^-'Tableaux amortissement proj (2'!C247)),_nbdeci1t),ROUND('Tableaux amortissement proj (2'!K247/'Tableaux amortissement proj (2'!C247,_nbdeci1t)),B255))</f>
        <v>606.91999999999996</v>
      </c>
      <c r="C256" s="10"/>
      <c r="D256" s="10"/>
      <c r="E256" s="10"/>
      <c r="F256" s="10"/>
      <c r="H256" s="29">
        <f>IF('Tableaux amortissement proj (2'!Q247&gt;0,IF(_tauxactuariel1t1,(('Tableaux amortissement proj (2'!Q247+1)^(1/_nebchan1t))-1,'Tableaux amortissement proj (2'!Q247/_nebchan1t),H255)</f>
        <v>8.3333333333333339E-4</v>
      </c>
      <c r="I256" s="28">
        <f>IF('Tableaux amortissement proj (2'!T247&gt;0,'Tableaux amortissement proj (2'!T247,IF('Tableaux amortissement proj (2'!S247&gt;0,IF(AND(_echfixe12,H256&gt;0),ROUND(('Tableaux amortissement proj (2'!AA247-'Tableaux amortissement proj (2'!R247)*H256/(1-((1+H256)^-'Tableaux amortissement proj (2'!S247)),_nbdeci1t1),ROUND('Tableaux amortissement proj (2'!AA247/'Tableaux amortissement proj (2'!S247,_nbdeci1t1)),I255))</f>
        <v>240200</v>
      </c>
      <c r="J256" s="10"/>
      <c r="K256" s="10"/>
      <c r="L256" s="10"/>
      <c r="M256" s="10"/>
      <c r="O256" s="186">
        <v>254</v>
      </c>
    </row>
    <row r="257" spans="1:15" x14ac:dyDescent="0.2">
      <c r="A257" s="29">
        <f>IF('Tableaux amortissement proj (2'!A248&gt;0,IF(_tauxactuariel1t,(('Tableaux amortissement proj (2'!A248+1)^(1/_nbechan1t))-1,'Tableaux amortissement proj (2'!A248/_nbechan1t),A256)</f>
        <v>1.5499999999999999E-3</v>
      </c>
      <c r="B257" s="28">
        <f>IF('Tableaux amortissement proj (2'!D248&gt;0,'Tableaux amortissement proj (2'!D248,IF('Tableaux amortissement proj (2'!C248&gt;0,IF(AND(_echfixe1t,A257&gt;0),ROUND(('Tableaux amortissement proj (2'!K248-'Tableaux amortissement proj (2'!B248)*A257/(1-((1+A257)^-'Tableaux amortissement proj (2'!C248)),_nbdeci1t),ROUND('Tableaux amortissement proj (2'!K248/'Tableaux amortissement proj (2'!C248,_nbdeci1t)),B256))</f>
        <v>606.91999999999996</v>
      </c>
      <c r="C257" s="10"/>
      <c r="D257" s="10"/>
      <c r="E257" s="10"/>
      <c r="F257" s="10"/>
      <c r="H257" s="29">
        <f>IF('Tableaux amortissement proj (2'!Q248&gt;0,IF(_tauxactuariel1t1,(('Tableaux amortissement proj (2'!Q248+1)^(1/_nebchan1t))-1,'Tableaux amortissement proj (2'!Q248/_nebchan1t),H256)</f>
        <v>8.3333333333333339E-4</v>
      </c>
      <c r="I257" s="28">
        <f>IF('Tableaux amortissement proj (2'!T248&gt;0,'Tableaux amortissement proj (2'!T248,IF('Tableaux amortissement proj (2'!S248&gt;0,IF(AND(_echfixe12,H257&gt;0),ROUND(('Tableaux amortissement proj (2'!AA248-'Tableaux amortissement proj (2'!R248)*H257/(1-((1+H257)^-'Tableaux amortissement proj (2'!S248)),_nbdeci1t1),ROUND('Tableaux amortissement proj (2'!AA248/'Tableaux amortissement proj (2'!S248,_nbdeci1t1)),I256))</f>
        <v>240200</v>
      </c>
      <c r="J257" s="10"/>
      <c r="K257" s="10"/>
      <c r="L257" s="10"/>
      <c r="M257" s="10"/>
      <c r="O257" s="186">
        <v>255</v>
      </c>
    </row>
    <row r="258" spans="1:15" x14ac:dyDescent="0.2">
      <c r="A258" s="29">
        <f>IF('Tableaux amortissement proj (2'!A249&gt;0,IF(_tauxactuariel1t,(('Tableaux amortissement proj (2'!A249+1)^(1/_nbechan1t))-1,'Tableaux amortissement proj (2'!A249/_nbechan1t),A257)</f>
        <v>1.5499999999999999E-3</v>
      </c>
      <c r="B258" s="28">
        <f>IF('Tableaux amortissement proj (2'!D249&gt;0,'Tableaux amortissement proj (2'!D249,IF('Tableaux amortissement proj (2'!C249&gt;0,IF(AND(_echfixe1t,A258&gt;0),ROUND(('Tableaux amortissement proj (2'!K249-'Tableaux amortissement proj (2'!B249)*A258/(1-((1+A258)^-'Tableaux amortissement proj (2'!C249)),_nbdeci1t),ROUND('Tableaux amortissement proj (2'!K249/'Tableaux amortissement proj (2'!C249,_nbdeci1t)),B257))</f>
        <v>606.91999999999996</v>
      </c>
      <c r="C258" s="10"/>
      <c r="D258" s="10"/>
      <c r="E258" s="10"/>
      <c r="F258" s="10"/>
      <c r="H258" s="29">
        <f>IF('Tableaux amortissement proj (2'!Q249&gt;0,IF(_tauxactuariel1t1,(('Tableaux amortissement proj (2'!Q249+1)^(1/_nebchan1t))-1,'Tableaux amortissement proj (2'!Q249/_nebchan1t),H257)</f>
        <v>8.3333333333333339E-4</v>
      </c>
      <c r="I258" s="28">
        <f>IF('Tableaux amortissement proj (2'!T249&gt;0,'Tableaux amortissement proj (2'!T249,IF('Tableaux amortissement proj (2'!S249&gt;0,IF(AND(_echfixe12,H258&gt;0),ROUND(('Tableaux amortissement proj (2'!AA249-'Tableaux amortissement proj (2'!R249)*H258/(1-((1+H258)^-'Tableaux amortissement proj (2'!S249)),_nbdeci1t1),ROUND('Tableaux amortissement proj (2'!AA249/'Tableaux amortissement proj (2'!S249,_nbdeci1t1)),I257))</f>
        <v>240200</v>
      </c>
      <c r="J258" s="10"/>
      <c r="K258" s="10"/>
      <c r="L258" s="10"/>
      <c r="M258" s="10"/>
      <c r="O258" s="186">
        <v>256</v>
      </c>
    </row>
    <row r="259" spans="1:15" x14ac:dyDescent="0.2">
      <c r="A259" s="29">
        <f>IF('Tableaux amortissement proj (2'!A250&gt;0,IF(_tauxactuariel1t,(('Tableaux amortissement proj (2'!A250+1)^(1/_nbechan1t))-1,'Tableaux amortissement proj (2'!A250/_nbechan1t),A258)</f>
        <v>1.5499999999999999E-3</v>
      </c>
      <c r="B259" s="28">
        <f>IF('Tableaux amortissement proj (2'!D250&gt;0,'Tableaux amortissement proj (2'!D250,IF('Tableaux amortissement proj (2'!C250&gt;0,IF(AND(_echfixe1t,A259&gt;0),ROUND(('Tableaux amortissement proj (2'!K250-'Tableaux amortissement proj (2'!B250)*A259/(1-((1+A259)^-'Tableaux amortissement proj (2'!C250)),_nbdeci1t),ROUND('Tableaux amortissement proj (2'!K250/'Tableaux amortissement proj (2'!C250,_nbdeci1t)),B258))</f>
        <v>606.91999999999996</v>
      </c>
      <c r="C259" s="10"/>
      <c r="D259" s="10"/>
      <c r="E259" s="10"/>
      <c r="F259" s="10"/>
      <c r="H259" s="29">
        <f>IF('Tableaux amortissement proj (2'!Q250&gt;0,IF(_tauxactuariel1t1,(('Tableaux amortissement proj (2'!Q250+1)^(1/_nebchan1t))-1,'Tableaux amortissement proj (2'!Q250/_nebchan1t),H258)</f>
        <v>8.3333333333333339E-4</v>
      </c>
      <c r="I259" s="28">
        <f>IF('Tableaux amortissement proj (2'!T250&gt;0,'Tableaux amortissement proj (2'!T250,IF('Tableaux amortissement proj (2'!S250&gt;0,IF(AND(_echfixe12,H259&gt;0),ROUND(('Tableaux amortissement proj (2'!AA250-'Tableaux amortissement proj (2'!R250)*H259/(1-((1+H259)^-'Tableaux amortissement proj (2'!S250)),_nbdeci1t1),ROUND('Tableaux amortissement proj (2'!AA250/'Tableaux amortissement proj (2'!S250,_nbdeci1t1)),I258))</f>
        <v>240200</v>
      </c>
      <c r="J259" s="10"/>
      <c r="K259" s="10"/>
      <c r="L259" s="10"/>
      <c r="M259" s="10"/>
      <c r="O259" s="186">
        <v>257</v>
      </c>
    </row>
    <row r="260" spans="1:15" x14ac:dyDescent="0.2">
      <c r="A260" s="29">
        <f>IF('Tableaux amortissement proj (2'!A251&gt;0,IF(_tauxactuariel1t,(('Tableaux amortissement proj (2'!A251+1)^(1/_nbechan1t))-1,'Tableaux amortissement proj (2'!A251/_nbechan1t),A259)</f>
        <v>1.5499999999999999E-3</v>
      </c>
      <c r="B260" s="28">
        <f>IF('Tableaux amortissement proj (2'!D251&gt;0,'Tableaux amortissement proj (2'!D251,IF('Tableaux amortissement proj (2'!C251&gt;0,IF(AND(_echfixe1t,A260&gt;0),ROUND(('Tableaux amortissement proj (2'!K251-'Tableaux amortissement proj (2'!B251)*A260/(1-((1+A260)^-'Tableaux amortissement proj (2'!C251)),_nbdeci1t),ROUND('Tableaux amortissement proj (2'!K251/'Tableaux amortissement proj (2'!C251,_nbdeci1t)),B259))</f>
        <v>606.91999999999996</v>
      </c>
      <c r="C260" s="10"/>
      <c r="D260" s="10"/>
      <c r="E260" s="10"/>
      <c r="F260" s="10"/>
      <c r="H260" s="29">
        <f>IF('Tableaux amortissement proj (2'!Q251&gt;0,IF(_tauxactuariel1t1,(('Tableaux amortissement proj (2'!Q251+1)^(1/_nebchan1t))-1,'Tableaux amortissement proj (2'!Q251/_nebchan1t),H259)</f>
        <v>8.3333333333333339E-4</v>
      </c>
      <c r="I260" s="28">
        <f>IF('Tableaux amortissement proj (2'!T251&gt;0,'Tableaux amortissement proj (2'!T251,IF('Tableaux amortissement proj (2'!S251&gt;0,IF(AND(_echfixe12,H260&gt;0),ROUND(('Tableaux amortissement proj (2'!AA251-'Tableaux amortissement proj (2'!R251)*H260/(1-((1+H260)^-'Tableaux amortissement proj (2'!S251)),_nbdeci1t1),ROUND('Tableaux amortissement proj (2'!AA251/'Tableaux amortissement proj (2'!S251,_nbdeci1t1)),I259))</f>
        <v>240200</v>
      </c>
      <c r="J260" s="10"/>
      <c r="K260" s="10"/>
      <c r="L260" s="10"/>
      <c r="M260" s="10"/>
      <c r="O260" s="186">
        <v>258</v>
      </c>
    </row>
    <row r="261" spans="1:15" x14ac:dyDescent="0.2">
      <c r="A261" s="29">
        <f>IF('Tableaux amortissement proj (2'!A252&gt;0,IF(_tauxactuariel1t,(('Tableaux amortissement proj (2'!A252+1)^(1/_nbechan1t))-1,'Tableaux amortissement proj (2'!A252/_nbechan1t),A260)</f>
        <v>1.5499999999999999E-3</v>
      </c>
      <c r="B261" s="28">
        <f>IF('Tableaux amortissement proj (2'!D252&gt;0,'Tableaux amortissement proj (2'!D252,IF('Tableaux amortissement proj (2'!C252&gt;0,IF(AND(_echfixe1t,A261&gt;0),ROUND(('Tableaux amortissement proj (2'!K252-'Tableaux amortissement proj (2'!B252)*A261/(1-((1+A261)^-'Tableaux amortissement proj (2'!C252)),_nbdeci1t),ROUND('Tableaux amortissement proj (2'!K252/'Tableaux amortissement proj (2'!C252,_nbdeci1t)),B260))</f>
        <v>606.91999999999996</v>
      </c>
      <c r="C261" s="10"/>
      <c r="D261" s="10"/>
      <c r="E261" s="10"/>
      <c r="F261" s="10"/>
      <c r="H261" s="29">
        <f>IF('Tableaux amortissement proj (2'!Q252&gt;0,IF(_tauxactuariel1t1,(('Tableaux amortissement proj (2'!Q252+1)^(1/_nebchan1t))-1,'Tableaux amortissement proj (2'!Q252/_nebchan1t),H260)</f>
        <v>8.3333333333333339E-4</v>
      </c>
      <c r="I261" s="28">
        <f>IF('Tableaux amortissement proj (2'!T252&gt;0,'Tableaux amortissement proj (2'!T252,IF('Tableaux amortissement proj (2'!S252&gt;0,IF(AND(_echfixe12,H261&gt;0),ROUND(('Tableaux amortissement proj (2'!AA252-'Tableaux amortissement proj (2'!R252)*H261/(1-((1+H261)^-'Tableaux amortissement proj (2'!S252)),_nbdeci1t1),ROUND('Tableaux amortissement proj (2'!AA252/'Tableaux amortissement proj (2'!S252,_nbdeci1t1)),I260))</f>
        <v>240200</v>
      </c>
      <c r="J261" s="10"/>
      <c r="K261" s="10"/>
      <c r="L261" s="10"/>
      <c r="M261" s="10"/>
      <c r="O261" s="186">
        <v>259</v>
      </c>
    </row>
    <row r="262" spans="1:15" x14ac:dyDescent="0.2">
      <c r="A262" s="29">
        <f>IF('Tableaux amortissement proj (2'!A253&gt;0,IF(_tauxactuariel1t,(('Tableaux amortissement proj (2'!A253+1)^(1/_nbechan1t))-1,'Tableaux amortissement proj (2'!A253/_nbechan1t),A261)</f>
        <v>1.5499999999999999E-3</v>
      </c>
      <c r="B262" s="28">
        <f>IF('Tableaux amortissement proj (2'!D253&gt;0,'Tableaux amortissement proj (2'!D253,IF('Tableaux amortissement proj (2'!C253&gt;0,IF(AND(_echfixe1t,A262&gt;0),ROUND(('Tableaux amortissement proj (2'!K253-'Tableaux amortissement proj (2'!B253)*A262/(1-((1+A262)^-'Tableaux amortissement proj (2'!C253)),_nbdeci1t),ROUND('Tableaux amortissement proj (2'!K253/'Tableaux amortissement proj (2'!C253,_nbdeci1t)),B261))</f>
        <v>606.91999999999996</v>
      </c>
      <c r="C262" s="10"/>
      <c r="D262" s="10"/>
      <c r="E262" s="10"/>
      <c r="F262" s="10"/>
      <c r="H262" s="29">
        <f>IF('Tableaux amortissement proj (2'!Q253&gt;0,IF(_tauxactuariel1t1,(('Tableaux amortissement proj (2'!Q253+1)^(1/_nebchan1t))-1,'Tableaux amortissement proj (2'!Q253/_nebchan1t),H261)</f>
        <v>8.3333333333333339E-4</v>
      </c>
      <c r="I262" s="28">
        <f>IF('Tableaux amortissement proj (2'!T253&gt;0,'Tableaux amortissement proj (2'!T253,IF('Tableaux amortissement proj (2'!S253&gt;0,IF(AND(_echfixe12,H262&gt;0),ROUND(('Tableaux amortissement proj (2'!AA253-'Tableaux amortissement proj (2'!R253)*H262/(1-((1+H262)^-'Tableaux amortissement proj (2'!S253)),_nbdeci1t1),ROUND('Tableaux amortissement proj (2'!AA253/'Tableaux amortissement proj (2'!S253,_nbdeci1t1)),I261))</f>
        <v>240200</v>
      </c>
      <c r="J262" s="10"/>
      <c r="K262" s="10"/>
      <c r="L262" s="10"/>
      <c r="M262" s="10"/>
      <c r="O262" s="186">
        <v>260</v>
      </c>
    </row>
    <row r="263" spans="1:15" x14ac:dyDescent="0.2">
      <c r="A263" s="29">
        <f>IF('Tableaux amortissement proj (2'!A254&gt;0,IF(_tauxactuariel1t,(('Tableaux amortissement proj (2'!A254+1)^(1/_nbechan1t))-1,'Tableaux amortissement proj (2'!A254/_nbechan1t),A262)</f>
        <v>1.5499999999999999E-3</v>
      </c>
      <c r="B263" s="28">
        <f>IF('Tableaux amortissement proj (2'!D254&gt;0,'Tableaux amortissement proj (2'!D254,IF('Tableaux amortissement proj (2'!C254&gt;0,IF(AND(_echfixe1t,A263&gt;0),ROUND(('Tableaux amortissement proj (2'!K254-'Tableaux amortissement proj (2'!B254)*A263/(1-((1+A263)^-'Tableaux amortissement proj (2'!C254)),_nbdeci1t),ROUND('Tableaux amortissement proj (2'!K254/'Tableaux amortissement proj (2'!C254,_nbdeci1t)),B262))</f>
        <v>606.91999999999996</v>
      </c>
      <c r="C263" s="10"/>
      <c r="D263" s="10"/>
      <c r="E263" s="10"/>
      <c r="F263" s="10"/>
      <c r="H263" s="29">
        <f>IF('Tableaux amortissement proj (2'!Q254&gt;0,IF(_tauxactuariel1t1,(('Tableaux amortissement proj (2'!Q254+1)^(1/_nebchan1t))-1,'Tableaux amortissement proj (2'!Q254/_nebchan1t),H262)</f>
        <v>8.3333333333333339E-4</v>
      </c>
      <c r="I263" s="28">
        <f>IF('Tableaux amortissement proj (2'!T254&gt;0,'Tableaux amortissement proj (2'!T254,IF('Tableaux amortissement proj (2'!S254&gt;0,IF(AND(_echfixe12,H263&gt;0),ROUND(('Tableaux amortissement proj (2'!AA254-'Tableaux amortissement proj (2'!R254)*H263/(1-((1+H263)^-'Tableaux amortissement proj (2'!S254)),_nbdeci1t1),ROUND('Tableaux amortissement proj (2'!AA254/'Tableaux amortissement proj (2'!S254,_nbdeci1t1)),I262))</f>
        <v>240200</v>
      </c>
      <c r="J263" s="10"/>
      <c r="K263" s="10"/>
      <c r="L263" s="10"/>
      <c r="M263" s="10"/>
      <c r="O263" s="186">
        <v>261</v>
      </c>
    </row>
    <row r="264" spans="1:15" x14ac:dyDescent="0.2">
      <c r="A264" s="29">
        <f>IF('Tableaux amortissement proj (2'!A255&gt;0,IF(_tauxactuariel1t,(('Tableaux amortissement proj (2'!A255+1)^(1/_nbechan1t))-1,'Tableaux amortissement proj (2'!A255/_nbechan1t),A263)</f>
        <v>1.5499999999999999E-3</v>
      </c>
      <c r="B264" s="28">
        <f>IF('Tableaux amortissement proj (2'!D255&gt;0,'Tableaux amortissement proj (2'!D255,IF('Tableaux amortissement proj (2'!C255&gt;0,IF(AND(_echfixe1t,A264&gt;0),ROUND(('Tableaux amortissement proj (2'!K255-'Tableaux amortissement proj (2'!B255)*A264/(1-((1+A264)^-'Tableaux amortissement proj (2'!C255)),_nbdeci1t),ROUND('Tableaux amortissement proj (2'!K255/'Tableaux amortissement proj (2'!C255,_nbdeci1t)),B263))</f>
        <v>606.91999999999996</v>
      </c>
      <c r="C264" s="10"/>
      <c r="D264" s="10"/>
      <c r="E264" s="10"/>
      <c r="F264" s="10"/>
      <c r="H264" s="29">
        <f>IF('Tableaux amortissement proj (2'!Q255&gt;0,IF(_tauxactuariel1t1,(('Tableaux amortissement proj (2'!Q255+1)^(1/_nebchan1t))-1,'Tableaux amortissement proj (2'!Q255/_nebchan1t),H263)</f>
        <v>8.3333333333333339E-4</v>
      </c>
      <c r="I264" s="28">
        <f>IF('Tableaux amortissement proj (2'!T255&gt;0,'Tableaux amortissement proj (2'!T255,IF('Tableaux amortissement proj (2'!S255&gt;0,IF(AND(_echfixe12,H264&gt;0),ROUND(('Tableaux amortissement proj (2'!AA255-'Tableaux amortissement proj (2'!R255)*H264/(1-((1+H264)^-'Tableaux amortissement proj (2'!S255)),_nbdeci1t1),ROUND('Tableaux amortissement proj (2'!AA255/'Tableaux amortissement proj (2'!S255,_nbdeci1t1)),I263))</f>
        <v>240200</v>
      </c>
      <c r="J264" s="10"/>
      <c r="K264" s="10"/>
      <c r="L264" s="10"/>
      <c r="M264" s="10"/>
      <c r="O264" s="186">
        <v>262</v>
      </c>
    </row>
    <row r="265" spans="1:15" x14ac:dyDescent="0.2">
      <c r="A265" s="29">
        <f>IF('Tableaux amortissement proj (2'!A256&gt;0,IF(_tauxactuariel1t,(('Tableaux amortissement proj (2'!A256+1)^(1/_nbechan1t))-1,'Tableaux amortissement proj (2'!A256/_nbechan1t),A264)</f>
        <v>1.5499999999999999E-3</v>
      </c>
      <c r="B265" s="28">
        <f>IF('Tableaux amortissement proj (2'!D256&gt;0,'Tableaux amortissement proj (2'!D256,IF('Tableaux amortissement proj (2'!C256&gt;0,IF(AND(_echfixe1t,A265&gt;0),ROUND(('Tableaux amortissement proj (2'!K256-'Tableaux amortissement proj (2'!B256)*A265/(1-((1+A265)^-'Tableaux amortissement proj (2'!C256)),_nbdeci1t),ROUND('Tableaux amortissement proj (2'!K256/'Tableaux amortissement proj (2'!C256,_nbdeci1t)),B264))</f>
        <v>606.91999999999996</v>
      </c>
      <c r="C265" s="10"/>
      <c r="D265" s="10"/>
      <c r="E265" s="10"/>
      <c r="F265" s="10"/>
      <c r="H265" s="29">
        <f>IF('Tableaux amortissement proj (2'!Q256&gt;0,IF(_tauxactuariel1t1,(('Tableaux amortissement proj (2'!Q256+1)^(1/_nebchan1t))-1,'Tableaux amortissement proj (2'!Q256/_nebchan1t),H264)</f>
        <v>8.3333333333333339E-4</v>
      </c>
      <c r="I265" s="28">
        <f>IF('Tableaux amortissement proj (2'!T256&gt;0,'Tableaux amortissement proj (2'!T256,IF('Tableaux amortissement proj (2'!S256&gt;0,IF(AND(_echfixe12,H265&gt;0),ROUND(('Tableaux amortissement proj (2'!AA256-'Tableaux amortissement proj (2'!R256)*H265/(1-((1+H265)^-'Tableaux amortissement proj (2'!S256)),_nbdeci1t1),ROUND('Tableaux amortissement proj (2'!AA256/'Tableaux amortissement proj (2'!S256,_nbdeci1t1)),I264))</f>
        <v>240200</v>
      </c>
      <c r="J265" s="10"/>
      <c r="K265" s="10"/>
      <c r="L265" s="10"/>
      <c r="M265" s="10"/>
      <c r="O265" s="186">
        <v>263</v>
      </c>
    </row>
    <row r="266" spans="1:15" x14ac:dyDescent="0.2">
      <c r="A266" s="29">
        <f>IF('Tableaux amortissement proj (2'!A257&gt;0,IF(_tauxactuariel1t,(('Tableaux amortissement proj (2'!A257+1)^(1/_nbechan1t))-1,'Tableaux amortissement proj (2'!A257/_nbechan1t),A265)</f>
        <v>1.5499999999999999E-3</v>
      </c>
      <c r="B266" s="28">
        <f>IF('Tableaux amortissement proj (2'!D257&gt;0,'Tableaux amortissement proj (2'!D257,IF('Tableaux amortissement proj (2'!C257&gt;0,IF(AND(_echfixe1t,A266&gt;0),ROUND(('Tableaux amortissement proj (2'!K257-'Tableaux amortissement proj (2'!B257)*A266/(1-((1+A266)^-'Tableaux amortissement proj (2'!C257)),_nbdeci1t),ROUND('Tableaux amortissement proj (2'!K257/'Tableaux amortissement proj (2'!C257,_nbdeci1t)),B265))</f>
        <v>606.91999999999996</v>
      </c>
      <c r="C266" s="10"/>
      <c r="D266" s="10"/>
      <c r="E266" s="10"/>
      <c r="F266" s="10"/>
      <c r="H266" s="29">
        <f>IF('Tableaux amortissement proj (2'!Q257&gt;0,IF(_tauxactuariel1t1,(('Tableaux amortissement proj (2'!Q257+1)^(1/_nebchan1t))-1,'Tableaux amortissement proj (2'!Q257/_nebchan1t),H265)</f>
        <v>8.3333333333333339E-4</v>
      </c>
      <c r="I266" s="28">
        <f>IF('Tableaux amortissement proj (2'!T257&gt;0,'Tableaux amortissement proj (2'!T257,IF('Tableaux amortissement proj (2'!S257&gt;0,IF(AND(_echfixe12,H266&gt;0),ROUND(('Tableaux amortissement proj (2'!AA257-'Tableaux amortissement proj (2'!R257)*H266/(1-((1+H266)^-'Tableaux amortissement proj (2'!S257)),_nbdeci1t1),ROUND('Tableaux amortissement proj (2'!AA257/'Tableaux amortissement proj (2'!S257,_nbdeci1t1)),I265))</f>
        <v>240200</v>
      </c>
      <c r="J266" s="10"/>
      <c r="K266" s="10"/>
      <c r="L266" s="10"/>
      <c r="M266" s="10"/>
      <c r="O266" s="186">
        <v>264</v>
      </c>
    </row>
    <row r="267" spans="1:15" x14ac:dyDescent="0.2">
      <c r="A267" s="29">
        <f>IF('Tableaux amortissement proj (2'!A258&gt;0,IF(_tauxactuariel1t,(('Tableaux amortissement proj (2'!A258+1)^(1/_nbechan1t))-1,'Tableaux amortissement proj (2'!A258/_nbechan1t),A266)</f>
        <v>1.5499999999999999E-3</v>
      </c>
      <c r="B267" s="28">
        <f>IF('Tableaux amortissement proj (2'!D258&gt;0,'Tableaux amortissement proj (2'!D258,IF('Tableaux amortissement proj (2'!C258&gt;0,IF(AND(_echfixe1t,A267&gt;0),ROUND(('Tableaux amortissement proj (2'!K258-'Tableaux amortissement proj (2'!B258)*A267/(1-((1+A267)^-'Tableaux amortissement proj (2'!C258)),_nbdeci1t),ROUND('Tableaux amortissement proj (2'!K258/'Tableaux amortissement proj (2'!C258,_nbdeci1t)),B266))</f>
        <v>606.91999999999996</v>
      </c>
      <c r="C267" s="10"/>
      <c r="D267" s="10"/>
      <c r="E267" s="10"/>
      <c r="F267" s="10"/>
      <c r="H267" s="29">
        <f>IF('Tableaux amortissement proj (2'!Q258&gt;0,IF(_tauxactuariel1t1,(('Tableaux amortissement proj (2'!Q258+1)^(1/_nebchan1t))-1,'Tableaux amortissement proj (2'!Q258/_nebchan1t),H266)</f>
        <v>8.3333333333333339E-4</v>
      </c>
      <c r="I267" s="28">
        <f>IF('Tableaux amortissement proj (2'!T258&gt;0,'Tableaux amortissement proj (2'!T258,IF('Tableaux amortissement proj (2'!S258&gt;0,IF(AND(_echfixe12,H267&gt;0),ROUND(('Tableaux amortissement proj (2'!AA258-'Tableaux amortissement proj (2'!R258)*H267/(1-((1+H267)^-'Tableaux amortissement proj (2'!S258)),_nbdeci1t1),ROUND('Tableaux amortissement proj (2'!AA258/'Tableaux amortissement proj (2'!S258,_nbdeci1t1)),I266))</f>
        <v>240200</v>
      </c>
      <c r="J267" s="10"/>
      <c r="K267" s="10"/>
      <c r="L267" s="10"/>
      <c r="M267" s="10"/>
      <c r="O267" s="186">
        <v>265</v>
      </c>
    </row>
    <row r="268" spans="1:15" x14ac:dyDescent="0.2">
      <c r="A268" s="29">
        <f>IF('Tableaux amortissement proj (2'!A259&gt;0,IF(_tauxactuariel1t,(('Tableaux amortissement proj (2'!A259+1)^(1/_nbechan1t))-1,'Tableaux amortissement proj (2'!A259/_nbechan1t),A267)</f>
        <v>1.5499999999999999E-3</v>
      </c>
      <c r="B268" s="28">
        <f>IF('Tableaux amortissement proj (2'!D259&gt;0,'Tableaux amortissement proj (2'!D259,IF('Tableaux amortissement proj (2'!C259&gt;0,IF(AND(_echfixe1t,A268&gt;0),ROUND(('Tableaux amortissement proj (2'!K259-'Tableaux amortissement proj (2'!B259)*A268/(1-((1+A268)^-'Tableaux amortissement proj (2'!C259)),_nbdeci1t),ROUND('Tableaux amortissement proj (2'!K259/'Tableaux amortissement proj (2'!C259,_nbdeci1t)),B267))</f>
        <v>606.91999999999996</v>
      </c>
      <c r="C268" s="10"/>
      <c r="D268" s="10"/>
      <c r="E268" s="10"/>
      <c r="F268" s="10"/>
      <c r="H268" s="29">
        <f>IF('Tableaux amortissement proj (2'!Q259&gt;0,IF(_tauxactuariel1t1,(('Tableaux amortissement proj (2'!Q259+1)^(1/_nebchan1t))-1,'Tableaux amortissement proj (2'!Q259/_nebchan1t),H267)</f>
        <v>8.3333333333333339E-4</v>
      </c>
      <c r="I268" s="28">
        <f>IF('Tableaux amortissement proj (2'!T259&gt;0,'Tableaux amortissement proj (2'!T259,IF('Tableaux amortissement proj (2'!S259&gt;0,IF(AND(_echfixe12,H268&gt;0),ROUND(('Tableaux amortissement proj (2'!AA259-'Tableaux amortissement proj (2'!R259)*H268/(1-((1+H268)^-'Tableaux amortissement proj (2'!S259)),_nbdeci1t1),ROUND('Tableaux amortissement proj (2'!AA259/'Tableaux amortissement proj (2'!S259,_nbdeci1t1)),I267))</f>
        <v>240200</v>
      </c>
      <c r="J268" s="10"/>
      <c r="K268" s="10"/>
      <c r="L268" s="10"/>
      <c r="M268" s="10"/>
      <c r="O268" s="186">
        <v>266</v>
      </c>
    </row>
    <row r="269" spans="1:15" x14ac:dyDescent="0.2">
      <c r="A269" s="29">
        <f>IF('Tableaux amortissement proj (2'!A260&gt;0,IF(_tauxactuariel1t,(('Tableaux amortissement proj (2'!A260+1)^(1/_nbechan1t))-1,'Tableaux amortissement proj (2'!A260/_nbechan1t),A268)</f>
        <v>1.5499999999999999E-3</v>
      </c>
      <c r="B269" s="28">
        <f>IF('Tableaux amortissement proj (2'!D260&gt;0,'Tableaux amortissement proj (2'!D260,IF('Tableaux amortissement proj (2'!C260&gt;0,IF(AND(_echfixe1t,A269&gt;0),ROUND(('Tableaux amortissement proj (2'!K260-'Tableaux amortissement proj (2'!B260)*A269/(1-((1+A269)^-'Tableaux amortissement proj (2'!C260)),_nbdeci1t),ROUND('Tableaux amortissement proj (2'!K260/'Tableaux amortissement proj (2'!C260,_nbdeci1t)),B268))</f>
        <v>606.91999999999996</v>
      </c>
      <c r="C269" s="10"/>
      <c r="D269" s="10"/>
      <c r="E269" s="10"/>
      <c r="F269" s="10"/>
      <c r="H269" s="29">
        <f>IF('Tableaux amortissement proj (2'!Q260&gt;0,IF(_tauxactuariel1t1,(('Tableaux amortissement proj (2'!Q260+1)^(1/_nebchan1t))-1,'Tableaux amortissement proj (2'!Q260/_nebchan1t),H268)</f>
        <v>8.3333333333333339E-4</v>
      </c>
      <c r="I269" s="28">
        <f>IF('Tableaux amortissement proj (2'!T260&gt;0,'Tableaux amortissement proj (2'!T260,IF('Tableaux amortissement proj (2'!S260&gt;0,IF(AND(_echfixe12,H269&gt;0),ROUND(('Tableaux amortissement proj (2'!AA260-'Tableaux amortissement proj (2'!R260)*H269/(1-((1+H269)^-'Tableaux amortissement proj (2'!S260)),_nbdeci1t1),ROUND('Tableaux amortissement proj (2'!AA260/'Tableaux amortissement proj (2'!S260,_nbdeci1t1)),I268))</f>
        <v>240200</v>
      </c>
      <c r="J269" s="10"/>
      <c r="K269" s="10"/>
      <c r="L269" s="10"/>
      <c r="M269" s="10"/>
      <c r="O269" s="186">
        <v>267</v>
      </c>
    </row>
    <row r="270" spans="1:15" x14ac:dyDescent="0.2">
      <c r="A270" s="29">
        <f>IF('Tableaux amortissement proj (2'!A261&gt;0,IF(_tauxactuariel1t,(('Tableaux amortissement proj (2'!A261+1)^(1/_nbechan1t))-1,'Tableaux amortissement proj (2'!A261/_nbechan1t),A269)</f>
        <v>1.5499999999999999E-3</v>
      </c>
      <c r="B270" s="28">
        <f>IF('Tableaux amortissement proj (2'!D261&gt;0,'Tableaux amortissement proj (2'!D261,IF('Tableaux amortissement proj (2'!C261&gt;0,IF(AND(_echfixe1t,A270&gt;0),ROUND(('Tableaux amortissement proj (2'!K261-'Tableaux amortissement proj (2'!B261)*A270/(1-((1+A270)^-'Tableaux amortissement proj (2'!C261)),_nbdeci1t),ROUND('Tableaux amortissement proj (2'!K261/'Tableaux amortissement proj (2'!C261,_nbdeci1t)),B269))</f>
        <v>606.91999999999996</v>
      </c>
      <c r="C270" s="10"/>
      <c r="D270" s="10"/>
      <c r="E270" s="10"/>
      <c r="F270" s="10"/>
      <c r="H270" s="29">
        <f>IF('Tableaux amortissement proj (2'!Q261&gt;0,IF(_tauxactuariel1t1,(('Tableaux amortissement proj (2'!Q261+1)^(1/_nebchan1t))-1,'Tableaux amortissement proj (2'!Q261/_nebchan1t),H269)</f>
        <v>8.3333333333333339E-4</v>
      </c>
      <c r="I270" s="28">
        <f>IF('Tableaux amortissement proj (2'!T261&gt;0,'Tableaux amortissement proj (2'!T261,IF('Tableaux amortissement proj (2'!S261&gt;0,IF(AND(_echfixe12,H270&gt;0),ROUND(('Tableaux amortissement proj (2'!AA261-'Tableaux amortissement proj (2'!R261)*H270/(1-((1+H270)^-'Tableaux amortissement proj (2'!S261)),_nbdeci1t1),ROUND('Tableaux amortissement proj (2'!AA261/'Tableaux amortissement proj (2'!S261,_nbdeci1t1)),I269))</f>
        <v>240200</v>
      </c>
      <c r="J270" s="10"/>
      <c r="K270" s="10"/>
      <c r="L270" s="10"/>
      <c r="M270" s="10"/>
      <c r="O270" s="186">
        <v>268</v>
      </c>
    </row>
    <row r="271" spans="1:15" x14ac:dyDescent="0.2">
      <c r="A271" s="29">
        <f>IF('Tableaux amortissement proj (2'!A262&gt;0,IF(_tauxactuariel1t,(('Tableaux amortissement proj (2'!A262+1)^(1/_nbechan1t))-1,'Tableaux amortissement proj (2'!A262/_nbechan1t),A270)</f>
        <v>1.5499999999999999E-3</v>
      </c>
      <c r="B271" s="28">
        <f>IF('Tableaux amortissement proj (2'!D262&gt;0,'Tableaux amortissement proj (2'!D262,IF('Tableaux amortissement proj (2'!C262&gt;0,IF(AND(_echfixe1t,A271&gt;0),ROUND(('Tableaux amortissement proj (2'!K262-'Tableaux amortissement proj (2'!B262)*A271/(1-((1+A271)^-'Tableaux amortissement proj (2'!C262)),_nbdeci1t),ROUND('Tableaux amortissement proj (2'!K262/'Tableaux amortissement proj (2'!C262,_nbdeci1t)),B270))</f>
        <v>606.91999999999996</v>
      </c>
      <c r="C271" s="10"/>
      <c r="D271" s="10"/>
      <c r="E271" s="10"/>
      <c r="F271" s="10"/>
      <c r="H271" s="29">
        <f>IF('Tableaux amortissement proj (2'!Q262&gt;0,IF(_tauxactuariel1t1,(('Tableaux amortissement proj (2'!Q262+1)^(1/_nebchan1t))-1,'Tableaux amortissement proj (2'!Q262/_nebchan1t),H270)</f>
        <v>8.3333333333333339E-4</v>
      </c>
      <c r="I271" s="28">
        <f>IF('Tableaux amortissement proj (2'!T262&gt;0,'Tableaux amortissement proj (2'!T262,IF('Tableaux amortissement proj (2'!S262&gt;0,IF(AND(_echfixe12,H271&gt;0),ROUND(('Tableaux amortissement proj (2'!AA262-'Tableaux amortissement proj (2'!R262)*H271/(1-((1+H271)^-'Tableaux amortissement proj (2'!S262)),_nbdeci1t1),ROUND('Tableaux amortissement proj (2'!AA262/'Tableaux amortissement proj (2'!S262,_nbdeci1t1)),I270))</f>
        <v>240200</v>
      </c>
      <c r="J271" s="10"/>
      <c r="K271" s="10"/>
      <c r="L271" s="10"/>
      <c r="M271" s="10"/>
      <c r="O271" s="186">
        <v>269</v>
      </c>
    </row>
    <row r="272" spans="1:15" x14ac:dyDescent="0.2">
      <c r="A272" s="29">
        <f>IF('Tableaux amortissement proj (2'!A263&gt;0,IF(_tauxactuariel1t,(('Tableaux amortissement proj (2'!A263+1)^(1/_nbechan1t))-1,'Tableaux amortissement proj (2'!A263/_nbechan1t),A271)</f>
        <v>1.5499999999999999E-3</v>
      </c>
      <c r="B272" s="28">
        <f>IF('Tableaux amortissement proj (2'!D263&gt;0,'Tableaux amortissement proj (2'!D263,IF('Tableaux amortissement proj (2'!C263&gt;0,IF(AND(_echfixe1t,A272&gt;0),ROUND(('Tableaux amortissement proj (2'!K263-'Tableaux amortissement proj (2'!B263)*A272/(1-((1+A272)^-'Tableaux amortissement proj (2'!C263)),_nbdeci1t),ROUND('Tableaux amortissement proj (2'!K263/'Tableaux amortissement proj (2'!C263,_nbdeci1t)),B271))</f>
        <v>606.91999999999996</v>
      </c>
      <c r="C272" s="10"/>
      <c r="D272" s="10"/>
      <c r="E272" s="10"/>
      <c r="F272" s="10"/>
      <c r="H272" s="29">
        <f>IF('Tableaux amortissement proj (2'!Q263&gt;0,IF(_tauxactuariel1t1,(('Tableaux amortissement proj (2'!Q263+1)^(1/_nebchan1t))-1,'Tableaux amortissement proj (2'!Q263/_nebchan1t),H271)</f>
        <v>8.3333333333333339E-4</v>
      </c>
      <c r="I272" s="28">
        <f>IF('Tableaux amortissement proj (2'!T263&gt;0,'Tableaux amortissement proj (2'!T263,IF('Tableaux amortissement proj (2'!S263&gt;0,IF(AND(_echfixe12,H272&gt;0),ROUND(('Tableaux amortissement proj (2'!AA263-'Tableaux amortissement proj (2'!R263)*H272/(1-((1+H272)^-'Tableaux amortissement proj (2'!S263)),_nbdeci1t1),ROUND('Tableaux amortissement proj (2'!AA263/'Tableaux amortissement proj (2'!S263,_nbdeci1t1)),I271))</f>
        <v>240200</v>
      </c>
      <c r="J272" s="10"/>
      <c r="K272" s="10"/>
      <c r="L272" s="10"/>
      <c r="M272" s="10"/>
      <c r="O272" s="186">
        <v>270</v>
      </c>
    </row>
    <row r="273" spans="1:15" x14ac:dyDescent="0.2">
      <c r="A273" s="29">
        <f>IF('Tableaux amortissement proj (2'!A264&gt;0,IF(_tauxactuariel1t,(('Tableaux amortissement proj (2'!A264+1)^(1/_nbechan1t))-1,'Tableaux amortissement proj (2'!A264/_nbechan1t),A272)</f>
        <v>1.5499999999999999E-3</v>
      </c>
      <c r="B273" s="28">
        <f>IF('Tableaux amortissement proj (2'!D264&gt;0,'Tableaux amortissement proj (2'!D264,IF('Tableaux amortissement proj (2'!C264&gt;0,IF(AND(_echfixe1t,A273&gt;0),ROUND(('Tableaux amortissement proj (2'!K264-'Tableaux amortissement proj (2'!B264)*A273/(1-((1+A273)^-'Tableaux amortissement proj (2'!C264)),_nbdeci1t),ROUND('Tableaux amortissement proj (2'!K264/'Tableaux amortissement proj (2'!C264,_nbdeci1t)),B272))</f>
        <v>606.91999999999996</v>
      </c>
      <c r="C273" s="10"/>
      <c r="D273" s="10"/>
      <c r="E273" s="10"/>
      <c r="F273" s="10"/>
      <c r="H273" s="29">
        <f>IF('Tableaux amortissement proj (2'!Q264&gt;0,IF(_tauxactuariel1t1,(('Tableaux amortissement proj (2'!Q264+1)^(1/_nebchan1t))-1,'Tableaux amortissement proj (2'!Q264/_nebchan1t),H272)</f>
        <v>8.3333333333333339E-4</v>
      </c>
      <c r="I273" s="28">
        <f>IF('Tableaux amortissement proj (2'!T264&gt;0,'Tableaux amortissement proj (2'!T264,IF('Tableaux amortissement proj (2'!S264&gt;0,IF(AND(_echfixe12,H273&gt;0),ROUND(('Tableaux amortissement proj (2'!AA264-'Tableaux amortissement proj (2'!R264)*H273/(1-((1+H273)^-'Tableaux amortissement proj (2'!S264)),_nbdeci1t1),ROUND('Tableaux amortissement proj (2'!AA264/'Tableaux amortissement proj (2'!S264,_nbdeci1t1)),I272))</f>
        <v>240200</v>
      </c>
      <c r="J273" s="10"/>
      <c r="K273" s="10"/>
      <c r="L273" s="10"/>
      <c r="M273" s="10"/>
      <c r="O273" s="186">
        <v>271</v>
      </c>
    </row>
    <row r="274" spans="1:15" x14ac:dyDescent="0.2">
      <c r="A274" s="29">
        <f>IF('Tableaux amortissement proj (2'!A265&gt;0,IF(_tauxactuariel1t,(('Tableaux amortissement proj (2'!A265+1)^(1/_nbechan1t))-1,'Tableaux amortissement proj (2'!A265/_nbechan1t),A273)</f>
        <v>1.5499999999999999E-3</v>
      </c>
      <c r="B274" s="28">
        <f>IF('Tableaux amortissement proj (2'!D265&gt;0,'Tableaux amortissement proj (2'!D265,IF('Tableaux amortissement proj (2'!C265&gt;0,IF(AND(_echfixe1t,A274&gt;0),ROUND(('Tableaux amortissement proj (2'!K265-'Tableaux amortissement proj (2'!B265)*A274/(1-((1+A274)^-'Tableaux amortissement proj (2'!C265)),_nbdeci1t),ROUND('Tableaux amortissement proj (2'!K265/'Tableaux amortissement proj (2'!C265,_nbdeci1t)),B273))</f>
        <v>606.91999999999996</v>
      </c>
      <c r="C274" s="10"/>
      <c r="D274" s="10"/>
      <c r="E274" s="10"/>
      <c r="F274" s="10"/>
      <c r="H274" s="29">
        <f>IF('Tableaux amortissement proj (2'!Q265&gt;0,IF(_tauxactuariel1t1,(('Tableaux amortissement proj (2'!Q265+1)^(1/_nebchan1t))-1,'Tableaux amortissement proj (2'!Q265/_nebchan1t),H273)</f>
        <v>8.3333333333333339E-4</v>
      </c>
      <c r="I274" s="28">
        <f>IF('Tableaux amortissement proj (2'!T265&gt;0,'Tableaux amortissement proj (2'!T265,IF('Tableaux amortissement proj (2'!S265&gt;0,IF(AND(_echfixe12,H274&gt;0),ROUND(('Tableaux amortissement proj (2'!AA265-'Tableaux amortissement proj (2'!R265)*H274/(1-((1+H274)^-'Tableaux amortissement proj (2'!S265)),_nbdeci1t1),ROUND('Tableaux amortissement proj (2'!AA265/'Tableaux amortissement proj (2'!S265,_nbdeci1t1)),I273))</f>
        <v>240200</v>
      </c>
      <c r="J274" s="10"/>
      <c r="K274" s="10"/>
      <c r="L274" s="10"/>
      <c r="M274" s="10"/>
      <c r="O274" s="186">
        <v>272</v>
      </c>
    </row>
    <row r="275" spans="1:15" x14ac:dyDescent="0.2">
      <c r="A275" s="29">
        <f>IF('Tableaux amortissement proj (2'!A266&gt;0,IF(_tauxactuariel1t,(('Tableaux amortissement proj (2'!A266+1)^(1/_nbechan1t))-1,'Tableaux amortissement proj (2'!A266/_nbechan1t),A274)</f>
        <v>1.5499999999999999E-3</v>
      </c>
      <c r="B275" s="28">
        <f>IF('Tableaux amortissement proj (2'!D266&gt;0,'Tableaux amortissement proj (2'!D266,IF('Tableaux amortissement proj (2'!C266&gt;0,IF(AND(_echfixe1t,A275&gt;0),ROUND(('Tableaux amortissement proj (2'!K266-'Tableaux amortissement proj (2'!B266)*A275/(1-((1+A275)^-'Tableaux amortissement proj (2'!C266)),_nbdeci1t),ROUND('Tableaux amortissement proj (2'!K266/'Tableaux amortissement proj (2'!C266,_nbdeci1t)),B274))</f>
        <v>606.91999999999996</v>
      </c>
      <c r="C275" s="10"/>
      <c r="D275" s="10"/>
      <c r="E275" s="10"/>
      <c r="F275" s="10"/>
      <c r="H275" s="29">
        <f>IF('Tableaux amortissement proj (2'!Q266&gt;0,IF(_tauxactuariel1t1,(('Tableaux amortissement proj (2'!Q266+1)^(1/_nebchan1t))-1,'Tableaux amortissement proj (2'!Q266/_nebchan1t),H274)</f>
        <v>8.3333333333333339E-4</v>
      </c>
      <c r="I275" s="28">
        <f>IF('Tableaux amortissement proj (2'!T266&gt;0,'Tableaux amortissement proj (2'!T266,IF('Tableaux amortissement proj (2'!S266&gt;0,IF(AND(_echfixe12,H275&gt;0),ROUND(('Tableaux amortissement proj (2'!AA266-'Tableaux amortissement proj (2'!R266)*H275/(1-((1+H275)^-'Tableaux amortissement proj (2'!S266)),_nbdeci1t1),ROUND('Tableaux amortissement proj (2'!AA266/'Tableaux amortissement proj (2'!S266,_nbdeci1t1)),I274))</f>
        <v>240200</v>
      </c>
      <c r="J275" s="10"/>
      <c r="K275" s="10"/>
      <c r="L275" s="10"/>
      <c r="M275" s="10"/>
      <c r="O275" s="186">
        <v>273</v>
      </c>
    </row>
    <row r="276" spans="1:15" x14ac:dyDescent="0.2">
      <c r="A276" s="29">
        <f>IF('Tableaux amortissement proj (2'!A267&gt;0,IF(_tauxactuariel1t,(('Tableaux amortissement proj (2'!A267+1)^(1/_nbechan1t))-1,'Tableaux amortissement proj (2'!A267/_nbechan1t),A275)</f>
        <v>1.5499999999999999E-3</v>
      </c>
      <c r="B276" s="28">
        <f>IF('Tableaux amortissement proj (2'!D267&gt;0,'Tableaux amortissement proj (2'!D267,IF('Tableaux amortissement proj (2'!C267&gt;0,IF(AND(_echfixe1t,A276&gt;0),ROUND(('Tableaux amortissement proj (2'!K267-'Tableaux amortissement proj (2'!B267)*A276/(1-((1+A276)^-'Tableaux amortissement proj (2'!C267)),_nbdeci1t),ROUND('Tableaux amortissement proj (2'!K267/'Tableaux amortissement proj (2'!C267,_nbdeci1t)),B275))</f>
        <v>606.91999999999996</v>
      </c>
      <c r="C276" s="10"/>
      <c r="D276" s="10"/>
      <c r="E276" s="10"/>
      <c r="F276" s="10"/>
      <c r="H276" s="29">
        <f>IF('Tableaux amortissement proj (2'!Q267&gt;0,IF(_tauxactuariel1t1,(('Tableaux amortissement proj (2'!Q267+1)^(1/_nebchan1t))-1,'Tableaux amortissement proj (2'!Q267/_nebchan1t),H275)</f>
        <v>8.3333333333333339E-4</v>
      </c>
      <c r="I276" s="28">
        <f>IF('Tableaux amortissement proj (2'!T267&gt;0,'Tableaux amortissement proj (2'!T267,IF('Tableaux amortissement proj (2'!S267&gt;0,IF(AND(_echfixe12,H276&gt;0),ROUND(('Tableaux amortissement proj (2'!AA267-'Tableaux amortissement proj (2'!R267)*H276/(1-((1+H276)^-'Tableaux amortissement proj (2'!S267)),_nbdeci1t1),ROUND('Tableaux amortissement proj (2'!AA267/'Tableaux amortissement proj (2'!S267,_nbdeci1t1)),I275))</f>
        <v>240200</v>
      </c>
      <c r="J276" s="10"/>
      <c r="K276" s="10"/>
      <c r="L276" s="10"/>
      <c r="M276" s="10"/>
      <c r="O276" s="186">
        <v>274</v>
      </c>
    </row>
    <row r="277" spans="1:15" x14ac:dyDescent="0.2">
      <c r="A277" s="29">
        <f>IF('Tableaux amortissement proj (2'!A268&gt;0,IF(_tauxactuariel1t,(('Tableaux amortissement proj (2'!A268+1)^(1/_nbechan1t))-1,'Tableaux amortissement proj (2'!A268/_nbechan1t),A276)</f>
        <v>1.5499999999999999E-3</v>
      </c>
      <c r="B277" s="28">
        <f>IF('Tableaux amortissement proj (2'!D268&gt;0,'Tableaux amortissement proj (2'!D268,IF('Tableaux amortissement proj (2'!C268&gt;0,IF(AND(_echfixe1t,A277&gt;0),ROUND(('Tableaux amortissement proj (2'!K268-'Tableaux amortissement proj (2'!B268)*A277/(1-((1+A277)^-'Tableaux amortissement proj (2'!C268)),_nbdeci1t),ROUND('Tableaux amortissement proj (2'!K268/'Tableaux amortissement proj (2'!C268,_nbdeci1t)),B276))</f>
        <v>606.91999999999996</v>
      </c>
      <c r="C277" s="10"/>
      <c r="D277" s="10"/>
      <c r="E277" s="10"/>
      <c r="F277" s="10"/>
      <c r="H277" s="29">
        <f>IF('Tableaux amortissement proj (2'!Q268&gt;0,IF(_tauxactuariel1t1,(('Tableaux amortissement proj (2'!Q268+1)^(1/_nebchan1t))-1,'Tableaux amortissement proj (2'!Q268/_nebchan1t),H276)</f>
        <v>8.3333333333333339E-4</v>
      </c>
      <c r="I277" s="28">
        <f>IF('Tableaux amortissement proj (2'!T268&gt;0,'Tableaux amortissement proj (2'!T268,IF('Tableaux amortissement proj (2'!S268&gt;0,IF(AND(_echfixe12,H277&gt;0),ROUND(('Tableaux amortissement proj (2'!AA268-'Tableaux amortissement proj (2'!R268)*H277/(1-((1+H277)^-'Tableaux amortissement proj (2'!S268)),_nbdeci1t1),ROUND('Tableaux amortissement proj (2'!AA268/'Tableaux amortissement proj (2'!S268,_nbdeci1t1)),I276))</f>
        <v>240200</v>
      </c>
      <c r="J277" s="10"/>
      <c r="K277" s="10"/>
      <c r="L277" s="10"/>
      <c r="M277" s="10"/>
      <c r="O277" s="186">
        <v>275</v>
      </c>
    </row>
    <row r="278" spans="1:15" x14ac:dyDescent="0.2">
      <c r="A278" s="29">
        <f>IF('Tableaux amortissement proj (2'!A269&gt;0,IF(_tauxactuariel1t,(('Tableaux amortissement proj (2'!A269+1)^(1/_nbechan1t))-1,'Tableaux amortissement proj (2'!A269/_nbechan1t),A277)</f>
        <v>1.5499999999999999E-3</v>
      </c>
      <c r="B278" s="28">
        <f>IF('Tableaux amortissement proj (2'!D269&gt;0,'Tableaux amortissement proj (2'!D269,IF('Tableaux amortissement proj (2'!C269&gt;0,IF(AND(_echfixe1t,A278&gt;0),ROUND(('Tableaux amortissement proj (2'!K269-'Tableaux amortissement proj (2'!B269)*A278/(1-((1+A278)^-'Tableaux amortissement proj (2'!C269)),_nbdeci1t),ROUND('Tableaux amortissement proj (2'!K269/'Tableaux amortissement proj (2'!C269,_nbdeci1t)),B277))</f>
        <v>606.91999999999996</v>
      </c>
      <c r="C278" s="10"/>
      <c r="D278" s="10"/>
      <c r="E278" s="10"/>
      <c r="F278" s="10"/>
      <c r="H278" s="29">
        <f>IF('Tableaux amortissement proj (2'!Q269&gt;0,IF(_tauxactuariel1t1,(('Tableaux amortissement proj (2'!Q269+1)^(1/_nebchan1t))-1,'Tableaux amortissement proj (2'!Q269/_nebchan1t),H277)</f>
        <v>8.3333333333333339E-4</v>
      </c>
      <c r="I278" s="28">
        <f>IF('Tableaux amortissement proj (2'!T269&gt;0,'Tableaux amortissement proj (2'!T269,IF('Tableaux amortissement proj (2'!S269&gt;0,IF(AND(_echfixe12,H278&gt;0),ROUND(('Tableaux amortissement proj (2'!AA269-'Tableaux amortissement proj (2'!R269)*H278/(1-((1+H278)^-'Tableaux amortissement proj (2'!S269)),_nbdeci1t1),ROUND('Tableaux amortissement proj (2'!AA269/'Tableaux amortissement proj (2'!S269,_nbdeci1t1)),I277))</f>
        <v>240200</v>
      </c>
      <c r="J278" s="10"/>
      <c r="K278" s="10"/>
      <c r="L278" s="10"/>
      <c r="M278" s="10"/>
      <c r="O278" s="186">
        <v>276</v>
      </c>
    </row>
    <row r="279" spans="1:15" x14ac:dyDescent="0.2">
      <c r="A279" s="29">
        <f>IF('Tableaux amortissement proj (2'!A270&gt;0,IF(_tauxactuariel1t,(('Tableaux amortissement proj (2'!A270+1)^(1/_nbechan1t))-1,'Tableaux amortissement proj (2'!A270/_nbechan1t),A278)</f>
        <v>1.5499999999999999E-3</v>
      </c>
      <c r="B279" s="28">
        <f>IF('Tableaux amortissement proj (2'!D270&gt;0,'Tableaux amortissement proj (2'!D270,IF('Tableaux amortissement proj (2'!C270&gt;0,IF(AND(_echfixe1t,A279&gt;0),ROUND(('Tableaux amortissement proj (2'!K270-'Tableaux amortissement proj (2'!B270)*A279/(1-((1+A279)^-'Tableaux amortissement proj (2'!C270)),_nbdeci1t),ROUND('Tableaux amortissement proj (2'!K270/'Tableaux amortissement proj (2'!C270,_nbdeci1t)),B278))</f>
        <v>606.91999999999996</v>
      </c>
      <c r="C279" s="10"/>
      <c r="D279" s="10"/>
      <c r="E279" s="10"/>
      <c r="F279" s="10"/>
      <c r="H279" s="29">
        <f>IF('Tableaux amortissement proj (2'!Q270&gt;0,IF(_tauxactuariel1t1,(('Tableaux amortissement proj (2'!Q270+1)^(1/_nebchan1t))-1,'Tableaux amortissement proj (2'!Q270/_nebchan1t),H278)</f>
        <v>8.3333333333333339E-4</v>
      </c>
      <c r="I279" s="28">
        <f>IF('Tableaux amortissement proj (2'!T270&gt;0,'Tableaux amortissement proj (2'!T270,IF('Tableaux amortissement proj (2'!S270&gt;0,IF(AND(_echfixe12,H279&gt;0),ROUND(('Tableaux amortissement proj (2'!AA270-'Tableaux amortissement proj (2'!R270)*H279/(1-((1+H279)^-'Tableaux amortissement proj (2'!S270)),_nbdeci1t1),ROUND('Tableaux amortissement proj (2'!AA270/'Tableaux amortissement proj (2'!S270,_nbdeci1t1)),I278))</f>
        <v>240200</v>
      </c>
      <c r="J279" s="10"/>
      <c r="K279" s="10"/>
      <c r="L279" s="10"/>
      <c r="M279" s="10"/>
      <c r="O279" s="186">
        <v>277</v>
      </c>
    </row>
    <row r="280" spans="1:15" x14ac:dyDescent="0.2">
      <c r="A280" s="29">
        <f>IF('Tableaux amortissement proj (2'!A271&gt;0,IF(_tauxactuariel1t,(('Tableaux amortissement proj (2'!A271+1)^(1/_nbechan1t))-1,'Tableaux amortissement proj (2'!A271/_nbechan1t),A279)</f>
        <v>1.5499999999999999E-3</v>
      </c>
      <c r="B280" s="28">
        <f>IF('Tableaux amortissement proj (2'!D271&gt;0,'Tableaux amortissement proj (2'!D271,IF('Tableaux amortissement proj (2'!C271&gt;0,IF(AND(_echfixe1t,A280&gt;0),ROUND(('Tableaux amortissement proj (2'!K271-'Tableaux amortissement proj (2'!B271)*A280/(1-((1+A280)^-'Tableaux amortissement proj (2'!C271)),_nbdeci1t),ROUND('Tableaux amortissement proj (2'!K271/'Tableaux amortissement proj (2'!C271,_nbdeci1t)),B279))</f>
        <v>606.91999999999996</v>
      </c>
      <c r="C280" s="10"/>
      <c r="D280" s="10"/>
      <c r="E280" s="10"/>
      <c r="F280" s="10"/>
      <c r="H280" s="29">
        <f>IF('Tableaux amortissement proj (2'!Q271&gt;0,IF(_tauxactuariel1t1,(('Tableaux amortissement proj (2'!Q271+1)^(1/_nebchan1t))-1,'Tableaux amortissement proj (2'!Q271/_nebchan1t),H279)</f>
        <v>8.3333333333333339E-4</v>
      </c>
      <c r="I280" s="28">
        <f>IF('Tableaux amortissement proj (2'!T271&gt;0,'Tableaux amortissement proj (2'!T271,IF('Tableaux amortissement proj (2'!S271&gt;0,IF(AND(_echfixe12,H280&gt;0),ROUND(('Tableaux amortissement proj (2'!AA271-'Tableaux amortissement proj (2'!R271)*H280/(1-((1+H280)^-'Tableaux amortissement proj (2'!S271)),_nbdeci1t1),ROUND('Tableaux amortissement proj (2'!AA271/'Tableaux amortissement proj (2'!S271,_nbdeci1t1)),I279))</f>
        <v>240200</v>
      </c>
      <c r="J280" s="10"/>
      <c r="K280" s="10"/>
      <c r="L280" s="10"/>
      <c r="M280" s="10"/>
      <c r="O280" s="186">
        <v>278</v>
      </c>
    </row>
    <row r="281" spans="1:15" x14ac:dyDescent="0.2">
      <c r="A281" s="29">
        <f>IF('Tableaux amortissement proj (2'!A272&gt;0,IF(_tauxactuariel1t,(('Tableaux amortissement proj (2'!A272+1)^(1/_nbechan1t))-1,'Tableaux amortissement proj (2'!A272/_nbechan1t),A280)</f>
        <v>1.5499999999999999E-3</v>
      </c>
      <c r="B281" s="28">
        <f>IF('Tableaux amortissement proj (2'!D272&gt;0,'Tableaux amortissement proj (2'!D272,IF('Tableaux amortissement proj (2'!C272&gt;0,IF(AND(_echfixe1t,A281&gt;0),ROUND(('Tableaux amortissement proj (2'!K272-'Tableaux amortissement proj (2'!B272)*A281/(1-((1+A281)^-'Tableaux amortissement proj (2'!C272)),_nbdeci1t),ROUND('Tableaux amortissement proj (2'!K272/'Tableaux amortissement proj (2'!C272,_nbdeci1t)),B280))</f>
        <v>606.91999999999996</v>
      </c>
      <c r="C281" s="10"/>
      <c r="D281" s="10"/>
      <c r="E281" s="10"/>
      <c r="F281" s="10"/>
      <c r="H281" s="29">
        <f>IF('Tableaux amortissement proj (2'!Q272&gt;0,IF(_tauxactuariel1t1,(('Tableaux amortissement proj (2'!Q272+1)^(1/_nebchan1t))-1,'Tableaux amortissement proj (2'!Q272/_nebchan1t),H280)</f>
        <v>8.3333333333333339E-4</v>
      </c>
      <c r="I281" s="28">
        <f>IF('Tableaux amortissement proj (2'!T272&gt;0,'Tableaux amortissement proj (2'!T272,IF('Tableaux amortissement proj (2'!S272&gt;0,IF(AND(_echfixe12,H281&gt;0),ROUND(('Tableaux amortissement proj (2'!AA272-'Tableaux amortissement proj (2'!R272)*H281/(1-((1+H281)^-'Tableaux amortissement proj (2'!S272)),_nbdeci1t1),ROUND('Tableaux amortissement proj (2'!AA272/'Tableaux amortissement proj (2'!S272,_nbdeci1t1)),I280))</f>
        <v>240200</v>
      </c>
      <c r="J281" s="10"/>
      <c r="K281" s="10"/>
      <c r="L281" s="10"/>
      <c r="M281" s="10"/>
      <c r="O281" s="186">
        <v>279</v>
      </c>
    </row>
    <row r="282" spans="1:15" x14ac:dyDescent="0.2">
      <c r="A282" s="29">
        <f>IF('Tableaux amortissement proj (2'!A273&gt;0,IF(_tauxactuariel1t,(('Tableaux amortissement proj (2'!A273+1)^(1/_nbechan1t))-1,'Tableaux amortissement proj (2'!A273/_nbechan1t),A281)</f>
        <v>1.5499999999999999E-3</v>
      </c>
      <c r="B282" s="28">
        <f>IF('Tableaux amortissement proj (2'!D273&gt;0,'Tableaux amortissement proj (2'!D273,IF('Tableaux amortissement proj (2'!C273&gt;0,IF(AND(_echfixe1t,A282&gt;0),ROUND(('Tableaux amortissement proj (2'!K273-'Tableaux amortissement proj (2'!B273)*A282/(1-((1+A282)^-'Tableaux amortissement proj (2'!C273)),_nbdeci1t),ROUND('Tableaux amortissement proj (2'!K273/'Tableaux amortissement proj (2'!C273,_nbdeci1t)),B281))</f>
        <v>606.91999999999996</v>
      </c>
      <c r="C282" s="10"/>
      <c r="D282" s="10"/>
      <c r="E282" s="10"/>
      <c r="F282" s="10"/>
      <c r="H282" s="29">
        <f>IF('Tableaux amortissement proj (2'!Q273&gt;0,IF(_tauxactuariel1t1,(('Tableaux amortissement proj (2'!Q273+1)^(1/_nebchan1t))-1,'Tableaux amortissement proj (2'!Q273/_nebchan1t),H281)</f>
        <v>8.3333333333333339E-4</v>
      </c>
      <c r="I282" s="28">
        <f>IF('Tableaux amortissement proj (2'!T273&gt;0,'Tableaux amortissement proj (2'!T273,IF('Tableaux amortissement proj (2'!S273&gt;0,IF(AND(_echfixe12,H282&gt;0),ROUND(('Tableaux amortissement proj (2'!AA273-'Tableaux amortissement proj (2'!R273)*H282/(1-((1+H282)^-'Tableaux amortissement proj (2'!S273)),_nbdeci1t1),ROUND('Tableaux amortissement proj (2'!AA273/'Tableaux amortissement proj (2'!S273,_nbdeci1t1)),I281))</f>
        <v>240200</v>
      </c>
      <c r="J282" s="10"/>
      <c r="K282" s="10"/>
      <c r="L282" s="10"/>
      <c r="M282" s="10"/>
      <c r="O282" s="186">
        <v>280</v>
      </c>
    </row>
    <row r="283" spans="1:15" x14ac:dyDescent="0.2">
      <c r="A283" s="29">
        <f>IF('Tableaux amortissement proj (2'!A274&gt;0,IF(_tauxactuariel1t,(('Tableaux amortissement proj (2'!A274+1)^(1/_nbechan1t))-1,'Tableaux amortissement proj (2'!A274/_nbechan1t),A282)</f>
        <v>1.5499999999999999E-3</v>
      </c>
      <c r="B283" s="28">
        <f>IF('Tableaux amortissement proj (2'!D274&gt;0,'Tableaux amortissement proj (2'!D274,IF('Tableaux amortissement proj (2'!C274&gt;0,IF(AND(_echfixe1t,A283&gt;0),ROUND(('Tableaux amortissement proj (2'!K274-'Tableaux amortissement proj (2'!B274)*A283/(1-((1+A283)^-'Tableaux amortissement proj (2'!C274)),_nbdeci1t),ROUND('Tableaux amortissement proj (2'!K274/'Tableaux amortissement proj (2'!C274,_nbdeci1t)),B282))</f>
        <v>606.91999999999996</v>
      </c>
      <c r="C283" s="10"/>
      <c r="D283" s="10"/>
      <c r="E283" s="10"/>
      <c r="F283" s="10"/>
      <c r="H283" s="29">
        <f>IF('Tableaux amortissement proj (2'!Q274&gt;0,IF(_tauxactuariel1t1,(('Tableaux amortissement proj (2'!Q274+1)^(1/_nebchan1t))-1,'Tableaux amortissement proj (2'!Q274/_nebchan1t),H282)</f>
        <v>8.3333333333333339E-4</v>
      </c>
      <c r="I283" s="28">
        <f>IF('Tableaux amortissement proj (2'!T274&gt;0,'Tableaux amortissement proj (2'!T274,IF('Tableaux amortissement proj (2'!S274&gt;0,IF(AND(_echfixe12,H283&gt;0),ROUND(('Tableaux amortissement proj (2'!AA274-'Tableaux amortissement proj (2'!R274)*H283/(1-((1+H283)^-'Tableaux amortissement proj (2'!S274)),_nbdeci1t1),ROUND('Tableaux amortissement proj (2'!AA274/'Tableaux amortissement proj (2'!S274,_nbdeci1t1)),I282))</f>
        <v>240200</v>
      </c>
      <c r="J283" s="10"/>
      <c r="K283" s="10"/>
      <c r="L283" s="10"/>
      <c r="M283" s="10"/>
      <c r="O283" s="186">
        <v>281</v>
      </c>
    </row>
    <row r="284" spans="1:15" x14ac:dyDescent="0.2">
      <c r="A284" s="29">
        <f>IF('Tableaux amortissement proj (2'!A275&gt;0,IF(_tauxactuariel1t,(('Tableaux amortissement proj (2'!A275+1)^(1/_nbechan1t))-1,'Tableaux amortissement proj (2'!A275/_nbechan1t),A283)</f>
        <v>1.5499999999999999E-3</v>
      </c>
      <c r="B284" s="28">
        <f>IF('Tableaux amortissement proj (2'!D275&gt;0,'Tableaux amortissement proj (2'!D275,IF('Tableaux amortissement proj (2'!C275&gt;0,IF(AND(_echfixe1t,A284&gt;0),ROUND(('Tableaux amortissement proj (2'!K275-'Tableaux amortissement proj (2'!B275)*A284/(1-((1+A284)^-'Tableaux amortissement proj (2'!C275)),_nbdeci1t),ROUND('Tableaux amortissement proj (2'!K275/'Tableaux amortissement proj (2'!C275,_nbdeci1t)),B283))</f>
        <v>606.91999999999996</v>
      </c>
      <c r="C284" s="10"/>
      <c r="D284" s="10"/>
      <c r="E284" s="10"/>
      <c r="F284" s="10"/>
      <c r="H284" s="29">
        <f>IF('Tableaux amortissement proj (2'!Q275&gt;0,IF(_tauxactuariel1t1,(('Tableaux amortissement proj (2'!Q275+1)^(1/_nebchan1t))-1,'Tableaux amortissement proj (2'!Q275/_nebchan1t),H283)</f>
        <v>8.3333333333333339E-4</v>
      </c>
      <c r="I284" s="28">
        <f>IF('Tableaux amortissement proj (2'!T275&gt;0,'Tableaux amortissement proj (2'!T275,IF('Tableaux amortissement proj (2'!S275&gt;0,IF(AND(_echfixe12,H284&gt;0),ROUND(('Tableaux amortissement proj (2'!AA275-'Tableaux amortissement proj (2'!R275)*H284/(1-((1+H284)^-'Tableaux amortissement proj (2'!S275)),_nbdeci1t1),ROUND('Tableaux amortissement proj (2'!AA275/'Tableaux amortissement proj (2'!S275,_nbdeci1t1)),I283))</f>
        <v>240200</v>
      </c>
      <c r="J284" s="10"/>
      <c r="K284" s="10"/>
      <c r="L284" s="10"/>
      <c r="M284" s="10"/>
      <c r="O284" s="186">
        <v>282</v>
      </c>
    </row>
    <row r="285" spans="1:15" x14ac:dyDescent="0.2">
      <c r="A285" s="29">
        <f>IF('Tableaux amortissement proj (2'!A276&gt;0,IF(_tauxactuariel1t,(('Tableaux amortissement proj (2'!A276+1)^(1/_nbechan1t))-1,'Tableaux amortissement proj (2'!A276/_nbechan1t),A284)</f>
        <v>1.5499999999999999E-3</v>
      </c>
      <c r="B285" s="28">
        <f>IF('Tableaux amortissement proj (2'!D276&gt;0,'Tableaux amortissement proj (2'!D276,IF('Tableaux amortissement proj (2'!C276&gt;0,IF(AND(_echfixe1t,A285&gt;0),ROUND(('Tableaux amortissement proj (2'!K276-'Tableaux amortissement proj (2'!B276)*A285/(1-((1+A285)^-'Tableaux amortissement proj (2'!C276)),_nbdeci1t),ROUND('Tableaux amortissement proj (2'!K276/'Tableaux amortissement proj (2'!C276,_nbdeci1t)),B284))</f>
        <v>606.91999999999996</v>
      </c>
      <c r="C285" s="10"/>
      <c r="D285" s="10"/>
      <c r="E285" s="10"/>
      <c r="F285" s="10"/>
      <c r="H285" s="29">
        <f>IF('Tableaux amortissement proj (2'!Q276&gt;0,IF(_tauxactuariel1t1,(('Tableaux amortissement proj (2'!Q276+1)^(1/_nebchan1t))-1,'Tableaux amortissement proj (2'!Q276/_nebchan1t),H284)</f>
        <v>8.3333333333333339E-4</v>
      </c>
      <c r="I285" s="28">
        <f>IF('Tableaux amortissement proj (2'!T276&gt;0,'Tableaux amortissement proj (2'!T276,IF('Tableaux amortissement proj (2'!S276&gt;0,IF(AND(_echfixe12,H285&gt;0),ROUND(('Tableaux amortissement proj (2'!AA276-'Tableaux amortissement proj (2'!R276)*H285/(1-((1+H285)^-'Tableaux amortissement proj (2'!S276)),_nbdeci1t1),ROUND('Tableaux amortissement proj (2'!AA276/'Tableaux amortissement proj (2'!S276,_nbdeci1t1)),I284))</f>
        <v>240200</v>
      </c>
      <c r="J285" s="10"/>
      <c r="K285" s="10"/>
      <c r="L285" s="10"/>
      <c r="M285" s="10"/>
      <c r="O285" s="186">
        <v>283</v>
      </c>
    </row>
    <row r="286" spans="1:15" x14ac:dyDescent="0.2">
      <c r="A286" s="29">
        <f>IF('Tableaux amortissement proj (2'!A277&gt;0,IF(_tauxactuariel1t,(('Tableaux amortissement proj (2'!A277+1)^(1/_nbechan1t))-1,'Tableaux amortissement proj (2'!A277/_nbechan1t),A285)</f>
        <v>1.5499999999999999E-3</v>
      </c>
      <c r="B286" s="28">
        <f>IF('Tableaux amortissement proj (2'!D277&gt;0,'Tableaux amortissement proj (2'!D277,IF('Tableaux amortissement proj (2'!C277&gt;0,IF(AND(_echfixe1t,A286&gt;0),ROUND(('Tableaux amortissement proj (2'!K277-'Tableaux amortissement proj (2'!B277)*A286/(1-((1+A286)^-'Tableaux amortissement proj (2'!C277)),_nbdeci1t),ROUND('Tableaux amortissement proj (2'!K277/'Tableaux amortissement proj (2'!C277,_nbdeci1t)),B285))</f>
        <v>606.91999999999996</v>
      </c>
      <c r="C286" s="10"/>
      <c r="D286" s="10"/>
      <c r="E286" s="10"/>
      <c r="F286" s="10"/>
      <c r="H286" s="29">
        <f>IF('Tableaux amortissement proj (2'!Q277&gt;0,IF(_tauxactuariel1t1,(('Tableaux amortissement proj (2'!Q277+1)^(1/_nebchan1t))-1,'Tableaux amortissement proj (2'!Q277/_nebchan1t),H285)</f>
        <v>8.3333333333333339E-4</v>
      </c>
      <c r="I286" s="28">
        <f>IF('Tableaux amortissement proj (2'!T277&gt;0,'Tableaux amortissement proj (2'!T277,IF('Tableaux amortissement proj (2'!S277&gt;0,IF(AND(_echfixe12,H286&gt;0),ROUND(('Tableaux amortissement proj (2'!AA277-'Tableaux amortissement proj (2'!R277)*H286/(1-((1+H286)^-'Tableaux amortissement proj (2'!S277)),_nbdeci1t1),ROUND('Tableaux amortissement proj (2'!AA277/'Tableaux amortissement proj (2'!S277,_nbdeci1t1)),I285))</f>
        <v>240200</v>
      </c>
      <c r="J286" s="10"/>
      <c r="K286" s="10"/>
      <c r="L286" s="10"/>
      <c r="M286" s="10"/>
      <c r="O286" s="186">
        <v>284</v>
      </c>
    </row>
    <row r="287" spans="1:15" x14ac:dyDescent="0.2">
      <c r="A287" s="29">
        <f>IF('Tableaux amortissement proj (2'!A278&gt;0,IF(_tauxactuariel1t,(('Tableaux amortissement proj (2'!A278+1)^(1/_nbechan1t))-1,'Tableaux amortissement proj (2'!A278/_nbechan1t),A286)</f>
        <v>1.5499999999999999E-3</v>
      </c>
      <c r="B287" s="28">
        <f>IF('Tableaux amortissement proj (2'!D278&gt;0,'Tableaux amortissement proj (2'!D278,IF('Tableaux amortissement proj (2'!C278&gt;0,IF(AND(_echfixe1t,A287&gt;0),ROUND(('Tableaux amortissement proj (2'!K278-'Tableaux amortissement proj (2'!B278)*A287/(1-((1+A287)^-'Tableaux amortissement proj (2'!C278)),_nbdeci1t),ROUND('Tableaux amortissement proj (2'!K278/'Tableaux amortissement proj (2'!C278,_nbdeci1t)),B286))</f>
        <v>606.91999999999996</v>
      </c>
      <c r="C287" s="10"/>
      <c r="D287" s="10"/>
      <c r="E287" s="10"/>
      <c r="F287" s="10"/>
      <c r="H287" s="29">
        <f>IF('Tableaux amortissement proj (2'!Q278&gt;0,IF(_tauxactuariel1t1,(('Tableaux amortissement proj (2'!Q278+1)^(1/_nebchan1t))-1,'Tableaux amortissement proj (2'!Q278/_nebchan1t),H286)</f>
        <v>8.3333333333333339E-4</v>
      </c>
      <c r="I287" s="28">
        <f>IF('Tableaux amortissement proj (2'!T278&gt;0,'Tableaux amortissement proj (2'!T278,IF('Tableaux amortissement proj (2'!S278&gt;0,IF(AND(_echfixe12,H287&gt;0),ROUND(('Tableaux amortissement proj (2'!AA278-'Tableaux amortissement proj (2'!R278)*H287/(1-((1+H287)^-'Tableaux amortissement proj (2'!S278)),_nbdeci1t1),ROUND('Tableaux amortissement proj (2'!AA278/'Tableaux amortissement proj (2'!S278,_nbdeci1t1)),I286))</f>
        <v>240200</v>
      </c>
      <c r="J287" s="10"/>
      <c r="K287" s="10"/>
      <c r="L287" s="10"/>
      <c r="M287" s="10"/>
      <c r="O287" s="186">
        <v>285</v>
      </c>
    </row>
    <row r="288" spans="1:15" x14ac:dyDescent="0.2">
      <c r="A288" s="29">
        <f>IF('Tableaux amortissement proj (2'!A279&gt;0,IF(_tauxactuariel1t,(('Tableaux amortissement proj (2'!A279+1)^(1/_nbechan1t))-1,'Tableaux amortissement proj (2'!A279/_nbechan1t),A287)</f>
        <v>1.5499999999999999E-3</v>
      </c>
      <c r="B288" s="28">
        <f>IF('Tableaux amortissement proj (2'!D279&gt;0,'Tableaux amortissement proj (2'!D279,IF('Tableaux amortissement proj (2'!C279&gt;0,IF(AND(_echfixe1t,A288&gt;0),ROUND(('Tableaux amortissement proj (2'!K279-'Tableaux amortissement proj (2'!B279)*A288/(1-((1+A288)^-'Tableaux amortissement proj (2'!C279)),_nbdeci1t),ROUND('Tableaux amortissement proj (2'!K279/'Tableaux amortissement proj (2'!C279,_nbdeci1t)),B287))</f>
        <v>606.91999999999996</v>
      </c>
      <c r="C288" s="10"/>
      <c r="D288" s="10"/>
      <c r="E288" s="10"/>
      <c r="F288" s="10"/>
      <c r="H288" s="29">
        <f>IF('Tableaux amortissement proj (2'!Q279&gt;0,IF(_tauxactuariel1t1,(('Tableaux amortissement proj (2'!Q279+1)^(1/_nebchan1t))-1,'Tableaux amortissement proj (2'!Q279/_nebchan1t),H287)</f>
        <v>8.3333333333333339E-4</v>
      </c>
      <c r="I288" s="28">
        <f>IF('Tableaux amortissement proj (2'!T279&gt;0,'Tableaux amortissement proj (2'!T279,IF('Tableaux amortissement proj (2'!S279&gt;0,IF(AND(_echfixe12,H288&gt;0),ROUND(('Tableaux amortissement proj (2'!AA279-'Tableaux amortissement proj (2'!R279)*H288/(1-((1+H288)^-'Tableaux amortissement proj (2'!S279)),_nbdeci1t1),ROUND('Tableaux amortissement proj (2'!AA279/'Tableaux amortissement proj (2'!S279,_nbdeci1t1)),I287))</f>
        <v>240200</v>
      </c>
      <c r="J288" s="10"/>
      <c r="K288" s="10"/>
      <c r="L288" s="10"/>
      <c r="M288" s="10"/>
      <c r="O288" s="186">
        <v>286</v>
      </c>
    </row>
    <row r="289" spans="1:15" x14ac:dyDescent="0.2">
      <c r="A289" s="29">
        <f>IF('Tableaux amortissement proj (2'!A280&gt;0,IF(_tauxactuariel1t,(('Tableaux amortissement proj (2'!A280+1)^(1/_nbechan1t))-1,'Tableaux amortissement proj (2'!A280/_nbechan1t),A288)</f>
        <v>1.5499999999999999E-3</v>
      </c>
      <c r="B289" s="28">
        <f>IF('Tableaux amortissement proj (2'!D280&gt;0,'Tableaux amortissement proj (2'!D280,IF('Tableaux amortissement proj (2'!C280&gt;0,IF(AND(_echfixe1t,A289&gt;0),ROUND(('Tableaux amortissement proj (2'!K280-'Tableaux amortissement proj (2'!B280)*A289/(1-((1+A289)^-'Tableaux amortissement proj (2'!C280)),_nbdeci1t),ROUND('Tableaux amortissement proj (2'!K280/'Tableaux amortissement proj (2'!C280,_nbdeci1t)),B288))</f>
        <v>606.91999999999996</v>
      </c>
      <c r="C289" s="10"/>
      <c r="D289" s="10"/>
      <c r="E289" s="10"/>
      <c r="F289" s="10"/>
      <c r="H289" s="29">
        <f>IF('Tableaux amortissement proj (2'!Q280&gt;0,IF(_tauxactuariel1t1,(('Tableaux amortissement proj (2'!Q280+1)^(1/_nebchan1t))-1,'Tableaux amortissement proj (2'!Q280/_nebchan1t),H288)</f>
        <v>8.3333333333333339E-4</v>
      </c>
      <c r="I289" s="28">
        <f>IF('Tableaux amortissement proj (2'!T280&gt;0,'Tableaux amortissement proj (2'!T280,IF('Tableaux amortissement proj (2'!S280&gt;0,IF(AND(_echfixe12,H289&gt;0),ROUND(('Tableaux amortissement proj (2'!AA280-'Tableaux amortissement proj (2'!R280)*H289/(1-((1+H289)^-'Tableaux amortissement proj (2'!S280)),_nbdeci1t1),ROUND('Tableaux amortissement proj (2'!AA280/'Tableaux amortissement proj (2'!S280,_nbdeci1t1)),I288))</f>
        <v>240200</v>
      </c>
      <c r="J289" s="10"/>
      <c r="K289" s="10"/>
      <c r="L289" s="10"/>
      <c r="M289" s="10"/>
      <c r="O289" s="186">
        <v>287</v>
      </c>
    </row>
    <row r="290" spans="1:15" x14ac:dyDescent="0.2">
      <c r="A290" s="29">
        <f>IF('Tableaux amortissement proj (2'!A281&gt;0,IF(_tauxactuariel1t,(('Tableaux amortissement proj (2'!A281+1)^(1/_nbechan1t))-1,'Tableaux amortissement proj (2'!A281/_nbechan1t),A289)</f>
        <v>1.5499999999999999E-3</v>
      </c>
      <c r="B290" s="28">
        <f>IF('Tableaux amortissement proj (2'!D281&gt;0,'Tableaux amortissement proj (2'!D281,IF('Tableaux amortissement proj (2'!C281&gt;0,IF(AND(_echfixe1t,A290&gt;0),ROUND(('Tableaux amortissement proj (2'!K281-'Tableaux amortissement proj (2'!B281)*A290/(1-((1+A290)^-'Tableaux amortissement proj (2'!C281)),_nbdeci1t),ROUND('Tableaux amortissement proj (2'!K281/'Tableaux amortissement proj (2'!C281,_nbdeci1t)),B289))</f>
        <v>606.91999999999996</v>
      </c>
      <c r="C290" s="10"/>
      <c r="D290" s="10"/>
      <c r="E290" s="10"/>
      <c r="F290" s="10"/>
      <c r="H290" s="29">
        <f>IF('Tableaux amortissement proj (2'!Q281&gt;0,IF(_tauxactuariel1t1,(('Tableaux amortissement proj (2'!Q281+1)^(1/_nebchan1t))-1,'Tableaux amortissement proj (2'!Q281/_nebchan1t),H289)</f>
        <v>8.3333333333333339E-4</v>
      </c>
      <c r="I290" s="28">
        <f>IF('Tableaux amortissement proj (2'!T281&gt;0,'Tableaux amortissement proj (2'!T281,IF('Tableaux amortissement proj (2'!S281&gt;0,IF(AND(_echfixe12,H290&gt;0),ROUND(('Tableaux amortissement proj (2'!AA281-'Tableaux amortissement proj (2'!R281)*H290/(1-((1+H290)^-'Tableaux amortissement proj (2'!S281)),_nbdeci1t1),ROUND('Tableaux amortissement proj (2'!AA281/'Tableaux amortissement proj (2'!S281,_nbdeci1t1)),I289))</f>
        <v>240200</v>
      </c>
      <c r="J290" s="10"/>
      <c r="K290" s="10"/>
      <c r="L290" s="10"/>
      <c r="M290" s="10"/>
      <c r="O290" s="186">
        <v>288</v>
      </c>
    </row>
    <row r="291" spans="1:15" x14ac:dyDescent="0.2">
      <c r="A291" s="29">
        <f>IF('Tableaux amortissement proj (2'!A282&gt;0,IF(_tauxactuariel1t,(('Tableaux amortissement proj (2'!A282+1)^(1/_nbechan1t))-1,'Tableaux amortissement proj (2'!A282/_nbechan1t),A290)</f>
        <v>1.5499999999999999E-3</v>
      </c>
      <c r="B291" s="28">
        <f>IF('Tableaux amortissement proj (2'!D282&gt;0,'Tableaux amortissement proj (2'!D282,IF('Tableaux amortissement proj (2'!C282&gt;0,IF(AND(_echfixe1t,A291&gt;0),ROUND(('Tableaux amortissement proj (2'!K282-'Tableaux amortissement proj (2'!B282)*A291/(1-((1+A291)^-'Tableaux amortissement proj (2'!C282)),_nbdeci1t),ROUND('Tableaux amortissement proj (2'!K282/'Tableaux amortissement proj (2'!C282,_nbdeci1t)),B290))</f>
        <v>606.91999999999996</v>
      </c>
      <c r="C291" s="10"/>
      <c r="D291" s="10"/>
      <c r="E291" s="10"/>
      <c r="F291" s="10"/>
      <c r="H291" s="29">
        <f>IF('Tableaux amortissement proj (2'!Q282&gt;0,IF(_tauxactuariel1t1,(('Tableaux amortissement proj (2'!Q282+1)^(1/_nebchan1t))-1,'Tableaux amortissement proj (2'!Q282/_nebchan1t),H290)</f>
        <v>8.3333333333333339E-4</v>
      </c>
      <c r="I291" s="28">
        <f>IF('Tableaux amortissement proj (2'!T282&gt;0,'Tableaux amortissement proj (2'!T282,IF('Tableaux amortissement proj (2'!S282&gt;0,IF(AND(_echfixe12,H291&gt;0),ROUND(('Tableaux amortissement proj (2'!AA282-'Tableaux amortissement proj (2'!R282)*H291/(1-((1+H291)^-'Tableaux amortissement proj (2'!S282)),_nbdeci1t1),ROUND('Tableaux amortissement proj (2'!AA282/'Tableaux amortissement proj (2'!S282,_nbdeci1t1)),I290))</f>
        <v>240200</v>
      </c>
      <c r="J291" s="10"/>
      <c r="K291" s="10"/>
      <c r="L291" s="10"/>
      <c r="M291" s="10"/>
      <c r="O291" s="186">
        <v>289</v>
      </c>
    </row>
    <row r="292" spans="1:15" x14ac:dyDescent="0.2">
      <c r="A292" s="29">
        <f>IF('Tableaux amortissement proj (2'!A283&gt;0,IF(_tauxactuariel1t,(('Tableaux amortissement proj (2'!A283+1)^(1/_nbechan1t))-1,'Tableaux amortissement proj (2'!A283/_nbechan1t),A291)</f>
        <v>1.5499999999999999E-3</v>
      </c>
      <c r="B292" s="28">
        <f>IF('Tableaux amortissement proj (2'!D283&gt;0,'Tableaux amortissement proj (2'!D283,IF('Tableaux amortissement proj (2'!C283&gt;0,IF(AND(_echfixe1t,A292&gt;0),ROUND(('Tableaux amortissement proj (2'!K283-'Tableaux amortissement proj (2'!B283)*A292/(1-((1+A292)^-'Tableaux amortissement proj (2'!C283)),_nbdeci1t),ROUND('Tableaux amortissement proj (2'!K283/'Tableaux amortissement proj (2'!C283,_nbdeci1t)),B291))</f>
        <v>606.91999999999996</v>
      </c>
      <c r="C292" s="10"/>
      <c r="D292" s="10"/>
      <c r="E292" s="10"/>
      <c r="F292" s="10"/>
      <c r="H292" s="29">
        <f>IF('Tableaux amortissement proj (2'!Q283&gt;0,IF(_tauxactuariel1t1,(('Tableaux amortissement proj (2'!Q283+1)^(1/_nebchan1t))-1,'Tableaux amortissement proj (2'!Q283/_nebchan1t),H291)</f>
        <v>8.3333333333333339E-4</v>
      </c>
      <c r="I292" s="28">
        <f>IF('Tableaux amortissement proj (2'!T283&gt;0,'Tableaux amortissement proj (2'!T283,IF('Tableaux amortissement proj (2'!S283&gt;0,IF(AND(_echfixe12,H292&gt;0),ROUND(('Tableaux amortissement proj (2'!AA283-'Tableaux amortissement proj (2'!R283)*H292/(1-((1+H292)^-'Tableaux amortissement proj (2'!S283)),_nbdeci1t1),ROUND('Tableaux amortissement proj (2'!AA283/'Tableaux amortissement proj (2'!S283,_nbdeci1t1)),I291))</f>
        <v>240200</v>
      </c>
      <c r="J292" s="10"/>
      <c r="K292" s="10"/>
      <c r="L292" s="10"/>
      <c r="M292" s="10"/>
      <c r="O292" s="186">
        <v>290</v>
      </c>
    </row>
    <row r="293" spans="1:15" x14ac:dyDescent="0.2">
      <c r="A293" s="29">
        <f>IF('Tableaux amortissement proj (2'!A284&gt;0,IF(_tauxactuariel1t,(('Tableaux amortissement proj (2'!A284+1)^(1/_nbechan1t))-1,'Tableaux amortissement proj (2'!A284/_nbechan1t),A292)</f>
        <v>1.5499999999999999E-3</v>
      </c>
      <c r="B293" s="28">
        <f>IF('Tableaux amortissement proj (2'!D284&gt;0,'Tableaux amortissement proj (2'!D284,IF('Tableaux amortissement proj (2'!C284&gt;0,IF(AND(_echfixe1t,A293&gt;0),ROUND(('Tableaux amortissement proj (2'!K284-'Tableaux amortissement proj (2'!B284)*A293/(1-((1+A293)^-'Tableaux amortissement proj (2'!C284)),_nbdeci1t),ROUND('Tableaux amortissement proj (2'!K284/'Tableaux amortissement proj (2'!C284,_nbdeci1t)),B292))</f>
        <v>606.91999999999996</v>
      </c>
      <c r="C293" s="10"/>
      <c r="D293" s="10"/>
      <c r="E293" s="10"/>
      <c r="F293" s="10"/>
      <c r="H293" s="29">
        <f>IF('Tableaux amortissement proj (2'!Q284&gt;0,IF(_tauxactuariel1t1,(('Tableaux amortissement proj (2'!Q284+1)^(1/_nebchan1t))-1,'Tableaux amortissement proj (2'!Q284/_nebchan1t),H292)</f>
        <v>8.3333333333333339E-4</v>
      </c>
      <c r="I293" s="28">
        <f>IF('Tableaux amortissement proj (2'!T284&gt;0,'Tableaux amortissement proj (2'!T284,IF('Tableaux amortissement proj (2'!S284&gt;0,IF(AND(_echfixe12,H293&gt;0),ROUND(('Tableaux amortissement proj (2'!AA284-'Tableaux amortissement proj (2'!R284)*H293/(1-((1+H293)^-'Tableaux amortissement proj (2'!S284)),_nbdeci1t1),ROUND('Tableaux amortissement proj (2'!AA284/'Tableaux amortissement proj (2'!S284,_nbdeci1t1)),I292))</f>
        <v>240200</v>
      </c>
      <c r="J293" s="10"/>
      <c r="K293" s="10"/>
      <c r="L293" s="10"/>
      <c r="M293" s="10"/>
      <c r="O293" s="186">
        <v>291</v>
      </c>
    </row>
    <row r="294" spans="1:15" x14ac:dyDescent="0.2">
      <c r="A294" s="29">
        <f>IF('Tableaux amortissement proj (2'!A285&gt;0,IF(_tauxactuariel1t,(('Tableaux amortissement proj (2'!A285+1)^(1/_nbechan1t))-1,'Tableaux amortissement proj (2'!A285/_nbechan1t),A293)</f>
        <v>1.5499999999999999E-3</v>
      </c>
      <c r="B294" s="28">
        <f>IF('Tableaux amortissement proj (2'!D285&gt;0,'Tableaux amortissement proj (2'!D285,IF('Tableaux amortissement proj (2'!C285&gt;0,IF(AND(_echfixe1t,A294&gt;0),ROUND(('Tableaux amortissement proj (2'!K285-'Tableaux amortissement proj (2'!B285)*A294/(1-((1+A294)^-'Tableaux amortissement proj (2'!C285)),_nbdeci1t),ROUND('Tableaux amortissement proj (2'!K285/'Tableaux amortissement proj (2'!C285,_nbdeci1t)),B293))</f>
        <v>606.91999999999996</v>
      </c>
      <c r="C294" s="10"/>
      <c r="D294" s="10"/>
      <c r="E294" s="10"/>
      <c r="F294" s="10"/>
      <c r="H294" s="29">
        <f>IF('Tableaux amortissement proj (2'!Q285&gt;0,IF(_tauxactuariel1t1,(('Tableaux amortissement proj (2'!Q285+1)^(1/_nebchan1t))-1,'Tableaux amortissement proj (2'!Q285/_nebchan1t),H293)</f>
        <v>8.3333333333333339E-4</v>
      </c>
      <c r="I294" s="28">
        <f>IF('Tableaux amortissement proj (2'!T285&gt;0,'Tableaux amortissement proj (2'!T285,IF('Tableaux amortissement proj (2'!S285&gt;0,IF(AND(_echfixe12,H294&gt;0),ROUND(('Tableaux amortissement proj (2'!AA285-'Tableaux amortissement proj (2'!R285)*H294/(1-((1+H294)^-'Tableaux amortissement proj (2'!S285)),_nbdeci1t1),ROUND('Tableaux amortissement proj (2'!AA285/'Tableaux amortissement proj (2'!S285,_nbdeci1t1)),I293))</f>
        <v>240200</v>
      </c>
      <c r="J294" s="10"/>
      <c r="K294" s="10"/>
      <c r="L294" s="10"/>
      <c r="M294" s="10"/>
      <c r="O294" s="186">
        <v>292</v>
      </c>
    </row>
    <row r="295" spans="1:15" x14ac:dyDescent="0.2">
      <c r="A295" s="29">
        <f>IF('Tableaux amortissement proj (2'!A286&gt;0,IF(_tauxactuariel1t,(('Tableaux amortissement proj (2'!A286+1)^(1/_nbechan1t))-1,'Tableaux amortissement proj (2'!A286/_nbechan1t),A294)</f>
        <v>1.5499999999999999E-3</v>
      </c>
      <c r="B295" s="28">
        <f>IF('Tableaux amortissement proj (2'!D286&gt;0,'Tableaux amortissement proj (2'!D286,IF('Tableaux amortissement proj (2'!C286&gt;0,IF(AND(_echfixe1t,A295&gt;0),ROUND(('Tableaux amortissement proj (2'!K286-'Tableaux amortissement proj (2'!B286)*A295/(1-((1+A295)^-'Tableaux amortissement proj (2'!C286)),_nbdeci1t),ROUND('Tableaux amortissement proj (2'!K286/'Tableaux amortissement proj (2'!C286,_nbdeci1t)),B294))</f>
        <v>606.91999999999996</v>
      </c>
      <c r="C295" s="10"/>
      <c r="D295" s="10"/>
      <c r="E295" s="10"/>
      <c r="F295" s="10"/>
      <c r="H295" s="29">
        <f>IF('Tableaux amortissement proj (2'!Q286&gt;0,IF(_tauxactuariel1t1,(('Tableaux amortissement proj (2'!Q286+1)^(1/_nebchan1t))-1,'Tableaux amortissement proj (2'!Q286/_nebchan1t),H294)</f>
        <v>8.3333333333333339E-4</v>
      </c>
      <c r="I295" s="28">
        <f>IF('Tableaux amortissement proj (2'!T286&gt;0,'Tableaux amortissement proj (2'!T286,IF('Tableaux amortissement proj (2'!S286&gt;0,IF(AND(_echfixe12,H295&gt;0),ROUND(('Tableaux amortissement proj (2'!AA286-'Tableaux amortissement proj (2'!R286)*H295/(1-((1+H295)^-'Tableaux amortissement proj (2'!S286)),_nbdeci1t1),ROUND('Tableaux amortissement proj (2'!AA286/'Tableaux amortissement proj (2'!S286,_nbdeci1t1)),I294))</f>
        <v>240200</v>
      </c>
      <c r="J295" s="10"/>
      <c r="K295" s="10"/>
      <c r="L295" s="10"/>
      <c r="M295" s="10"/>
      <c r="O295" s="186">
        <v>293</v>
      </c>
    </row>
    <row r="296" spans="1:15" x14ac:dyDescent="0.2">
      <c r="A296" s="29">
        <f>IF('Tableaux amortissement proj (2'!A287&gt;0,IF(_tauxactuariel1t,(('Tableaux amortissement proj (2'!A287+1)^(1/_nbechan1t))-1,'Tableaux amortissement proj (2'!A287/_nbechan1t),A295)</f>
        <v>1.5499999999999999E-3</v>
      </c>
      <c r="B296" s="28">
        <f>IF('Tableaux amortissement proj (2'!D287&gt;0,'Tableaux amortissement proj (2'!D287,IF('Tableaux amortissement proj (2'!C287&gt;0,IF(AND(_echfixe1t,A296&gt;0),ROUND(('Tableaux amortissement proj (2'!K287-'Tableaux amortissement proj (2'!B287)*A296/(1-((1+A296)^-'Tableaux amortissement proj (2'!C287)),_nbdeci1t),ROUND('Tableaux amortissement proj (2'!K287/'Tableaux amortissement proj (2'!C287,_nbdeci1t)),B295))</f>
        <v>606.91999999999996</v>
      </c>
      <c r="C296" s="10"/>
      <c r="D296" s="10"/>
      <c r="E296" s="10"/>
      <c r="F296" s="10"/>
      <c r="H296" s="29">
        <f>IF('Tableaux amortissement proj (2'!Q287&gt;0,IF(_tauxactuariel1t1,(('Tableaux amortissement proj (2'!Q287+1)^(1/_nebchan1t))-1,'Tableaux amortissement proj (2'!Q287/_nebchan1t),H295)</f>
        <v>8.3333333333333339E-4</v>
      </c>
      <c r="I296" s="28">
        <f>IF('Tableaux amortissement proj (2'!T287&gt;0,'Tableaux amortissement proj (2'!T287,IF('Tableaux amortissement proj (2'!S287&gt;0,IF(AND(_echfixe12,H296&gt;0),ROUND(('Tableaux amortissement proj (2'!AA287-'Tableaux amortissement proj (2'!R287)*H296/(1-((1+H296)^-'Tableaux amortissement proj (2'!S287)),_nbdeci1t1),ROUND('Tableaux amortissement proj (2'!AA287/'Tableaux amortissement proj (2'!S287,_nbdeci1t1)),I295))</f>
        <v>240200</v>
      </c>
      <c r="J296" s="10"/>
      <c r="K296" s="10"/>
      <c r="L296" s="10"/>
      <c r="M296" s="10"/>
      <c r="O296" s="186">
        <v>294</v>
      </c>
    </row>
    <row r="297" spans="1:15" x14ac:dyDescent="0.2">
      <c r="A297" s="29">
        <f>IF('Tableaux amortissement proj (2'!A288&gt;0,IF(_tauxactuariel1t,(('Tableaux amortissement proj (2'!A288+1)^(1/_nbechan1t))-1,'Tableaux amortissement proj (2'!A288/_nbechan1t),A296)</f>
        <v>1.5499999999999999E-3</v>
      </c>
      <c r="B297" s="28">
        <f>IF('Tableaux amortissement proj (2'!D288&gt;0,'Tableaux amortissement proj (2'!D288,IF('Tableaux amortissement proj (2'!C288&gt;0,IF(AND(_echfixe1t,A297&gt;0),ROUND(('Tableaux amortissement proj (2'!K288-'Tableaux amortissement proj (2'!B288)*A297/(1-((1+A297)^-'Tableaux amortissement proj (2'!C288)),_nbdeci1t),ROUND('Tableaux amortissement proj (2'!K288/'Tableaux amortissement proj (2'!C288,_nbdeci1t)),B296))</f>
        <v>606.91999999999996</v>
      </c>
      <c r="C297" s="10"/>
      <c r="D297" s="10"/>
      <c r="E297" s="10"/>
      <c r="F297" s="10"/>
      <c r="H297" s="29">
        <f>IF('Tableaux amortissement proj (2'!Q288&gt;0,IF(_tauxactuariel1t1,(('Tableaux amortissement proj (2'!Q288+1)^(1/_nebchan1t))-1,'Tableaux amortissement proj (2'!Q288/_nebchan1t),H296)</f>
        <v>8.3333333333333339E-4</v>
      </c>
      <c r="I297" s="28">
        <f>IF('Tableaux amortissement proj (2'!T288&gt;0,'Tableaux amortissement proj (2'!T288,IF('Tableaux amortissement proj (2'!S288&gt;0,IF(AND(_echfixe12,H297&gt;0),ROUND(('Tableaux amortissement proj (2'!AA288-'Tableaux amortissement proj (2'!R288)*H297/(1-((1+H297)^-'Tableaux amortissement proj (2'!S288)),_nbdeci1t1),ROUND('Tableaux amortissement proj (2'!AA288/'Tableaux amortissement proj (2'!S288,_nbdeci1t1)),I296))</f>
        <v>240200</v>
      </c>
      <c r="J297" s="10"/>
      <c r="K297" s="10"/>
      <c r="L297" s="10"/>
      <c r="M297" s="10"/>
      <c r="O297" s="186">
        <v>295</v>
      </c>
    </row>
    <row r="298" spans="1:15" x14ac:dyDescent="0.2">
      <c r="A298" s="29">
        <f>IF('Tableaux amortissement proj (2'!A289&gt;0,IF(_tauxactuariel1t,(('Tableaux amortissement proj (2'!A289+1)^(1/_nbechan1t))-1,'Tableaux amortissement proj (2'!A289/_nbechan1t),A297)</f>
        <v>1.5499999999999999E-3</v>
      </c>
      <c r="B298" s="28">
        <f>IF('Tableaux amortissement proj (2'!D289&gt;0,'Tableaux amortissement proj (2'!D289,IF('Tableaux amortissement proj (2'!C289&gt;0,IF(AND(_echfixe1t,A298&gt;0),ROUND(('Tableaux amortissement proj (2'!K289-'Tableaux amortissement proj (2'!B289)*A298/(1-((1+A298)^-'Tableaux amortissement proj (2'!C289)),_nbdeci1t),ROUND('Tableaux amortissement proj (2'!K289/'Tableaux amortissement proj (2'!C289,_nbdeci1t)),B297))</f>
        <v>606.91999999999996</v>
      </c>
      <c r="C298" s="10"/>
      <c r="D298" s="10"/>
      <c r="E298" s="10"/>
      <c r="F298" s="10"/>
      <c r="H298" s="29">
        <f>IF('Tableaux amortissement proj (2'!Q289&gt;0,IF(_tauxactuariel1t1,(('Tableaux amortissement proj (2'!Q289+1)^(1/_nebchan1t))-1,'Tableaux amortissement proj (2'!Q289/_nebchan1t),H297)</f>
        <v>8.3333333333333339E-4</v>
      </c>
      <c r="I298" s="28">
        <f>IF('Tableaux amortissement proj (2'!T289&gt;0,'Tableaux amortissement proj (2'!T289,IF('Tableaux amortissement proj (2'!S289&gt;0,IF(AND(_echfixe12,H298&gt;0),ROUND(('Tableaux amortissement proj (2'!AA289-'Tableaux amortissement proj (2'!R289)*H298/(1-((1+H298)^-'Tableaux amortissement proj (2'!S289)),_nbdeci1t1),ROUND('Tableaux amortissement proj (2'!AA289/'Tableaux amortissement proj (2'!S289,_nbdeci1t1)),I297))</f>
        <v>240200</v>
      </c>
      <c r="J298" s="10"/>
      <c r="K298" s="10"/>
      <c r="L298" s="10"/>
      <c r="M298" s="10"/>
      <c r="O298" s="186">
        <v>296</v>
      </c>
    </row>
    <row r="299" spans="1:15" x14ac:dyDescent="0.2">
      <c r="A299" s="29">
        <f>IF('Tableaux amortissement proj (2'!A290&gt;0,IF(_tauxactuariel1t,(('Tableaux amortissement proj (2'!A290+1)^(1/_nbechan1t))-1,'Tableaux amortissement proj (2'!A290/_nbechan1t),A298)</f>
        <v>1.5499999999999999E-3</v>
      </c>
      <c r="B299" s="28">
        <f>IF('Tableaux amortissement proj (2'!D290&gt;0,'Tableaux amortissement proj (2'!D290,IF('Tableaux amortissement proj (2'!C290&gt;0,IF(AND(_echfixe1t,A299&gt;0),ROUND(('Tableaux amortissement proj (2'!K290-'Tableaux amortissement proj (2'!B290)*A299/(1-((1+A299)^-'Tableaux amortissement proj (2'!C290)),_nbdeci1t),ROUND('Tableaux amortissement proj (2'!K290/'Tableaux amortissement proj (2'!C290,_nbdeci1t)),B298))</f>
        <v>606.91999999999996</v>
      </c>
      <c r="C299" s="10"/>
      <c r="D299" s="10"/>
      <c r="E299" s="10"/>
      <c r="F299" s="10"/>
      <c r="H299" s="29">
        <f>IF('Tableaux amortissement proj (2'!Q290&gt;0,IF(_tauxactuariel1t1,(('Tableaux amortissement proj (2'!Q290+1)^(1/_nebchan1t))-1,'Tableaux amortissement proj (2'!Q290/_nebchan1t),H298)</f>
        <v>8.3333333333333339E-4</v>
      </c>
      <c r="I299" s="28">
        <f>IF('Tableaux amortissement proj (2'!T290&gt;0,'Tableaux amortissement proj (2'!T290,IF('Tableaux amortissement proj (2'!S290&gt;0,IF(AND(_echfixe12,H299&gt;0),ROUND(('Tableaux amortissement proj (2'!AA290-'Tableaux amortissement proj (2'!R290)*H299/(1-((1+H299)^-'Tableaux amortissement proj (2'!S290)),_nbdeci1t1),ROUND('Tableaux amortissement proj (2'!AA290/'Tableaux amortissement proj (2'!S290,_nbdeci1t1)),I298))</f>
        <v>240200</v>
      </c>
      <c r="J299" s="10"/>
      <c r="K299" s="10"/>
      <c r="L299" s="10"/>
      <c r="M299" s="10"/>
      <c r="O299" s="186">
        <v>297</v>
      </c>
    </row>
    <row r="300" spans="1:15" x14ac:dyDescent="0.2">
      <c r="A300" s="29">
        <f>IF('Tableaux amortissement proj (2'!A291&gt;0,IF(_tauxactuariel1t,(('Tableaux amortissement proj (2'!A291+1)^(1/_nbechan1t))-1,'Tableaux amortissement proj (2'!A291/_nbechan1t),A299)</f>
        <v>1.5499999999999999E-3</v>
      </c>
      <c r="B300" s="28">
        <f>IF('Tableaux amortissement proj (2'!D291&gt;0,'Tableaux amortissement proj (2'!D291,IF('Tableaux amortissement proj (2'!C291&gt;0,IF(AND(_echfixe1t,A300&gt;0),ROUND(('Tableaux amortissement proj (2'!K291-'Tableaux amortissement proj (2'!B291)*A300/(1-((1+A300)^-'Tableaux amortissement proj (2'!C291)),_nbdeci1t),ROUND('Tableaux amortissement proj (2'!K291/'Tableaux amortissement proj (2'!C291,_nbdeci1t)),B299))</f>
        <v>606.91999999999996</v>
      </c>
      <c r="C300" s="10"/>
      <c r="D300" s="10"/>
      <c r="E300" s="10"/>
      <c r="F300" s="10"/>
      <c r="H300" s="29">
        <f>IF('Tableaux amortissement proj (2'!Q291&gt;0,IF(_tauxactuariel1t1,(('Tableaux amortissement proj (2'!Q291+1)^(1/_nebchan1t))-1,'Tableaux amortissement proj (2'!Q291/_nebchan1t),H299)</f>
        <v>8.3333333333333339E-4</v>
      </c>
      <c r="I300" s="28">
        <f>IF('Tableaux amortissement proj (2'!T291&gt;0,'Tableaux amortissement proj (2'!T291,IF('Tableaux amortissement proj (2'!S291&gt;0,IF(AND(_echfixe12,H300&gt;0),ROUND(('Tableaux amortissement proj (2'!AA291-'Tableaux amortissement proj (2'!R291)*H300/(1-((1+H300)^-'Tableaux amortissement proj (2'!S291)),_nbdeci1t1),ROUND('Tableaux amortissement proj (2'!AA291/'Tableaux amortissement proj (2'!S291,_nbdeci1t1)),I299))</f>
        <v>240200</v>
      </c>
      <c r="J300" s="10"/>
      <c r="K300" s="10"/>
      <c r="L300" s="10"/>
      <c r="M300" s="10"/>
      <c r="O300" s="186">
        <v>298</v>
      </c>
    </row>
    <row r="301" spans="1:15" x14ac:dyDescent="0.2">
      <c r="A301" s="29">
        <f>IF('Tableaux amortissement proj (2'!A292&gt;0,IF(_tauxactuariel1t,(('Tableaux amortissement proj (2'!A292+1)^(1/_nbechan1t))-1,'Tableaux amortissement proj (2'!A292/_nbechan1t),A300)</f>
        <v>1.5499999999999999E-3</v>
      </c>
      <c r="B301" s="28">
        <f>IF('Tableaux amortissement proj (2'!D292&gt;0,'Tableaux amortissement proj (2'!D292,IF('Tableaux amortissement proj (2'!C292&gt;0,IF(AND(_echfixe1t,A301&gt;0),ROUND(('Tableaux amortissement proj (2'!K292-'Tableaux amortissement proj (2'!B292)*A301/(1-((1+A301)^-'Tableaux amortissement proj (2'!C292)),_nbdeci1t),ROUND('Tableaux amortissement proj (2'!K292/'Tableaux amortissement proj (2'!C292,_nbdeci1t)),B300))</f>
        <v>606.91999999999996</v>
      </c>
      <c r="C301" s="10"/>
      <c r="D301" s="10"/>
      <c r="E301" s="10"/>
      <c r="F301" s="10"/>
      <c r="H301" s="29">
        <f>IF('Tableaux amortissement proj (2'!Q292&gt;0,IF(_tauxactuariel1t1,(('Tableaux amortissement proj (2'!Q292+1)^(1/_nebchan1t))-1,'Tableaux amortissement proj (2'!Q292/_nebchan1t),H300)</f>
        <v>8.3333333333333339E-4</v>
      </c>
      <c r="I301" s="28">
        <f>IF('Tableaux amortissement proj (2'!T292&gt;0,'Tableaux amortissement proj (2'!T292,IF('Tableaux amortissement proj (2'!S292&gt;0,IF(AND(_echfixe12,H301&gt;0),ROUND(('Tableaux amortissement proj (2'!AA292-'Tableaux amortissement proj (2'!R292)*H301/(1-((1+H301)^-'Tableaux amortissement proj (2'!S292)),_nbdeci1t1),ROUND('Tableaux amortissement proj (2'!AA292/'Tableaux amortissement proj (2'!S292,_nbdeci1t1)),I300))</f>
        <v>240200</v>
      </c>
      <c r="J301" s="10"/>
      <c r="K301" s="10"/>
      <c r="L301" s="10"/>
      <c r="M301" s="10"/>
      <c r="O301" s="186">
        <v>299</v>
      </c>
    </row>
    <row r="302" spans="1:15" x14ac:dyDescent="0.2">
      <c r="A302" s="29">
        <f>IF('Tableaux amortissement proj (2'!A293&gt;0,IF(_tauxactuariel1t,(('Tableaux amortissement proj (2'!A293+1)^(1/_nbechan1t))-1,'Tableaux amortissement proj (2'!A293/_nbechan1t),A301)</f>
        <v>1.5499999999999999E-3</v>
      </c>
      <c r="B302" s="28">
        <f>IF('Tableaux amortissement proj (2'!D293&gt;0,'Tableaux amortissement proj (2'!D293,IF('Tableaux amortissement proj (2'!C293&gt;0,IF(AND(_echfixe1t,A302&gt;0),ROUND(('Tableaux amortissement proj (2'!K293-'Tableaux amortissement proj (2'!B293)*A302/(1-((1+A302)^-'Tableaux amortissement proj (2'!C293)),_nbdeci1t),ROUND('Tableaux amortissement proj (2'!K293/'Tableaux amortissement proj (2'!C293,_nbdeci1t)),B301))</f>
        <v>606.91999999999996</v>
      </c>
      <c r="C302" s="10"/>
      <c r="D302" s="10"/>
      <c r="E302" s="10"/>
      <c r="F302" s="10"/>
      <c r="H302" s="29">
        <f>IF('Tableaux amortissement proj (2'!Q293&gt;0,IF(_tauxactuariel1t1,(('Tableaux amortissement proj (2'!Q293+1)^(1/_nebchan1t))-1,'Tableaux amortissement proj (2'!Q293/_nebchan1t),H301)</f>
        <v>8.3333333333333339E-4</v>
      </c>
      <c r="I302" s="28">
        <f>IF('Tableaux amortissement proj (2'!T293&gt;0,'Tableaux amortissement proj (2'!T293,IF('Tableaux amortissement proj (2'!S293&gt;0,IF(AND(_echfixe12,H302&gt;0),ROUND(('Tableaux amortissement proj (2'!AA293-'Tableaux amortissement proj (2'!R293)*H302/(1-((1+H302)^-'Tableaux amortissement proj (2'!S293)),_nbdeci1t1),ROUND('Tableaux amortissement proj (2'!AA293/'Tableaux amortissement proj (2'!S293,_nbdeci1t1)),I301))</f>
        <v>240200</v>
      </c>
      <c r="J302" s="10"/>
      <c r="K302" s="10"/>
      <c r="L302" s="10"/>
      <c r="M302" s="10"/>
      <c r="O302" s="186">
        <v>300</v>
      </c>
    </row>
    <row r="303" spans="1:15" x14ac:dyDescent="0.2">
      <c r="A303" s="29">
        <f>IF('Tableaux amortissement proj (2'!A294&gt;0,IF(_tauxactuariel1t,(('Tableaux amortissement proj (2'!A294+1)^(1/_nbechan1t))-1,'Tableaux amortissement proj (2'!A294/_nbechan1t),A302)</f>
        <v>1.5499999999999999E-3</v>
      </c>
      <c r="B303" s="28">
        <f>IF('Tableaux amortissement proj (2'!D294&gt;0,'Tableaux amortissement proj (2'!D294,IF('Tableaux amortissement proj (2'!C294&gt;0,IF(AND(_echfixe1t,A303&gt;0),ROUND(('Tableaux amortissement proj (2'!K294-'Tableaux amortissement proj (2'!B294)*A303/(1-((1+A303)^-'Tableaux amortissement proj (2'!C294)),_nbdeci1t),ROUND('Tableaux amortissement proj (2'!K294/'Tableaux amortissement proj (2'!C294,_nbdeci1t)),B302))</f>
        <v>606.91999999999996</v>
      </c>
      <c r="C303" s="10"/>
      <c r="D303" s="10"/>
      <c r="E303" s="10"/>
      <c r="F303" s="10"/>
      <c r="H303" s="29">
        <f>IF('Tableaux amortissement proj (2'!Q294&gt;0,IF(_tauxactuariel1t1,(('Tableaux amortissement proj (2'!Q294+1)^(1/_nebchan1t))-1,'Tableaux amortissement proj (2'!Q294/_nebchan1t),H302)</f>
        <v>8.3333333333333339E-4</v>
      </c>
      <c r="I303" s="28">
        <f>IF('Tableaux amortissement proj (2'!T294&gt;0,'Tableaux amortissement proj (2'!T294,IF('Tableaux amortissement proj (2'!S294&gt;0,IF(AND(_echfixe12,H303&gt;0),ROUND(('Tableaux amortissement proj (2'!AA294-'Tableaux amortissement proj (2'!R294)*H303/(1-((1+H303)^-'Tableaux amortissement proj (2'!S294)),_nbdeci1t1),ROUND('Tableaux amortissement proj (2'!AA294/'Tableaux amortissement proj (2'!S294,_nbdeci1t1)),I302))</f>
        <v>240200</v>
      </c>
      <c r="J303" s="10"/>
      <c r="K303" s="10"/>
      <c r="L303" s="10"/>
      <c r="M303" s="10"/>
      <c r="O303" s="186">
        <v>301</v>
      </c>
    </row>
    <row r="304" spans="1:15" x14ac:dyDescent="0.2">
      <c r="A304" s="29">
        <f>IF('Tableaux amortissement proj (2'!A295&gt;0,IF(_tauxactuariel1t,(('Tableaux amortissement proj (2'!A295+1)^(1/_nbechan1t))-1,'Tableaux amortissement proj (2'!A295/_nbechan1t),A303)</f>
        <v>1.5499999999999999E-3</v>
      </c>
      <c r="B304" s="28">
        <f>IF('Tableaux amortissement proj (2'!D295&gt;0,'Tableaux amortissement proj (2'!D295,IF('Tableaux amortissement proj (2'!C295&gt;0,IF(AND(_echfixe1t,A304&gt;0),ROUND(('Tableaux amortissement proj (2'!K295-'Tableaux amortissement proj (2'!B295)*A304/(1-((1+A304)^-'Tableaux amortissement proj (2'!C295)),_nbdeci1t),ROUND('Tableaux amortissement proj (2'!K295/'Tableaux amortissement proj (2'!C295,_nbdeci1t)),B303))</f>
        <v>606.91999999999996</v>
      </c>
      <c r="C304" s="10"/>
      <c r="D304" s="10"/>
      <c r="E304" s="10"/>
      <c r="F304" s="10"/>
      <c r="H304" s="29">
        <f>IF('Tableaux amortissement proj (2'!Q295&gt;0,IF(_tauxactuariel1t1,(('Tableaux amortissement proj (2'!Q295+1)^(1/_nebchan1t))-1,'Tableaux amortissement proj (2'!Q295/_nebchan1t),H303)</f>
        <v>8.3333333333333339E-4</v>
      </c>
      <c r="I304" s="28">
        <f>IF('Tableaux amortissement proj (2'!T295&gt;0,'Tableaux amortissement proj (2'!T295,IF('Tableaux amortissement proj (2'!S295&gt;0,IF(AND(_echfixe12,H304&gt;0),ROUND(('Tableaux amortissement proj (2'!AA295-'Tableaux amortissement proj (2'!R295)*H304/(1-((1+H304)^-'Tableaux amortissement proj (2'!S295)),_nbdeci1t1),ROUND('Tableaux amortissement proj (2'!AA295/'Tableaux amortissement proj (2'!S295,_nbdeci1t1)),I303))</f>
        <v>240200</v>
      </c>
      <c r="J304" s="10"/>
      <c r="K304" s="10"/>
      <c r="L304" s="10"/>
      <c r="M304" s="10"/>
      <c r="O304" s="186">
        <v>302</v>
      </c>
    </row>
    <row r="305" spans="1:15" x14ac:dyDescent="0.2">
      <c r="A305" s="29">
        <f>IF('Tableaux amortissement proj (2'!A296&gt;0,IF(_tauxactuariel1t,(('Tableaux amortissement proj (2'!A296+1)^(1/_nbechan1t))-1,'Tableaux amortissement proj (2'!A296/_nbechan1t),A304)</f>
        <v>1.5499999999999999E-3</v>
      </c>
      <c r="B305" s="28">
        <f>IF('Tableaux amortissement proj (2'!D296&gt;0,'Tableaux amortissement proj (2'!D296,IF('Tableaux amortissement proj (2'!C296&gt;0,IF(AND(_echfixe1t,A305&gt;0),ROUND(('Tableaux amortissement proj (2'!K296-'Tableaux amortissement proj (2'!B296)*A305/(1-((1+A305)^-'Tableaux amortissement proj (2'!C296)),_nbdeci1t),ROUND('Tableaux amortissement proj (2'!K296/'Tableaux amortissement proj (2'!C296,_nbdeci1t)),B304))</f>
        <v>606.91999999999996</v>
      </c>
      <c r="C305" s="10"/>
      <c r="D305" s="10"/>
      <c r="E305" s="10"/>
      <c r="F305" s="10"/>
      <c r="H305" s="29">
        <f>IF('Tableaux amortissement proj (2'!Q296&gt;0,IF(_tauxactuariel1t1,(('Tableaux amortissement proj (2'!Q296+1)^(1/_nebchan1t))-1,'Tableaux amortissement proj (2'!Q296/_nebchan1t),H304)</f>
        <v>8.3333333333333339E-4</v>
      </c>
      <c r="I305" s="28">
        <f>IF('Tableaux amortissement proj (2'!T296&gt;0,'Tableaux amortissement proj (2'!T296,IF('Tableaux amortissement proj (2'!S296&gt;0,IF(AND(_echfixe12,H305&gt;0),ROUND(('Tableaux amortissement proj (2'!AA296-'Tableaux amortissement proj (2'!R296)*H305/(1-((1+H305)^-'Tableaux amortissement proj (2'!S296)),_nbdeci1t1),ROUND('Tableaux amortissement proj (2'!AA296/'Tableaux amortissement proj (2'!S296,_nbdeci1t1)),I304))</f>
        <v>240200</v>
      </c>
      <c r="J305" s="10"/>
      <c r="K305" s="10"/>
      <c r="L305" s="10"/>
      <c r="M305" s="10"/>
      <c r="O305" s="186">
        <v>303</v>
      </c>
    </row>
    <row r="306" spans="1:15" x14ac:dyDescent="0.2">
      <c r="A306" s="29">
        <f>IF('Tableaux amortissement proj (2'!A297&gt;0,IF(_tauxactuariel1t,(('Tableaux amortissement proj (2'!A297+1)^(1/_nbechan1t))-1,'Tableaux amortissement proj (2'!A297/_nbechan1t),A305)</f>
        <v>1.5499999999999999E-3</v>
      </c>
      <c r="B306" s="28">
        <f>IF('Tableaux amortissement proj (2'!D297&gt;0,'Tableaux amortissement proj (2'!D297,IF('Tableaux amortissement proj (2'!C297&gt;0,IF(AND(_echfixe1t,A306&gt;0),ROUND(('Tableaux amortissement proj (2'!K297-'Tableaux amortissement proj (2'!B297)*A306/(1-((1+A306)^-'Tableaux amortissement proj (2'!C297)),_nbdeci1t),ROUND('Tableaux amortissement proj (2'!K297/'Tableaux amortissement proj (2'!C297,_nbdeci1t)),B305))</f>
        <v>606.91999999999996</v>
      </c>
      <c r="C306" s="10"/>
      <c r="D306" s="10"/>
      <c r="E306" s="10"/>
      <c r="F306" s="10"/>
      <c r="H306" s="29">
        <f>IF('Tableaux amortissement proj (2'!Q297&gt;0,IF(_tauxactuariel1t1,(('Tableaux amortissement proj (2'!Q297+1)^(1/_nebchan1t))-1,'Tableaux amortissement proj (2'!Q297/_nebchan1t),H305)</f>
        <v>8.3333333333333339E-4</v>
      </c>
      <c r="I306" s="28">
        <f>IF('Tableaux amortissement proj (2'!T297&gt;0,'Tableaux amortissement proj (2'!T297,IF('Tableaux amortissement proj (2'!S297&gt;0,IF(AND(_echfixe12,H306&gt;0),ROUND(('Tableaux amortissement proj (2'!AA297-'Tableaux amortissement proj (2'!R297)*H306/(1-((1+H306)^-'Tableaux amortissement proj (2'!S297)),_nbdeci1t1),ROUND('Tableaux amortissement proj (2'!AA297/'Tableaux amortissement proj (2'!S297,_nbdeci1t1)),I305))</f>
        <v>240200</v>
      </c>
      <c r="J306" s="10"/>
      <c r="K306" s="10"/>
      <c r="L306" s="10"/>
      <c r="M306" s="10"/>
      <c r="O306" s="186">
        <v>304</v>
      </c>
    </row>
    <row r="307" spans="1:15" x14ac:dyDescent="0.2">
      <c r="A307" s="29">
        <f>IF('Tableaux amortissement proj (2'!A298&gt;0,IF(_tauxactuariel1t,(('Tableaux amortissement proj (2'!A298+1)^(1/_nbechan1t))-1,'Tableaux amortissement proj (2'!A298/_nbechan1t),A306)</f>
        <v>1.5499999999999999E-3</v>
      </c>
      <c r="B307" s="28">
        <f>IF('Tableaux amortissement proj (2'!D298&gt;0,'Tableaux amortissement proj (2'!D298,IF('Tableaux amortissement proj (2'!C298&gt;0,IF(AND(_echfixe1t,A307&gt;0),ROUND(('Tableaux amortissement proj (2'!K298-'Tableaux amortissement proj (2'!B298)*A307/(1-((1+A307)^-'Tableaux amortissement proj (2'!C298)),_nbdeci1t),ROUND('Tableaux amortissement proj (2'!K298/'Tableaux amortissement proj (2'!C298,_nbdeci1t)),B306))</f>
        <v>606.91999999999996</v>
      </c>
      <c r="C307" s="10"/>
      <c r="D307" s="10"/>
      <c r="E307" s="10"/>
      <c r="F307" s="10"/>
      <c r="H307" s="29">
        <f>IF('Tableaux amortissement proj (2'!Q298&gt;0,IF(_tauxactuariel1t1,(('Tableaux amortissement proj (2'!Q298+1)^(1/_nebchan1t))-1,'Tableaux amortissement proj (2'!Q298/_nebchan1t),H306)</f>
        <v>8.3333333333333339E-4</v>
      </c>
      <c r="I307" s="28">
        <f>IF('Tableaux amortissement proj (2'!T298&gt;0,'Tableaux amortissement proj (2'!T298,IF('Tableaux amortissement proj (2'!S298&gt;0,IF(AND(_echfixe12,H307&gt;0),ROUND(('Tableaux amortissement proj (2'!AA298-'Tableaux amortissement proj (2'!R298)*H307/(1-((1+H307)^-'Tableaux amortissement proj (2'!S298)),_nbdeci1t1),ROUND('Tableaux amortissement proj (2'!AA298/'Tableaux amortissement proj (2'!S298,_nbdeci1t1)),I306))</f>
        <v>240200</v>
      </c>
      <c r="J307" s="10"/>
      <c r="K307" s="10"/>
      <c r="L307" s="10"/>
      <c r="M307" s="10"/>
      <c r="O307" s="186">
        <v>305</v>
      </c>
    </row>
    <row r="308" spans="1:15" x14ac:dyDescent="0.2">
      <c r="A308" s="29">
        <f>IF('Tableaux amortissement proj (2'!A299&gt;0,IF(_tauxactuariel1t,(('Tableaux amortissement proj (2'!A299+1)^(1/_nbechan1t))-1,'Tableaux amortissement proj (2'!A299/_nbechan1t),A307)</f>
        <v>1.5499999999999999E-3</v>
      </c>
      <c r="B308" s="28">
        <f>IF('Tableaux amortissement proj (2'!D299&gt;0,'Tableaux amortissement proj (2'!D299,IF('Tableaux amortissement proj (2'!C299&gt;0,IF(AND(_echfixe1t,A308&gt;0),ROUND(('Tableaux amortissement proj (2'!K299-'Tableaux amortissement proj (2'!B299)*A308/(1-((1+A308)^-'Tableaux amortissement proj (2'!C299)),_nbdeci1t),ROUND('Tableaux amortissement proj (2'!K299/'Tableaux amortissement proj (2'!C299,_nbdeci1t)),B307))</f>
        <v>606.91999999999996</v>
      </c>
      <c r="C308" s="10"/>
      <c r="D308" s="10"/>
      <c r="E308" s="10"/>
      <c r="F308" s="10"/>
      <c r="H308" s="29">
        <f>IF('Tableaux amortissement proj (2'!Q299&gt;0,IF(_tauxactuariel1t1,(('Tableaux amortissement proj (2'!Q299+1)^(1/_nebchan1t))-1,'Tableaux amortissement proj (2'!Q299/_nebchan1t),H307)</f>
        <v>8.3333333333333339E-4</v>
      </c>
      <c r="I308" s="28">
        <f>IF('Tableaux amortissement proj (2'!T299&gt;0,'Tableaux amortissement proj (2'!T299,IF('Tableaux amortissement proj (2'!S299&gt;0,IF(AND(_echfixe12,H308&gt;0),ROUND(('Tableaux amortissement proj (2'!AA299-'Tableaux amortissement proj (2'!R299)*H308/(1-((1+H308)^-'Tableaux amortissement proj (2'!S299)),_nbdeci1t1),ROUND('Tableaux amortissement proj (2'!AA299/'Tableaux amortissement proj (2'!S299,_nbdeci1t1)),I307))</f>
        <v>240200</v>
      </c>
      <c r="J308" s="10"/>
      <c r="K308" s="10"/>
      <c r="L308" s="10"/>
      <c r="M308" s="10"/>
      <c r="O308" s="186">
        <v>306</v>
      </c>
    </row>
    <row r="309" spans="1:15" x14ac:dyDescent="0.2">
      <c r="A309" s="29">
        <f>IF('Tableaux amortissement proj (2'!A300&gt;0,IF(_tauxactuariel1t,(('Tableaux amortissement proj (2'!A300+1)^(1/_nbechan1t))-1,'Tableaux amortissement proj (2'!A300/_nbechan1t),A308)</f>
        <v>1.5499999999999999E-3</v>
      </c>
      <c r="B309" s="28">
        <f>IF('Tableaux amortissement proj (2'!D300&gt;0,'Tableaux amortissement proj (2'!D300,IF('Tableaux amortissement proj (2'!C300&gt;0,IF(AND(_echfixe1t,A309&gt;0),ROUND(('Tableaux amortissement proj (2'!K300-'Tableaux amortissement proj (2'!B300)*A309/(1-((1+A309)^-'Tableaux amortissement proj (2'!C300)),_nbdeci1t),ROUND('Tableaux amortissement proj (2'!K300/'Tableaux amortissement proj (2'!C300,_nbdeci1t)),B308))</f>
        <v>606.91999999999996</v>
      </c>
      <c r="C309" s="10"/>
      <c r="D309" s="10"/>
      <c r="E309" s="10"/>
      <c r="F309" s="10"/>
      <c r="H309" s="29">
        <f>IF('Tableaux amortissement proj (2'!Q300&gt;0,IF(_tauxactuariel1t1,(('Tableaux amortissement proj (2'!Q300+1)^(1/_nebchan1t))-1,'Tableaux amortissement proj (2'!Q300/_nebchan1t),H308)</f>
        <v>8.3333333333333339E-4</v>
      </c>
      <c r="I309" s="28">
        <f>IF('Tableaux amortissement proj (2'!T300&gt;0,'Tableaux amortissement proj (2'!T300,IF('Tableaux amortissement proj (2'!S300&gt;0,IF(AND(_echfixe12,H309&gt;0),ROUND(('Tableaux amortissement proj (2'!AA300-'Tableaux amortissement proj (2'!R300)*H309/(1-((1+H309)^-'Tableaux amortissement proj (2'!S300)),_nbdeci1t1),ROUND('Tableaux amortissement proj (2'!AA300/'Tableaux amortissement proj (2'!S300,_nbdeci1t1)),I308))</f>
        <v>240200</v>
      </c>
      <c r="J309" s="10"/>
      <c r="K309" s="10"/>
      <c r="L309" s="10"/>
      <c r="M309" s="10"/>
      <c r="O309" s="186">
        <v>307</v>
      </c>
    </row>
    <row r="310" spans="1:15" x14ac:dyDescent="0.2">
      <c r="A310" s="29">
        <f>IF('Tableaux amortissement proj (2'!A301&gt;0,IF(_tauxactuariel1t,(('Tableaux amortissement proj (2'!A301+1)^(1/_nbechan1t))-1,'Tableaux amortissement proj (2'!A301/_nbechan1t),A309)</f>
        <v>1.5499999999999999E-3</v>
      </c>
      <c r="B310" s="28">
        <f>IF('Tableaux amortissement proj (2'!D301&gt;0,'Tableaux amortissement proj (2'!D301,IF('Tableaux amortissement proj (2'!C301&gt;0,IF(AND(_echfixe1t,A310&gt;0),ROUND(('Tableaux amortissement proj (2'!K301-'Tableaux amortissement proj (2'!B301)*A310/(1-((1+A310)^-'Tableaux amortissement proj (2'!C301)),_nbdeci1t),ROUND('Tableaux amortissement proj (2'!K301/'Tableaux amortissement proj (2'!C301,_nbdeci1t)),B309))</f>
        <v>606.91999999999996</v>
      </c>
      <c r="C310" s="10"/>
      <c r="D310" s="10"/>
      <c r="E310" s="10"/>
      <c r="F310" s="10"/>
      <c r="H310" s="29">
        <f>IF('Tableaux amortissement proj (2'!Q301&gt;0,IF(_tauxactuariel1t1,(('Tableaux amortissement proj (2'!Q301+1)^(1/_nebchan1t))-1,'Tableaux amortissement proj (2'!Q301/_nebchan1t),H309)</f>
        <v>8.3333333333333339E-4</v>
      </c>
      <c r="I310" s="28">
        <f>IF('Tableaux amortissement proj (2'!T301&gt;0,'Tableaux amortissement proj (2'!T301,IF('Tableaux amortissement proj (2'!S301&gt;0,IF(AND(_echfixe12,H310&gt;0),ROUND(('Tableaux amortissement proj (2'!AA301-'Tableaux amortissement proj (2'!R301)*H310/(1-((1+H310)^-'Tableaux amortissement proj (2'!S301)),_nbdeci1t1),ROUND('Tableaux amortissement proj (2'!AA301/'Tableaux amortissement proj (2'!S301,_nbdeci1t1)),I309))</f>
        <v>240200</v>
      </c>
      <c r="J310" s="10"/>
      <c r="K310" s="10"/>
      <c r="L310" s="10"/>
      <c r="M310" s="10"/>
      <c r="O310" s="186">
        <v>308</v>
      </c>
    </row>
    <row r="311" spans="1:15" x14ac:dyDescent="0.2">
      <c r="A311" s="29">
        <f>IF('Tableaux amortissement proj (2'!A302&gt;0,IF(_tauxactuariel1t,(('Tableaux amortissement proj (2'!A302+1)^(1/_nbechan1t))-1,'Tableaux amortissement proj (2'!A302/_nbechan1t),A310)</f>
        <v>1.5499999999999999E-3</v>
      </c>
      <c r="B311" s="28">
        <f>IF('Tableaux amortissement proj (2'!D302&gt;0,'Tableaux amortissement proj (2'!D302,IF('Tableaux amortissement proj (2'!C302&gt;0,IF(AND(_echfixe1t,A311&gt;0),ROUND(('Tableaux amortissement proj (2'!K302-'Tableaux amortissement proj (2'!B302)*A311/(1-((1+A311)^-'Tableaux amortissement proj (2'!C302)),_nbdeci1t),ROUND('Tableaux amortissement proj (2'!K302/'Tableaux amortissement proj (2'!C302,_nbdeci1t)),B310))</f>
        <v>606.91999999999996</v>
      </c>
      <c r="C311" s="10"/>
      <c r="D311" s="10"/>
      <c r="E311" s="10"/>
      <c r="F311" s="10"/>
      <c r="H311" s="29">
        <f>IF('Tableaux amortissement proj (2'!Q302&gt;0,IF(_tauxactuariel1t1,(('Tableaux amortissement proj (2'!Q302+1)^(1/_nebchan1t))-1,'Tableaux amortissement proj (2'!Q302/_nebchan1t),H310)</f>
        <v>8.3333333333333339E-4</v>
      </c>
      <c r="I311" s="28">
        <f>IF('Tableaux amortissement proj (2'!T302&gt;0,'Tableaux amortissement proj (2'!T302,IF('Tableaux amortissement proj (2'!S302&gt;0,IF(AND(_echfixe12,H311&gt;0),ROUND(('Tableaux amortissement proj (2'!AA302-'Tableaux amortissement proj (2'!R302)*H311/(1-((1+H311)^-'Tableaux amortissement proj (2'!S302)),_nbdeci1t1),ROUND('Tableaux amortissement proj (2'!AA302/'Tableaux amortissement proj (2'!S302,_nbdeci1t1)),I310))</f>
        <v>240200</v>
      </c>
      <c r="J311" s="10"/>
      <c r="K311" s="10"/>
      <c r="L311" s="10"/>
      <c r="M311" s="10"/>
      <c r="O311" s="186">
        <v>309</v>
      </c>
    </row>
    <row r="312" spans="1:15" x14ac:dyDescent="0.2">
      <c r="A312" s="29">
        <f>IF('Tableaux amortissement proj (2'!A303&gt;0,IF(_tauxactuariel1t,(('Tableaux amortissement proj (2'!A303+1)^(1/_nbechan1t))-1,'Tableaux amortissement proj (2'!A303/_nbechan1t),A311)</f>
        <v>1.5499999999999999E-3</v>
      </c>
      <c r="B312" s="28">
        <f>IF('Tableaux amortissement proj (2'!D303&gt;0,'Tableaux amortissement proj (2'!D303,IF('Tableaux amortissement proj (2'!C303&gt;0,IF(AND(_echfixe1t,A312&gt;0),ROUND(('Tableaux amortissement proj (2'!K303-'Tableaux amortissement proj (2'!B303)*A312/(1-((1+A312)^-'Tableaux amortissement proj (2'!C303)),_nbdeci1t),ROUND('Tableaux amortissement proj (2'!K303/'Tableaux amortissement proj (2'!C303,_nbdeci1t)),B311))</f>
        <v>606.91999999999996</v>
      </c>
      <c r="C312" s="10"/>
      <c r="D312" s="10"/>
      <c r="E312" s="10"/>
      <c r="F312" s="10"/>
      <c r="H312" s="29">
        <f>IF('Tableaux amortissement proj (2'!Q303&gt;0,IF(_tauxactuariel1t1,(('Tableaux amortissement proj (2'!Q303+1)^(1/_nebchan1t))-1,'Tableaux amortissement proj (2'!Q303/_nebchan1t),H311)</f>
        <v>8.3333333333333339E-4</v>
      </c>
      <c r="I312" s="28">
        <f>IF('Tableaux amortissement proj (2'!T303&gt;0,'Tableaux amortissement proj (2'!T303,IF('Tableaux amortissement proj (2'!S303&gt;0,IF(AND(_echfixe12,H312&gt;0),ROUND(('Tableaux amortissement proj (2'!AA303-'Tableaux amortissement proj (2'!R303)*H312/(1-((1+H312)^-'Tableaux amortissement proj (2'!S303)),_nbdeci1t1),ROUND('Tableaux amortissement proj (2'!AA303/'Tableaux amortissement proj (2'!S303,_nbdeci1t1)),I311))</f>
        <v>240200</v>
      </c>
      <c r="J312" s="10"/>
      <c r="K312" s="10"/>
      <c r="L312" s="10"/>
      <c r="M312" s="10"/>
      <c r="O312" s="186">
        <v>310</v>
      </c>
    </row>
    <row r="313" spans="1:15" x14ac:dyDescent="0.2">
      <c r="A313" s="29">
        <f>IF('Tableaux amortissement proj (2'!A304&gt;0,IF(_tauxactuariel1t,(('Tableaux amortissement proj (2'!A304+1)^(1/_nbechan1t))-1,'Tableaux amortissement proj (2'!A304/_nbechan1t),A312)</f>
        <v>1.5499999999999999E-3</v>
      </c>
      <c r="B313" s="28">
        <f>IF('Tableaux amortissement proj (2'!D304&gt;0,'Tableaux amortissement proj (2'!D304,IF('Tableaux amortissement proj (2'!C304&gt;0,IF(AND(_echfixe1t,A313&gt;0),ROUND(('Tableaux amortissement proj (2'!K304-'Tableaux amortissement proj (2'!B304)*A313/(1-((1+A313)^-'Tableaux amortissement proj (2'!C304)),_nbdeci1t),ROUND('Tableaux amortissement proj (2'!K304/'Tableaux amortissement proj (2'!C304,_nbdeci1t)),B312))</f>
        <v>606.91999999999996</v>
      </c>
      <c r="C313" s="10"/>
      <c r="D313" s="10"/>
      <c r="E313" s="10"/>
      <c r="F313" s="10"/>
      <c r="H313" s="29">
        <f>IF('Tableaux amortissement proj (2'!Q304&gt;0,IF(_tauxactuariel1t1,(('Tableaux amortissement proj (2'!Q304+1)^(1/_nebchan1t))-1,'Tableaux amortissement proj (2'!Q304/_nebchan1t),H312)</f>
        <v>8.3333333333333339E-4</v>
      </c>
      <c r="I313" s="28">
        <f>IF('Tableaux amortissement proj (2'!T304&gt;0,'Tableaux amortissement proj (2'!T304,IF('Tableaux amortissement proj (2'!S304&gt;0,IF(AND(_echfixe12,H313&gt;0),ROUND(('Tableaux amortissement proj (2'!AA304-'Tableaux amortissement proj (2'!R304)*H313/(1-((1+H313)^-'Tableaux amortissement proj (2'!S304)),_nbdeci1t1),ROUND('Tableaux amortissement proj (2'!AA304/'Tableaux amortissement proj (2'!S304,_nbdeci1t1)),I312))</f>
        <v>240200</v>
      </c>
      <c r="J313" s="10"/>
      <c r="K313" s="10"/>
      <c r="L313" s="10"/>
      <c r="M313" s="10"/>
      <c r="O313" s="186">
        <v>311</v>
      </c>
    </row>
    <row r="314" spans="1:15" x14ac:dyDescent="0.2">
      <c r="A314" s="29">
        <f>IF('Tableaux amortissement proj (2'!A305&gt;0,IF(_tauxactuariel1t,(('Tableaux amortissement proj (2'!A305+1)^(1/_nbechan1t))-1,'Tableaux amortissement proj (2'!A305/_nbechan1t),A313)</f>
        <v>1.5499999999999999E-3</v>
      </c>
      <c r="B314" s="28">
        <f>IF('Tableaux amortissement proj (2'!D305&gt;0,'Tableaux amortissement proj (2'!D305,IF('Tableaux amortissement proj (2'!C305&gt;0,IF(AND(_echfixe1t,A314&gt;0),ROUND(('Tableaux amortissement proj (2'!K305-'Tableaux amortissement proj (2'!B305)*A314/(1-((1+A314)^-'Tableaux amortissement proj (2'!C305)),_nbdeci1t),ROUND('Tableaux amortissement proj (2'!K305/'Tableaux amortissement proj (2'!C305,_nbdeci1t)),B313))</f>
        <v>606.91999999999996</v>
      </c>
      <c r="C314" s="10"/>
      <c r="D314" s="10"/>
      <c r="E314" s="10"/>
      <c r="F314" s="10"/>
      <c r="H314" s="29">
        <f>IF('Tableaux amortissement proj (2'!Q305&gt;0,IF(_tauxactuariel1t1,(('Tableaux amortissement proj (2'!Q305+1)^(1/_nebchan1t))-1,'Tableaux amortissement proj (2'!Q305/_nebchan1t),H313)</f>
        <v>8.3333333333333339E-4</v>
      </c>
      <c r="I314" s="28">
        <f>IF('Tableaux amortissement proj (2'!T305&gt;0,'Tableaux amortissement proj (2'!T305,IF('Tableaux amortissement proj (2'!S305&gt;0,IF(AND(_echfixe12,H314&gt;0),ROUND(('Tableaux amortissement proj (2'!AA305-'Tableaux amortissement proj (2'!R305)*H314/(1-((1+H314)^-'Tableaux amortissement proj (2'!S305)),_nbdeci1t1),ROUND('Tableaux amortissement proj (2'!AA305/'Tableaux amortissement proj (2'!S305,_nbdeci1t1)),I313))</f>
        <v>240200</v>
      </c>
      <c r="J314" s="10"/>
      <c r="K314" s="10"/>
      <c r="L314" s="10"/>
      <c r="M314" s="10"/>
      <c r="O314" s="186">
        <v>312</v>
      </c>
    </row>
    <row r="315" spans="1:15" x14ac:dyDescent="0.2">
      <c r="A315" s="29">
        <f>IF('Tableaux amortissement proj (2'!A306&gt;0,IF(_tauxactuariel1t,(('Tableaux amortissement proj (2'!A306+1)^(1/_nbechan1t))-1,'Tableaux amortissement proj (2'!A306/_nbechan1t),A314)</f>
        <v>1.5499999999999999E-3</v>
      </c>
      <c r="B315" s="28">
        <f>IF('Tableaux amortissement proj (2'!D306&gt;0,'Tableaux amortissement proj (2'!D306,IF('Tableaux amortissement proj (2'!C306&gt;0,IF(AND(_echfixe1t,A315&gt;0),ROUND(('Tableaux amortissement proj (2'!K306-'Tableaux amortissement proj (2'!B306)*A315/(1-((1+A315)^-'Tableaux amortissement proj (2'!C306)),_nbdeci1t),ROUND('Tableaux amortissement proj (2'!K306/'Tableaux amortissement proj (2'!C306,_nbdeci1t)),B314))</f>
        <v>606.91999999999996</v>
      </c>
      <c r="C315" s="10"/>
      <c r="D315" s="10"/>
      <c r="E315" s="10"/>
      <c r="F315" s="10"/>
      <c r="H315" s="29">
        <f>IF('Tableaux amortissement proj (2'!Q306&gt;0,IF(_tauxactuariel1t1,(('Tableaux amortissement proj (2'!Q306+1)^(1/_nebchan1t))-1,'Tableaux amortissement proj (2'!Q306/_nebchan1t),H314)</f>
        <v>8.3333333333333339E-4</v>
      </c>
      <c r="I315" s="28">
        <f>IF('Tableaux amortissement proj (2'!T306&gt;0,'Tableaux amortissement proj (2'!T306,IF('Tableaux amortissement proj (2'!S306&gt;0,IF(AND(_echfixe12,H315&gt;0),ROUND(('Tableaux amortissement proj (2'!AA306-'Tableaux amortissement proj (2'!R306)*H315/(1-((1+H315)^-'Tableaux amortissement proj (2'!S306)),_nbdeci1t1),ROUND('Tableaux amortissement proj (2'!AA306/'Tableaux amortissement proj (2'!S306,_nbdeci1t1)),I314))</f>
        <v>240200</v>
      </c>
      <c r="J315" s="10"/>
      <c r="K315" s="10"/>
      <c r="L315" s="10"/>
      <c r="M315" s="10"/>
      <c r="O315" s="186">
        <v>313</v>
      </c>
    </row>
    <row r="316" spans="1:15" x14ac:dyDescent="0.2">
      <c r="A316" s="29">
        <f>IF('Tableaux amortissement proj (2'!A307&gt;0,IF(_tauxactuariel1t,(('Tableaux amortissement proj (2'!A307+1)^(1/_nbechan1t))-1,'Tableaux amortissement proj (2'!A307/_nbechan1t),A315)</f>
        <v>1.5499999999999999E-3</v>
      </c>
      <c r="B316" s="28">
        <f>IF('Tableaux amortissement proj (2'!D307&gt;0,'Tableaux amortissement proj (2'!D307,IF('Tableaux amortissement proj (2'!C307&gt;0,IF(AND(_echfixe1t,A316&gt;0),ROUND(('Tableaux amortissement proj (2'!K307-'Tableaux amortissement proj (2'!B307)*A316/(1-((1+A316)^-'Tableaux amortissement proj (2'!C307)),_nbdeci1t),ROUND('Tableaux amortissement proj (2'!K307/'Tableaux amortissement proj (2'!C307,_nbdeci1t)),B315))</f>
        <v>606.91999999999996</v>
      </c>
      <c r="C316" s="10"/>
      <c r="D316" s="10"/>
      <c r="E316" s="10"/>
      <c r="F316" s="10"/>
      <c r="H316" s="29">
        <f>IF('Tableaux amortissement proj (2'!Q307&gt;0,IF(_tauxactuariel1t1,(('Tableaux amortissement proj (2'!Q307+1)^(1/_nebchan1t))-1,'Tableaux amortissement proj (2'!Q307/_nebchan1t),H315)</f>
        <v>8.3333333333333339E-4</v>
      </c>
      <c r="I316" s="28">
        <f>IF('Tableaux amortissement proj (2'!T307&gt;0,'Tableaux amortissement proj (2'!T307,IF('Tableaux amortissement proj (2'!S307&gt;0,IF(AND(_echfixe12,H316&gt;0),ROUND(('Tableaux amortissement proj (2'!AA307-'Tableaux amortissement proj (2'!R307)*H316/(1-((1+H316)^-'Tableaux amortissement proj (2'!S307)),_nbdeci1t1),ROUND('Tableaux amortissement proj (2'!AA307/'Tableaux amortissement proj (2'!S307,_nbdeci1t1)),I315))</f>
        <v>240200</v>
      </c>
      <c r="J316" s="10"/>
      <c r="K316" s="10"/>
      <c r="L316" s="10"/>
      <c r="M316" s="10"/>
      <c r="O316" s="186">
        <v>314</v>
      </c>
    </row>
    <row r="317" spans="1:15" x14ac:dyDescent="0.2">
      <c r="A317" s="29">
        <f>IF('Tableaux amortissement proj (2'!A308&gt;0,IF(_tauxactuariel1t,(('Tableaux amortissement proj (2'!A308+1)^(1/_nbechan1t))-1,'Tableaux amortissement proj (2'!A308/_nbechan1t),A316)</f>
        <v>1.5499999999999999E-3</v>
      </c>
      <c r="B317" s="28">
        <f>IF('Tableaux amortissement proj (2'!D308&gt;0,'Tableaux amortissement proj (2'!D308,IF('Tableaux amortissement proj (2'!C308&gt;0,IF(AND(_echfixe1t,A317&gt;0),ROUND(('Tableaux amortissement proj (2'!K308-'Tableaux amortissement proj (2'!B308)*A317/(1-((1+A317)^-'Tableaux amortissement proj (2'!C308)),_nbdeci1t),ROUND('Tableaux amortissement proj (2'!K308/'Tableaux amortissement proj (2'!C308,_nbdeci1t)),B316))</f>
        <v>606.91999999999996</v>
      </c>
      <c r="C317" s="10"/>
      <c r="D317" s="10"/>
      <c r="E317" s="10"/>
      <c r="F317" s="10"/>
      <c r="H317" s="29">
        <f>IF('Tableaux amortissement proj (2'!Q308&gt;0,IF(_tauxactuariel1t1,(('Tableaux amortissement proj (2'!Q308+1)^(1/_nebchan1t))-1,'Tableaux amortissement proj (2'!Q308/_nebchan1t),H316)</f>
        <v>8.3333333333333339E-4</v>
      </c>
      <c r="I317" s="28">
        <f>IF('Tableaux amortissement proj (2'!T308&gt;0,'Tableaux amortissement proj (2'!T308,IF('Tableaux amortissement proj (2'!S308&gt;0,IF(AND(_echfixe12,H317&gt;0),ROUND(('Tableaux amortissement proj (2'!AA308-'Tableaux amortissement proj (2'!R308)*H317/(1-((1+H317)^-'Tableaux amortissement proj (2'!S308)),_nbdeci1t1),ROUND('Tableaux amortissement proj (2'!AA308/'Tableaux amortissement proj (2'!S308,_nbdeci1t1)),I316))</f>
        <v>240200</v>
      </c>
      <c r="J317" s="10"/>
      <c r="K317" s="10"/>
      <c r="L317" s="10"/>
      <c r="M317" s="10"/>
      <c r="O317" s="186">
        <v>315</v>
      </c>
    </row>
    <row r="318" spans="1:15" x14ac:dyDescent="0.2">
      <c r="A318" s="29">
        <f>IF('Tableaux amortissement proj (2'!A309&gt;0,IF(_tauxactuariel1t,(('Tableaux amortissement proj (2'!A309+1)^(1/_nbechan1t))-1,'Tableaux amortissement proj (2'!A309/_nbechan1t),A317)</f>
        <v>1.5499999999999999E-3</v>
      </c>
      <c r="B318" s="28">
        <f>IF('Tableaux amortissement proj (2'!D309&gt;0,'Tableaux amortissement proj (2'!D309,IF('Tableaux amortissement proj (2'!C309&gt;0,IF(AND(_echfixe1t,A318&gt;0),ROUND(('Tableaux amortissement proj (2'!K309-'Tableaux amortissement proj (2'!B309)*A318/(1-((1+A318)^-'Tableaux amortissement proj (2'!C309)),_nbdeci1t),ROUND('Tableaux amortissement proj (2'!K309/'Tableaux amortissement proj (2'!C309,_nbdeci1t)),B317))</f>
        <v>606.91999999999996</v>
      </c>
      <c r="C318" s="10"/>
      <c r="D318" s="10"/>
      <c r="E318" s="10"/>
      <c r="F318" s="10"/>
      <c r="H318" s="29">
        <f>IF('Tableaux amortissement proj (2'!Q309&gt;0,IF(_tauxactuariel1t1,(('Tableaux amortissement proj (2'!Q309+1)^(1/_nebchan1t))-1,'Tableaux amortissement proj (2'!Q309/_nebchan1t),H317)</f>
        <v>8.3333333333333339E-4</v>
      </c>
      <c r="I318" s="28">
        <f>IF('Tableaux amortissement proj (2'!T309&gt;0,'Tableaux amortissement proj (2'!T309,IF('Tableaux amortissement proj (2'!S309&gt;0,IF(AND(_echfixe12,H318&gt;0),ROUND(('Tableaux amortissement proj (2'!AA309-'Tableaux amortissement proj (2'!R309)*H318/(1-((1+H318)^-'Tableaux amortissement proj (2'!S309)),_nbdeci1t1),ROUND('Tableaux amortissement proj (2'!AA309/'Tableaux amortissement proj (2'!S309,_nbdeci1t1)),I317))</f>
        <v>240200</v>
      </c>
      <c r="J318" s="10"/>
      <c r="K318" s="10"/>
      <c r="L318" s="10"/>
      <c r="M318" s="10"/>
      <c r="O318" s="186">
        <v>316</v>
      </c>
    </row>
    <row r="319" spans="1:15" x14ac:dyDescent="0.2">
      <c r="A319" s="29">
        <f>IF('Tableaux amortissement proj (2'!A310&gt;0,IF(_tauxactuariel1t,(('Tableaux amortissement proj (2'!A310+1)^(1/_nbechan1t))-1,'Tableaux amortissement proj (2'!A310/_nbechan1t),A318)</f>
        <v>1.5499999999999999E-3</v>
      </c>
      <c r="B319" s="28">
        <f>IF('Tableaux amortissement proj (2'!D310&gt;0,'Tableaux amortissement proj (2'!D310,IF('Tableaux amortissement proj (2'!C310&gt;0,IF(AND(_echfixe1t,A319&gt;0),ROUND(('Tableaux amortissement proj (2'!K310-'Tableaux amortissement proj (2'!B310)*A319/(1-((1+A319)^-'Tableaux amortissement proj (2'!C310)),_nbdeci1t),ROUND('Tableaux amortissement proj (2'!K310/'Tableaux amortissement proj (2'!C310,_nbdeci1t)),B318))</f>
        <v>606.91999999999996</v>
      </c>
      <c r="C319" s="10"/>
      <c r="D319" s="10"/>
      <c r="E319" s="10"/>
      <c r="F319" s="10"/>
      <c r="H319" s="29">
        <f>IF('Tableaux amortissement proj (2'!Q310&gt;0,IF(_tauxactuariel1t1,(('Tableaux amortissement proj (2'!Q310+1)^(1/_nebchan1t))-1,'Tableaux amortissement proj (2'!Q310/_nebchan1t),H318)</f>
        <v>8.3333333333333339E-4</v>
      </c>
      <c r="I319" s="28">
        <f>IF('Tableaux amortissement proj (2'!T310&gt;0,'Tableaux amortissement proj (2'!T310,IF('Tableaux amortissement proj (2'!S310&gt;0,IF(AND(_echfixe12,H319&gt;0),ROUND(('Tableaux amortissement proj (2'!AA310-'Tableaux amortissement proj (2'!R310)*H319/(1-((1+H319)^-'Tableaux amortissement proj (2'!S310)),_nbdeci1t1),ROUND('Tableaux amortissement proj (2'!AA310/'Tableaux amortissement proj (2'!S310,_nbdeci1t1)),I318))</f>
        <v>240200</v>
      </c>
      <c r="J319" s="10"/>
      <c r="K319" s="10"/>
      <c r="L319" s="10"/>
      <c r="M319" s="10"/>
      <c r="O319" s="186">
        <v>317</v>
      </c>
    </row>
    <row r="320" spans="1:15" x14ac:dyDescent="0.2">
      <c r="A320" s="29">
        <f>IF('Tableaux amortissement proj (2'!A311&gt;0,IF(_tauxactuariel1t,(('Tableaux amortissement proj (2'!A311+1)^(1/_nbechan1t))-1,'Tableaux amortissement proj (2'!A311/_nbechan1t),A319)</f>
        <v>1.5499999999999999E-3</v>
      </c>
      <c r="B320" s="28">
        <f>IF('Tableaux amortissement proj (2'!D311&gt;0,'Tableaux amortissement proj (2'!D311,IF('Tableaux amortissement proj (2'!C311&gt;0,IF(AND(_echfixe1t,A320&gt;0),ROUND(('Tableaux amortissement proj (2'!K311-'Tableaux amortissement proj (2'!B311)*A320/(1-((1+A320)^-'Tableaux amortissement proj (2'!C311)),_nbdeci1t),ROUND('Tableaux amortissement proj (2'!K311/'Tableaux amortissement proj (2'!C311,_nbdeci1t)),B319))</f>
        <v>606.91999999999996</v>
      </c>
      <c r="C320" s="10"/>
      <c r="D320" s="10"/>
      <c r="E320" s="10"/>
      <c r="F320" s="10"/>
      <c r="H320" s="29">
        <f>IF('Tableaux amortissement proj (2'!Q311&gt;0,IF(_tauxactuariel1t1,(('Tableaux amortissement proj (2'!Q311+1)^(1/_nebchan1t))-1,'Tableaux amortissement proj (2'!Q311/_nebchan1t),H319)</f>
        <v>8.3333333333333339E-4</v>
      </c>
      <c r="I320" s="28">
        <f>IF('Tableaux amortissement proj (2'!T311&gt;0,'Tableaux amortissement proj (2'!T311,IF('Tableaux amortissement proj (2'!S311&gt;0,IF(AND(_echfixe12,H320&gt;0),ROUND(('Tableaux amortissement proj (2'!AA311-'Tableaux amortissement proj (2'!R311)*H320/(1-((1+H320)^-'Tableaux amortissement proj (2'!S311)),_nbdeci1t1),ROUND('Tableaux amortissement proj (2'!AA311/'Tableaux amortissement proj (2'!S311,_nbdeci1t1)),I319))</f>
        <v>240200</v>
      </c>
      <c r="J320" s="10"/>
      <c r="K320" s="10"/>
      <c r="L320" s="10"/>
      <c r="M320" s="10"/>
      <c r="O320" s="186">
        <v>318</v>
      </c>
    </row>
    <row r="321" spans="1:15" x14ac:dyDescent="0.2">
      <c r="A321" s="29">
        <f>IF('Tableaux amortissement proj (2'!A312&gt;0,IF(_tauxactuariel1t,(('Tableaux amortissement proj (2'!A312+1)^(1/_nbechan1t))-1,'Tableaux amortissement proj (2'!A312/_nbechan1t),A320)</f>
        <v>1.5499999999999999E-3</v>
      </c>
      <c r="B321" s="28">
        <f>IF('Tableaux amortissement proj (2'!D312&gt;0,'Tableaux amortissement proj (2'!D312,IF('Tableaux amortissement proj (2'!C312&gt;0,IF(AND(_echfixe1t,A321&gt;0),ROUND(('Tableaux amortissement proj (2'!K312-'Tableaux amortissement proj (2'!B312)*A321/(1-((1+A321)^-'Tableaux amortissement proj (2'!C312)),_nbdeci1t),ROUND('Tableaux amortissement proj (2'!K312/'Tableaux amortissement proj (2'!C312,_nbdeci1t)),B320))</f>
        <v>606.91999999999996</v>
      </c>
      <c r="C321" s="10"/>
      <c r="D321" s="10"/>
      <c r="E321" s="10"/>
      <c r="F321" s="10"/>
      <c r="H321" s="29">
        <f>IF('Tableaux amortissement proj (2'!Q312&gt;0,IF(_tauxactuariel1t1,(('Tableaux amortissement proj (2'!Q312+1)^(1/_nebchan1t))-1,'Tableaux amortissement proj (2'!Q312/_nebchan1t),H320)</f>
        <v>8.3333333333333339E-4</v>
      </c>
      <c r="I321" s="28">
        <f>IF('Tableaux amortissement proj (2'!T312&gt;0,'Tableaux amortissement proj (2'!T312,IF('Tableaux amortissement proj (2'!S312&gt;0,IF(AND(_echfixe12,H321&gt;0),ROUND(('Tableaux amortissement proj (2'!AA312-'Tableaux amortissement proj (2'!R312)*H321/(1-((1+H321)^-'Tableaux amortissement proj (2'!S312)),_nbdeci1t1),ROUND('Tableaux amortissement proj (2'!AA312/'Tableaux amortissement proj (2'!S312,_nbdeci1t1)),I320))</f>
        <v>240200</v>
      </c>
      <c r="J321" s="10"/>
      <c r="K321" s="10"/>
      <c r="L321" s="10"/>
      <c r="M321" s="10"/>
      <c r="O321" s="186">
        <v>319</v>
      </c>
    </row>
    <row r="322" spans="1:15" x14ac:dyDescent="0.2">
      <c r="A322" s="29">
        <f>IF('Tableaux amortissement proj (2'!A313&gt;0,IF(_tauxactuariel1t,(('Tableaux amortissement proj (2'!A313+1)^(1/_nbechan1t))-1,'Tableaux amortissement proj (2'!A313/_nbechan1t),A321)</f>
        <v>1.5499999999999999E-3</v>
      </c>
      <c r="B322" s="28">
        <f>IF('Tableaux amortissement proj (2'!D313&gt;0,'Tableaux amortissement proj (2'!D313,IF('Tableaux amortissement proj (2'!C313&gt;0,IF(AND(_echfixe1t,A322&gt;0),ROUND(('Tableaux amortissement proj (2'!K313-'Tableaux amortissement proj (2'!B313)*A322/(1-((1+A322)^-'Tableaux amortissement proj (2'!C313)),_nbdeci1t),ROUND('Tableaux amortissement proj (2'!K313/'Tableaux amortissement proj (2'!C313,_nbdeci1t)),B321))</f>
        <v>606.91999999999996</v>
      </c>
      <c r="C322" s="10"/>
      <c r="D322" s="10"/>
      <c r="E322" s="10"/>
      <c r="F322" s="10"/>
      <c r="H322" s="29">
        <f>IF('Tableaux amortissement proj (2'!Q313&gt;0,IF(_tauxactuariel1t1,(('Tableaux amortissement proj (2'!Q313+1)^(1/_nebchan1t))-1,'Tableaux amortissement proj (2'!Q313/_nebchan1t),H321)</f>
        <v>8.3333333333333339E-4</v>
      </c>
      <c r="I322" s="28">
        <f>IF('Tableaux amortissement proj (2'!T313&gt;0,'Tableaux amortissement proj (2'!T313,IF('Tableaux amortissement proj (2'!S313&gt;0,IF(AND(_echfixe12,H322&gt;0),ROUND(('Tableaux amortissement proj (2'!AA313-'Tableaux amortissement proj (2'!R313)*H322/(1-((1+H322)^-'Tableaux amortissement proj (2'!S313)),_nbdeci1t1),ROUND('Tableaux amortissement proj (2'!AA313/'Tableaux amortissement proj (2'!S313,_nbdeci1t1)),I321))</f>
        <v>240200</v>
      </c>
      <c r="J322" s="10"/>
      <c r="K322" s="10"/>
      <c r="L322" s="10"/>
      <c r="M322" s="10"/>
      <c r="O322" s="186">
        <v>320</v>
      </c>
    </row>
    <row r="323" spans="1:15" x14ac:dyDescent="0.2">
      <c r="A323" s="29">
        <f>IF('Tableaux amortissement proj (2'!A314&gt;0,IF(_tauxactuariel1t,(('Tableaux amortissement proj (2'!A314+1)^(1/_nbechan1t))-1,'Tableaux amortissement proj (2'!A314/_nbechan1t),A322)</f>
        <v>1.5499999999999999E-3</v>
      </c>
      <c r="B323" s="28">
        <f>IF('Tableaux amortissement proj (2'!D314&gt;0,'Tableaux amortissement proj (2'!D314,IF('Tableaux amortissement proj (2'!C314&gt;0,IF(AND(_echfixe1t,A323&gt;0),ROUND(('Tableaux amortissement proj (2'!K314-'Tableaux amortissement proj (2'!B314)*A323/(1-((1+A323)^-'Tableaux amortissement proj (2'!C314)),_nbdeci1t),ROUND('Tableaux amortissement proj (2'!K314/'Tableaux amortissement proj (2'!C314,_nbdeci1t)),B322))</f>
        <v>606.91999999999996</v>
      </c>
      <c r="C323" s="10"/>
      <c r="D323" s="10"/>
      <c r="E323" s="10"/>
      <c r="F323" s="10"/>
      <c r="H323" s="29">
        <f>IF('Tableaux amortissement proj (2'!Q314&gt;0,IF(_tauxactuariel1t1,(('Tableaux amortissement proj (2'!Q314+1)^(1/_nebchan1t))-1,'Tableaux amortissement proj (2'!Q314/_nebchan1t),H322)</f>
        <v>8.3333333333333339E-4</v>
      </c>
      <c r="I323" s="28">
        <f>IF('Tableaux amortissement proj (2'!T314&gt;0,'Tableaux amortissement proj (2'!T314,IF('Tableaux amortissement proj (2'!S314&gt;0,IF(AND(_echfixe12,H323&gt;0),ROUND(('Tableaux amortissement proj (2'!AA314-'Tableaux amortissement proj (2'!R314)*H323/(1-((1+H323)^-'Tableaux amortissement proj (2'!S314)),_nbdeci1t1),ROUND('Tableaux amortissement proj (2'!AA314/'Tableaux amortissement proj (2'!S314,_nbdeci1t1)),I322))</f>
        <v>240200</v>
      </c>
      <c r="J323" s="10"/>
      <c r="K323" s="10"/>
      <c r="L323" s="10"/>
      <c r="M323" s="10"/>
      <c r="O323" s="186">
        <v>321</v>
      </c>
    </row>
    <row r="324" spans="1:15" x14ac:dyDescent="0.2">
      <c r="A324" s="29">
        <f>IF('Tableaux amortissement proj (2'!A315&gt;0,IF(_tauxactuariel1t,(('Tableaux amortissement proj (2'!A315+1)^(1/_nbechan1t))-1,'Tableaux amortissement proj (2'!A315/_nbechan1t),A323)</f>
        <v>1.5499999999999999E-3</v>
      </c>
      <c r="B324" s="28">
        <f>IF('Tableaux amortissement proj (2'!D315&gt;0,'Tableaux amortissement proj (2'!D315,IF('Tableaux amortissement proj (2'!C315&gt;0,IF(AND(_echfixe1t,A324&gt;0),ROUND(('Tableaux amortissement proj (2'!K315-'Tableaux amortissement proj (2'!B315)*A324/(1-((1+A324)^-'Tableaux amortissement proj (2'!C315)),_nbdeci1t),ROUND('Tableaux amortissement proj (2'!K315/'Tableaux amortissement proj (2'!C315,_nbdeci1t)),B323))</f>
        <v>606.91999999999996</v>
      </c>
      <c r="C324" s="10"/>
      <c r="D324" s="10"/>
      <c r="E324" s="10"/>
      <c r="F324" s="10"/>
      <c r="H324" s="29">
        <f>IF('Tableaux amortissement proj (2'!Q315&gt;0,IF(_tauxactuariel1t1,(('Tableaux amortissement proj (2'!Q315+1)^(1/_nebchan1t))-1,'Tableaux amortissement proj (2'!Q315/_nebchan1t),H323)</f>
        <v>8.3333333333333339E-4</v>
      </c>
      <c r="I324" s="28">
        <f>IF('Tableaux amortissement proj (2'!T315&gt;0,'Tableaux amortissement proj (2'!T315,IF('Tableaux amortissement proj (2'!S315&gt;0,IF(AND(_echfixe12,H324&gt;0),ROUND(('Tableaux amortissement proj (2'!AA315-'Tableaux amortissement proj (2'!R315)*H324/(1-((1+H324)^-'Tableaux amortissement proj (2'!S315)),_nbdeci1t1),ROUND('Tableaux amortissement proj (2'!AA315/'Tableaux amortissement proj (2'!S315,_nbdeci1t1)),I323))</f>
        <v>240200</v>
      </c>
      <c r="J324" s="10"/>
      <c r="K324" s="10"/>
      <c r="L324" s="10"/>
      <c r="M324" s="10"/>
      <c r="O324" s="186">
        <v>322</v>
      </c>
    </row>
    <row r="325" spans="1:15" x14ac:dyDescent="0.2">
      <c r="A325" s="29">
        <f>IF('Tableaux amortissement proj (2'!A316&gt;0,IF(_tauxactuariel1t,(('Tableaux amortissement proj (2'!A316+1)^(1/_nbechan1t))-1,'Tableaux amortissement proj (2'!A316/_nbechan1t),A324)</f>
        <v>1.5499999999999999E-3</v>
      </c>
      <c r="B325" s="28">
        <f>IF('Tableaux amortissement proj (2'!D316&gt;0,'Tableaux amortissement proj (2'!D316,IF('Tableaux amortissement proj (2'!C316&gt;0,IF(AND(_echfixe1t,A325&gt;0),ROUND(('Tableaux amortissement proj (2'!K316-'Tableaux amortissement proj (2'!B316)*A325/(1-((1+A325)^-'Tableaux amortissement proj (2'!C316)),_nbdeci1t),ROUND('Tableaux amortissement proj (2'!K316/'Tableaux amortissement proj (2'!C316,_nbdeci1t)),B324))</f>
        <v>606.91999999999996</v>
      </c>
      <c r="C325" s="10"/>
      <c r="D325" s="10"/>
      <c r="E325" s="10"/>
      <c r="F325" s="10"/>
      <c r="H325" s="29">
        <f>IF('Tableaux amortissement proj (2'!Q316&gt;0,IF(_tauxactuariel1t1,(('Tableaux amortissement proj (2'!Q316+1)^(1/_nebchan1t))-1,'Tableaux amortissement proj (2'!Q316/_nebchan1t),H324)</f>
        <v>8.3333333333333339E-4</v>
      </c>
      <c r="I325" s="28">
        <f>IF('Tableaux amortissement proj (2'!T316&gt;0,'Tableaux amortissement proj (2'!T316,IF('Tableaux amortissement proj (2'!S316&gt;0,IF(AND(_echfixe12,H325&gt;0),ROUND(('Tableaux amortissement proj (2'!AA316-'Tableaux amortissement proj (2'!R316)*H325/(1-((1+H325)^-'Tableaux amortissement proj (2'!S316)),_nbdeci1t1),ROUND('Tableaux amortissement proj (2'!AA316/'Tableaux amortissement proj (2'!S316,_nbdeci1t1)),I324))</f>
        <v>240200</v>
      </c>
      <c r="J325" s="10"/>
      <c r="K325" s="10"/>
      <c r="L325" s="10"/>
      <c r="M325" s="10"/>
      <c r="O325" s="186">
        <v>323</v>
      </c>
    </row>
    <row r="326" spans="1:15" x14ac:dyDescent="0.2">
      <c r="A326" s="29">
        <f>IF('Tableaux amortissement proj (2'!A317&gt;0,IF(_tauxactuariel1t,(('Tableaux amortissement proj (2'!A317+1)^(1/_nbechan1t))-1,'Tableaux amortissement proj (2'!A317/_nbechan1t),A325)</f>
        <v>1.5499999999999999E-3</v>
      </c>
      <c r="B326" s="28">
        <f>IF('Tableaux amortissement proj (2'!D317&gt;0,'Tableaux amortissement proj (2'!D317,IF('Tableaux amortissement proj (2'!C317&gt;0,IF(AND(_echfixe1t,A326&gt;0),ROUND(('Tableaux amortissement proj (2'!K317-'Tableaux amortissement proj (2'!B317)*A326/(1-((1+A326)^-'Tableaux amortissement proj (2'!C317)),_nbdeci1t),ROUND('Tableaux amortissement proj (2'!K317/'Tableaux amortissement proj (2'!C317,_nbdeci1t)),B325))</f>
        <v>606.91999999999996</v>
      </c>
      <c r="C326" s="10"/>
      <c r="D326" s="10"/>
      <c r="E326" s="10"/>
      <c r="F326" s="10"/>
      <c r="H326" s="29">
        <f>IF('Tableaux amortissement proj (2'!Q317&gt;0,IF(_tauxactuariel1t1,(('Tableaux amortissement proj (2'!Q317+1)^(1/_nebchan1t))-1,'Tableaux amortissement proj (2'!Q317/_nebchan1t),H325)</f>
        <v>8.3333333333333339E-4</v>
      </c>
      <c r="I326" s="28">
        <f>IF('Tableaux amortissement proj (2'!T317&gt;0,'Tableaux amortissement proj (2'!T317,IF('Tableaux amortissement proj (2'!S317&gt;0,IF(AND(_echfixe12,H326&gt;0),ROUND(('Tableaux amortissement proj (2'!AA317-'Tableaux amortissement proj (2'!R317)*H326/(1-((1+H326)^-'Tableaux amortissement proj (2'!S317)),_nbdeci1t1),ROUND('Tableaux amortissement proj (2'!AA317/'Tableaux amortissement proj (2'!S317,_nbdeci1t1)),I325))</f>
        <v>240200</v>
      </c>
      <c r="J326" s="10"/>
      <c r="K326" s="10"/>
      <c r="L326" s="10"/>
      <c r="M326" s="10"/>
      <c r="O326" s="186">
        <v>324</v>
      </c>
    </row>
    <row r="327" spans="1:15" x14ac:dyDescent="0.2">
      <c r="A327" s="29">
        <f>IF('Tableaux amortissement proj (2'!A318&gt;0,IF(_tauxactuariel1t,(('Tableaux amortissement proj (2'!A318+1)^(1/_nbechan1t))-1,'Tableaux amortissement proj (2'!A318/_nbechan1t),A326)</f>
        <v>1.5499999999999999E-3</v>
      </c>
      <c r="B327" s="28">
        <f>IF('Tableaux amortissement proj (2'!D318&gt;0,'Tableaux amortissement proj (2'!D318,IF('Tableaux amortissement proj (2'!C318&gt;0,IF(AND(_echfixe1t,A327&gt;0),ROUND(('Tableaux amortissement proj (2'!K318-'Tableaux amortissement proj (2'!B318)*A327/(1-((1+A327)^-'Tableaux amortissement proj (2'!C318)),_nbdeci1t),ROUND('Tableaux amortissement proj (2'!K318/'Tableaux amortissement proj (2'!C318,_nbdeci1t)),B326))</f>
        <v>606.91999999999996</v>
      </c>
      <c r="C327" s="10"/>
      <c r="D327" s="10"/>
      <c r="E327" s="10"/>
      <c r="F327" s="10"/>
      <c r="H327" s="29">
        <f>IF('Tableaux amortissement proj (2'!Q318&gt;0,IF(_tauxactuariel1t1,(('Tableaux amortissement proj (2'!Q318+1)^(1/_nebchan1t))-1,'Tableaux amortissement proj (2'!Q318/_nebchan1t),H326)</f>
        <v>8.3333333333333339E-4</v>
      </c>
      <c r="I327" s="28">
        <f>IF('Tableaux amortissement proj (2'!T318&gt;0,'Tableaux amortissement proj (2'!T318,IF('Tableaux amortissement proj (2'!S318&gt;0,IF(AND(_echfixe12,H327&gt;0),ROUND(('Tableaux amortissement proj (2'!AA318-'Tableaux amortissement proj (2'!R318)*H327/(1-((1+H327)^-'Tableaux amortissement proj (2'!S318)),_nbdeci1t1),ROUND('Tableaux amortissement proj (2'!AA318/'Tableaux amortissement proj (2'!S318,_nbdeci1t1)),I326))</f>
        <v>240200</v>
      </c>
      <c r="J327" s="10"/>
      <c r="K327" s="10"/>
      <c r="L327" s="10"/>
      <c r="M327" s="10"/>
      <c r="O327" s="186">
        <v>325</v>
      </c>
    </row>
    <row r="328" spans="1:15" x14ac:dyDescent="0.2">
      <c r="A328" s="29">
        <f>IF('Tableaux amortissement proj (2'!A319&gt;0,IF(_tauxactuariel1t,(('Tableaux amortissement proj (2'!A319+1)^(1/_nbechan1t))-1,'Tableaux amortissement proj (2'!A319/_nbechan1t),A327)</f>
        <v>1.5499999999999999E-3</v>
      </c>
      <c r="B328" s="28">
        <f>IF('Tableaux amortissement proj (2'!D319&gt;0,'Tableaux amortissement proj (2'!D319,IF('Tableaux amortissement proj (2'!C319&gt;0,IF(AND(_echfixe1t,A328&gt;0),ROUND(('Tableaux amortissement proj (2'!K319-'Tableaux amortissement proj (2'!B319)*A328/(1-((1+A328)^-'Tableaux amortissement proj (2'!C319)),_nbdeci1t),ROUND('Tableaux amortissement proj (2'!K319/'Tableaux amortissement proj (2'!C319,_nbdeci1t)),B327))</f>
        <v>606.91999999999996</v>
      </c>
      <c r="C328" s="10"/>
      <c r="D328" s="10"/>
      <c r="E328" s="10"/>
      <c r="F328" s="10"/>
      <c r="H328" s="29">
        <f>IF('Tableaux amortissement proj (2'!Q319&gt;0,IF(_tauxactuariel1t1,(('Tableaux amortissement proj (2'!Q319+1)^(1/_nebchan1t))-1,'Tableaux amortissement proj (2'!Q319/_nebchan1t),H327)</f>
        <v>8.3333333333333339E-4</v>
      </c>
      <c r="I328" s="28">
        <f>IF('Tableaux amortissement proj (2'!T319&gt;0,'Tableaux amortissement proj (2'!T319,IF('Tableaux amortissement proj (2'!S319&gt;0,IF(AND(_echfixe12,H328&gt;0),ROUND(('Tableaux amortissement proj (2'!AA319-'Tableaux amortissement proj (2'!R319)*H328/(1-((1+H328)^-'Tableaux amortissement proj (2'!S319)),_nbdeci1t1),ROUND('Tableaux amortissement proj (2'!AA319/'Tableaux amortissement proj (2'!S319,_nbdeci1t1)),I327))</f>
        <v>240200</v>
      </c>
      <c r="J328" s="10"/>
      <c r="K328" s="10"/>
      <c r="L328" s="10"/>
      <c r="M328" s="10"/>
      <c r="O328" s="186">
        <v>326</v>
      </c>
    </row>
    <row r="329" spans="1:15" x14ac:dyDescent="0.2">
      <c r="A329" s="29">
        <f>IF('Tableaux amortissement proj (2'!A320&gt;0,IF(_tauxactuariel1t,(('Tableaux amortissement proj (2'!A320+1)^(1/_nbechan1t))-1,'Tableaux amortissement proj (2'!A320/_nbechan1t),A328)</f>
        <v>1.5499999999999999E-3</v>
      </c>
      <c r="B329" s="28">
        <f>IF('Tableaux amortissement proj (2'!D320&gt;0,'Tableaux amortissement proj (2'!D320,IF('Tableaux amortissement proj (2'!C320&gt;0,IF(AND(_echfixe1t,A329&gt;0),ROUND(('Tableaux amortissement proj (2'!K320-'Tableaux amortissement proj (2'!B320)*A329/(1-((1+A329)^-'Tableaux amortissement proj (2'!C320)),_nbdeci1t),ROUND('Tableaux amortissement proj (2'!K320/'Tableaux amortissement proj (2'!C320,_nbdeci1t)),B328))</f>
        <v>606.91999999999996</v>
      </c>
      <c r="C329" s="10"/>
      <c r="D329" s="10"/>
      <c r="E329" s="10"/>
      <c r="F329" s="10"/>
      <c r="H329" s="29">
        <f>IF('Tableaux amortissement proj (2'!Q320&gt;0,IF(_tauxactuariel1t1,(('Tableaux amortissement proj (2'!Q320+1)^(1/_nebchan1t))-1,'Tableaux amortissement proj (2'!Q320/_nebchan1t),H328)</f>
        <v>8.3333333333333339E-4</v>
      </c>
      <c r="I329" s="28">
        <f>IF('Tableaux amortissement proj (2'!T320&gt;0,'Tableaux amortissement proj (2'!T320,IF('Tableaux amortissement proj (2'!S320&gt;0,IF(AND(_echfixe12,H329&gt;0),ROUND(('Tableaux amortissement proj (2'!AA320-'Tableaux amortissement proj (2'!R320)*H329/(1-((1+H329)^-'Tableaux amortissement proj (2'!S320)),_nbdeci1t1),ROUND('Tableaux amortissement proj (2'!AA320/'Tableaux amortissement proj (2'!S320,_nbdeci1t1)),I328))</f>
        <v>240200</v>
      </c>
      <c r="J329" s="10"/>
      <c r="K329" s="10"/>
      <c r="L329" s="10"/>
      <c r="M329" s="10"/>
      <c r="O329" s="186">
        <v>327</v>
      </c>
    </row>
    <row r="330" spans="1:15" x14ac:dyDescent="0.2">
      <c r="A330" s="29">
        <f>IF('Tableaux amortissement proj (2'!A321&gt;0,IF(_tauxactuariel1t,(('Tableaux amortissement proj (2'!A321+1)^(1/_nbechan1t))-1,'Tableaux amortissement proj (2'!A321/_nbechan1t),A329)</f>
        <v>1.5499999999999999E-3</v>
      </c>
      <c r="B330" s="28">
        <f>IF('Tableaux amortissement proj (2'!D321&gt;0,'Tableaux amortissement proj (2'!D321,IF('Tableaux amortissement proj (2'!C321&gt;0,IF(AND(_echfixe1t,A330&gt;0),ROUND(('Tableaux amortissement proj (2'!K321-'Tableaux amortissement proj (2'!B321)*A330/(1-((1+A330)^-'Tableaux amortissement proj (2'!C321)),_nbdeci1t),ROUND('Tableaux amortissement proj (2'!K321/'Tableaux amortissement proj (2'!C321,_nbdeci1t)),B329))</f>
        <v>606.91999999999996</v>
      </c>
      <c r="C330" s="10"/>
      <c r="D330" s="10"/>
      <c r="E330" s="10"/>
      <c r="F330" s="10"/>
      <c r="H330" s="29">
        <f>IF('Tableaux amortissement proj (2'!Q321&gt;0,IF(_tauxactuariel1t1,(('Tableaux amortissement proj (2'!Q321+1)^(1/_nebchan1t))-1,'Tableaux amortissement proj (2'!Q321/_nebchan1t),H329)</f>
        <v>8.3333333333333339E-4</v>
      </c>
      <c r="I330" s="28">
        <f>IF('Tableaux amortissement proj (2'!T321&gt;0,'Tableaux amortissement proj (2'!T321,IF('Tableaux amortissement proj (2'!S321&gt;0,IF(AND(_echfixe12,H330&gt;0),ROUND(('Tableaux amortissement proj (2'!AA321-'Tableaux amortissement proj (2'!R321)*H330/(1-((1+H330)^-'Tableaux amortissement proj (2'!S321)),_nbdeci1t1),ROUND('Tableaux amortissement proj (2'!AA321/'Tableaux amortissement proj (2'!S321,_nbdeci1t1)),I329))</f>
        <v>240200</v>
      </c>
      <c r="J330" s="10"/>
      <c r="K330" s="10"/>
      <c r="L330" s="10"/>
      <c r="M330" s="10"/>
      <c r="O330" s="186">
        <v>328</v>
      </c>
    </row>
    <row r="331" spans="1:15" x14ac:dyDescent="0.2">
      <c r="A331" s="29">
        <f>IF('Tableaux amortissement proj (2'!A322&gt;0,IF(_tauxactuariel1t,(('Tableaux amortissement proj (2'!A322+1)^(1/_nbechan1t))-1,'Tableaux amortissement proj (2'!A322/_nbechan1t),A330)</f>
        <v>1.5499999999999999E-3</v>
      </c>
      <c r="B331" s="28">
        <f>IF('Tableaux amortissement proj (2'!D322&gt;0,'Tableaux amortissement proj (2'!D322,IF('Tableaux amortissement proj (2'!C322&gt;0,IF(AND(_echfixe1t,A331&gt;0),ROUND(('Tableaux amortissement proj (2'!K322-'Tableaux amortissement proj (2'!B322)*A331/(1-((1+A331)^-'Tableaux amortissement proj (2'!C322)),_nbdeci1t),ROUND('Tableaux amortissement proj (2'!K322/'Tableaux amortissement proj (2'!C322,_nbdeci1t)),B330))</f>
        <v>606.91999999999996</v>
      </c>
      <c r="C331" s="10"/>
      <c r="D331" s="10"/>
      <c r="E331" s="10"/>
      <c r="F331" s="10"/>
      <c r="H331" s="29">
        <f>IF('Tableaux amortissement proj (2'!Q322&gt;0,IF(_tauxactuariel1t1,(('Tableaux amortissement proj (2'!Q322+1)^(1/_nebchan1t))-1,'Tableaux amortissement proj (2'!Q322/_nebchan1t),H330)</f>
        <v>8.3333333333333339E-4</v>
      </c>
      <c r="I331" s="28">
        <f>IF('Tableaux amortissement proj (2'!T322&gt;0,'Tableaux amortissement proj (2'!T322,IF('Tableaux amortissement proj (2'!S322&gt;0,IF(AND(_echfixe12,H331&gt;0),ROUND(('Tableaux amortissement proj (2'!AA322-'Tableaux amortissement proj (2'!R322)*H331/(1-((1+H331)^-'Tableaux amortissement proj (2'!S322)),_nbdeci1t1),ROUND('Tableaux amortissement proj (2'!AA322/'Tableaux amortissement proj (2'!S322,_nbdeci1t1)),I330))</f>
        <v>240200</v>
      </c>
      <c r="J331" s="10"/>
      <c r="K331" s="10"/>
      <c r="L331" s="10"/>
      <c r="M331" s="10"/>
      <c r="O331" s="186">
        <v>329</v>
      </c>
    </row>
    <row r="332" spans="1:15" x14ac:dyDescent="0.2">
      <c r="A332" s="29">
        <f>IF('Tableaux amortissement proj (2'!A323&gt;0,IF(_tauxactuariel1t,(('Tableaux amortissement proj (2'!A323+1)^(1/_nbechan1t))-1,'Tableaux amortissement proj (2'!A323/_nbechan1t),A331)</f>
        <v>1.5499999999999999E-3</v>
      </c>
      <c r="B332" s="28">
        <f>IF('Tableaux amortissement proj (2'!D323&gt;0,'Tableaux amortissement proj (2'!D323,IF('Tableaux amortissement proj (2'!C323&gt;0,IF(AND(_echfixe1t,A332&gt;0),ROUND(('Tableaux amortissement proj (2'!K323-'Tableaux amortissement proj (2'!B323)*A332/(1-((1+A332)^-'Tableaux amortissement proj (2'!C323)),_nbdeci1t),ROUND('Tableaux amortissement proj (2'!K323/'Tableaux amortissement proj (2'!C323,_nbdeci1t)),B331))</f>
        <v>606.91999999999996</v>
      </c>
      <c r="C332" s="10"/>
      <c r="D332" s="10"/>
      <c r="E332" s="10"/>
      <c r="F332" s="10"/>
      <c r="H332" s="29">
        <f>IF('Tableaux amortissement proj (2'!Q323&gt;0,IF(_tauxactuariel1t1,(('Tableaux amortissement proj (2'!Q323+1)^(1/_nebchan1t))-1,'Tableaux amortissement proj (2'!Q323/_nebchan1t),H331)</f>
        <v>8.3333333333333339E-4</v>
      </c>
      <c r="I332" s="28">
        <f>IF('Tableaux amortissement proj (2'!T323&gt;0,'Tableaux amortissement proj (2'!T323,IF('Tableaux amortissement proj (2'!S323&gt;0,IF(AND(_echfixe12,H332&gt;0),ROUND(('Tableaux amortissement proj (2'!AA323-'Tableaux amortissement proj (2'!R323)*H332/(1-((1+H332)^-'Tableaux amortissement proj (2'!S323)),_nbdeci1t1),ROUND('Tableaux amortissement proj (2'!AA323/'Tableaux amortissement proj (2'!S323,_nbdeci1t1)),I331))</f>
        <v>240200</v>
      </c>
      <c r="J332" s="10"/>
      <c r="K332" s="10"/>
      <c r="L332" s="10"/>
      <c r="M332" s="10"/>
      <c r="O332" s="186">
        <v>330</v>
      </c>
    </row>
    <row r="333" spans="1:15" x14ac:dyDescent="0.2">
      <c r="A333" s="29">
        <f>IF('Tableaux amortissement proj (2'!A324&gt;0,IF(_tauxactuariel1t,(('Tableaux amortissement proj (2'!A324+1)^(1/_nbechan1t))-1,'Tableaux amortissement proj (2'!A324/_nbechan1t),A332)</f>
        <v>1.5499999999999999E-3</v>
      </c>
      <c r="B333" s="28">
        <f>IF('Tableaux amortissement proj (2'!D324&gt;0,'Tableaux amortissement proj (2'!D324,IF('Tableaux amortissement proj (2'!C324&gt;0,IF(AND(_echfixe1t,A333&gt;0),ROUND(('Tableaux amortissement proj (2'!K324-'Tableaux amortissement proj (2'!B324)*A333/(1-((1+A333)^-'Tableaux amortissement proj (2'!C324)),_nbdeci1t),ROUND('Tableaux amortissement proj (2'!K324/'Tableaux amortissement proj (2'!C324,_nbdeci1t)),B332))</f>
        <v>606.91999999999996</v>
      </c>
      <c r="C333" s="10"/>
      <c r="D333" s="10"/>
      <c r="E333" s="10"/>
      <c r="F333" s="10"/>
      <c r="H333" s="29">
        <f>IF('Tableaux amortissement proj (2'!Q324&gt;0,IF(_tauxactuariel1t1,(('Tableaux amortissement proj (2'!Q324+1)^(1/_nebchan1t))-1,'Tableaux amortissement proj (2'!Q324/_nebchan1t),H332)</f>
        <v>8.3333333333333339E-4</v>
      </c>
      <c r="I333" s="28">
        <f>IF('Tableaux amortissement proj (2'!T324&gt;0,'Tableaux amortissement proj (2'!T324,IF('Tableaux amortissement proj (2'!S324&gt;0,IF(AND(_echfixe12,H333&gt;0),ROUND(('Tableaux amortissement proj (2'!AA324-'Tableaux amortissement proj (2'!R324)*H333/(1-((1+H333)^-'Tableaux amortissement proj (2'!S324)),_nbdeci1t1),ROUND('Tableaux amortissement proj (2'!AA324/'Tableaux amortissement proj (2'!S324,_nbdeci1t1)),I332))</f>
        <v>240200</v>
      </c>
      <c r="J333" s="10"/>
      <c r="K333" s="10"/>
      <c r="L333" s="10"/>
      <c r="M333" s="10"/>
      <c r="O333" s="186">
        <v>331</v>
      </c>
    </row>
    <row r="334" spans="1:15" x14ac:dyDescent="0.2">
      <c r="A334" s="29">
        <f>IF('Tableaux amortissement proj (2'!A325&gt;0,IF(_tauxactuariel1t,(('Tableaux amortissement proj (2'!A325+1)^(1/_nbechan1t))-1,'Tableaux amortissement proj (2'!A325/_nbechan1t),A333)</f>
        <v>1.5499999999999999E-3</v>
      </c>
      <c r="B334" s="28">
        <f>IF('Tableaux amortissement proj (2'!D325&gt;0,'Tableaux amortissement proj (2'!D325,IF('Tableaux amortissement proj (2'!C325&gt;0,IF(AND(_echfixe1t,A334&gt;0),ROUND(('Tableaux amortissement proj (2'!K325-'Tableaux amortissement proj (2'!B325)*A334/(1-((1+A334)^-'Tableaux amortissement proj (2'!C325)),_nbdeci1t),ROUND('Tableaux amortissement proj (2'!K325/'Tableaux amortissement proj (2'!C325,_nbdeci1t)),B333))</f>
        <v>606.91999999999996</v>
      </c>
      <c r="C334" s="10"/>
      <c r="D334" s="10"/>
      <c r="E334" s="10"/>
      <c r="F334" s="10"/>
      <c r="H334" s="29">
        <f>IF('Tableaux amortissement proj (2'!Q325&gt;0,IF(_tauxactuariel1t1,(('Tableaux amortissement proj (2'!Q325+1)^(1/_nebchan1t))-1,'Tableaux amortissement proj (2'!Q325/_nebchan1t),H333)</f>
        <v>8.3333333333333339E-4</v>
      </c>
      <c r="I334" s="28">
        <f>IF('Tableaux amortissement proj (2'!T325&gt;0,'Tableaux amortissement proj (2'!T325,IF('Tableaux amortissement proj (2'!S325&gt;0,IF(AND(_echfixe12,H334&gt;0),ROUND(('Tableaux amortissement proj (2'!AA325-'Tableaux amortissement proj (2'!R325)*H334/(1-((1+H334)^-'Tableaux amortissement proj (2'!S325)),_nbdeci1t1),ROUND('Tableaux amortissement proj (2'!AA325/'Tableaux amortissement proj (2'!S325,_nbdeci1t1)),I333))</f>
        <v>240200</v>
      </c>
      <c r="J334" s="10"/>
      <c r="K334" s="10"/>
      <c r="L334" s="10"/>
      <c r="M334" s="10"/>
      <c r="O334" s="186">
        <v>332</v>
      </c>
    </row>
    <row r="335" spans="1:15" x14ac:dyDescent="0.2">
      <c r="A335" s="29">
        <f>IF('Tableaux amortissement proj (2'!A326&gt;0,IF(_tauxactuariel1t,(('Tableaux amortissement proj (2'!A326+1)^(1/_nbechan1t))-1,'Tableaux amortissement proj (2'!A326/_nbechan1t),A334)</f>
        <v>1.5499999999999999E-3</v>
      </c>
      <c r="B335" s="28">
        <f>IF('Tableaux amortissement proj (2'!D326&gt;0,'Tableaux amortissement proj (2'!D326,IF('Tableaux amortissement proj (2'!C326&gt;0,IF(AND(_echfixe1t,A335&gt;0),ROUND(('Tableaux amortissement proj (2'!K326-'Tableaux amortissement proj (2'!B326)*A335/(1-((1+A335)^-'Tableaux amortissement proj (2'!C326)),_nbdeci1t),ROUND('Tableaux amortissement proj (2'!K326/'Tableaux amortissement proj (2'!C326,_nbdeci1t)),B334))</f>
        <v>606.91999999999996</v>
      </c>
      <c r="C335" s="10"/>
      <c r="D335" s="10"/>
      <c r="E335" s="10"/>
      <c r="F335" s="10"/>
      <c r="H335" s="29">
        <f>IF('Tableaux amortissement proj (2'!Q326&gt;0,IF(_tauxactuariel1t1,(('Tableaux amortissement proj (2'!Q326+1)^(1/_nebchan1t))-1,'Tableaux amortissement proj (2'!Q326/_nebchan1t),H334)</f>
        <v>8.3333333333333339E-4</v>
      </c>
      <c r="I335" s="28">
        <f>IF('Tableaux amortissement proj (2'!T326&gt;0,'Tableaux amortissement proj (2'!T326,IF('Tableaux amortissement proj (2'!S326&gt;0,IF(AND(_echfixe12,H335&gt;0),ROUND(('Tableaux amortissement proj (2'!AA326-'Tableaux amortissement proj (2'!R326)*H335/(1-((1+H335)^-'Tableaux amortissement proj (2'!S326)),_nbdeci1t1),ROUND('Tableaux amortissement proj (2'!AA326/'Tableaux amortissement proj (2'!S326,_nbdeci1t1)),I334))</f>
        <v>240200</v>
      </c>
      <c r="J335" s="10"/>
      <c r="K335" s="10"/>
      <c r="L335" s="10"/>
      <c r="M335" s="10"/>
      <c r="O335" s="186">
        <v>333</v>
      </c>
    </row>
    <row r="336" spans="1:15" x14ac:dyDescent="0.2">
      <c r="A336" s="29">
        <f>IF('Tableaux amortissement proj (2'!A327&gt;0,IF(_tauxactuariel1t,(('Tableaux amortissement proj (2'!A327+1)^(1/_nbechan1t))-1,'Tableaux amortissement proj (2'!A327/_nbechan1t),A335)</f>
        <v>1.5499999999999999E-3</v>
      </c>
      <c r="B336" s="28">
        <f>IF('Tableaux amortissement proj (2'!D327&gt;0,'Tableaux amortissement proj (2'!D327,IF('Tableaux amortissement proj (2'!C327&gt;0,IF(AND(_echfixe1t,A336&gt;0),ROUND(('Tableaux amortissement proj (2'!K327-'Tableaux amortissement proj (2'!B327)*A336/(1-((1+A336)^-'Tableaux amortissement proj (2'!C327)),_nbdeci1t),ROUND('Tableaux amortissement proj (2'!K327/'Tableaux amortissement proj (2'!C327,_nbdeci1t)),B335))</f>
        <v>606.91999999999996</v>
      </c>
      <c r="C336" s="10"/>
      <c r="D336" s="10"/>
      <c r="E336" s="10"/>
      <c r="F336" s="10"/>
      <c r="H336" s="29">
        <f>IF('Tableaux amortissement proj (2'!Q327&gt;0,IF(_tauxactuariel1t1,(('Tableaux amortissement proj (2'!Q327+1)^(1/_nebchan1t))-1,'Tableaux amortissement proj (2'!Q327/_nebchan1t),H335)</f>
        <v>8.3333333333333339E-4</v>
      </c>
      <c r="I336" s="28">
        <f>IF('Tableaux amortissement proj (2'!T327&gt;0,'Tableaux amortissement proj (2'!T327,IF('Tableaux amortissement proj (2'!S327&gt;0,IF(AND(_echfixe12,H336&gt;0),ROUND(('Tableaux amortissement proj (2'!AA327-'Tableaux amortissement proj (2'!R327)*H336/(1-((1+H336)^-'Tableaux amortissement proj (2'!S327)),_nbdeci1t1),ROUND('Tableaux amortissement proj (2'!AA327/'Tableaux amortissement proj (2'!S327,_nbdeci1t1)),I335))</f>
        <v>240200</v>
      </c>
      <c r="J336" s="10"/>
      <c r="K336" s="10"/>
      <c r="L336" s="10"/>
      <c r="M336" s="10"/>
      <c r="O336" s="186">
        <v>334</v>
      </c>
    </row>
    <row r="337" spans="1:15" x14ac:dyDescent="0.2">
      <c r="A337" s="29">
        <f>IF('Tableaux amortissement proj (2'!A328&gt;0,IF(_tauxactuariel1t,(('Tableaux amortissement proj (2'!A328+1)^(1/_nbechan1t))-1,'Tableaux amortissement proj (2'!A328/_nbechan1t),A336)</f>
        <v>1.5499999999999999E-3</v>
      </c>
      <c r="B337" s="28">
        <f>IF('Tableaux amortissement proj (2'!D328&gt;0,'Tableaux amortissement proj (2'!D328,IF('Tableaux amortissement proj (2'!C328&gt;0,IF(AND(_echfixe1t,A337&gt;0),ROUND(('Tableaux amortissement proj (2'!K328-'Tableaux amortissement proj (2'!B328)*A337/(1-((1+A337)^-'Tableaux amortissement proj (2'!C328)),_nbdeci1t),ROUND('Tableaux amortissement proj (2'!K328/'Tableaux amortissement proj (2'!C328,_nbdeci1t)),B336))</f>
        <v>606.91999999999996</v>
      </c>
      <c r="C337" s="10"/>
      <c r="D337" s="10"/>
      <c r="E337" s="10"/>
      <c r="F337" s="10"/>
      <c r="H337" s="29">
        <f>IF('Tableaux amortissement proj (2'!Q328&gt;0,IF(_tauxactuariel1t1,(('Tableaux amortissement proj (2'!Q328+1)^(1/_nebchan1t))-1,'Tableaux amortissement proj (2'!Q328/_nebchan1t),H336)</f>
        <v>8.3333333333333339E-4</v>
      </c>
      <c r="I337" s="28">
        <f>IF('Tableaux amortissement proj (2'!T328&gt;0,'Tableaux amortissement proj (2'!T328,IF('Tableaux amortissement proj (2'!S328&gt;0,IF(AND(_echfixe12,H337&gt;0),ROUND(('Tableaux amortissement proj (2'!AA328-'Tableaux amortissement proj (2'!R328)*H337/(1-((1+H337)^-'Tableaux amortissement proj (2'!S328)),_nbdeci1t1),ROUND('Tableaux amortissement proj (2'!AA328/'Tableaux amortissement proj (2'!S328,_nbdeci1t1)),I336))</f>
        <v>240200</v>
      </c>
      <c r="J337" s="10"/>
      <c r="K337" s="10"/>
      <c r="L337" s="10"/>
      <c r="M337" s="10"/>
      <c r="O337" s="186">
        <v>335</v>
      </c>
    </row>
    <row r="338" spans="1:15" x14ac:dyDescent="0.2">
      <c r="A338" s="29">
        <f>IF('Tableaux amortissement proj (2'!A329&gt;0,IF(_tauxactuariel1t,(('Tableaux amortissement proj (2'!A329+1)^(1/_nbechan1t))-1,'Tableaux amortissement proj (2'!A329/_nbechan1t),A337)</f>
        <v>1.5499999999999999E-3</v>
      </c>
      <c r="B338" s="28">
        <f>IF('Tableaux amortissement proj (2'!D329&gt;0,'Tableaux amortissement proj (2'!D329,IF('Tableaux amortissement proj (2'!C329&gt;0,IF(AND(_echfixe1t,A338&gt;0),ROUND(('Tableaux amortissement proj (2'!K329-'Tableaux amortissement proj (2'!B329)*A338/(1-((1+A338)^-'Tableaux amortissement proj (2'!C329)),_nbdeci1t),ROUND('Tableaux amortissement proj (2'!K329/'Tableaux amortissement proj (2'!C329,_nbdeci1t)),B337))</f>
        <v>606.91999999999996</v>
      </c>
      <c r="C338" s="10"/>
      <c r="D338" s="10"/>
      <c r="E338" s="10"/>
      <c r="F338" s="10"/>
      <c r="H338" s="29">
        <f>IF('Tableaux amortissement proj (2'!Q329&gt;0,IF(_tauxactuariel1t1,(('Tableaux amortissement proj (2'!Q329+1)^(1/_nebchan1t))-1,'Tableaux amortissement proj (2'!Q329/_nebchan1t),H337)</f>
        <v>8.3333333333333339E-4</v>
      </c>
      <c r="I338" s="28">
        <f>IF('Tableaux amortissement proj (2'!T329&gt;0,'Tableaux amortissement proj (2'!T329,IF('Tableaux amortissement proj (2'!S329&gt;0,IF(AND(_echfixe12,H338&gt;0),ROUND(('Tableaux amortissement proj (2'!AA329-'Tableaux amortissement proj (2'!R329)*H338/(1-((1+H338)^-'Tableaux amortissement proj (2'!S329)),_nbdeci1t1),ROUND('Tableaux amortissement proj (2'!AA329/'Tableaux amortissement proj (2'!S329,_nbdeci1t1)),I337))</f>
        <v>240200</v>
      </c>
      <c r="J338" s="10"/>
      <c r="K338" s="10"/>
      <c r="L338" s="10"/>
      <c r="M338" s="10"/>
      <c r="O338" s="186">
        <v>336</v>
      </c>
    </row>
    <row r="339" spans="1:15" x14ac:dyDescent="0.2">
      <c r="A339" s="29">
        <f>IF('Tableaux amortissement proj (2'!A330&gt;0,IF(_tauxactuariel1t,(('Tableaux amortissement proj (2'!A330+1)^(1/_nbechan1t))-1,'Tableaux amortissement proj (2'!A330/_nbechan1t),A338)</f>
        <v>1.5499999999999999E-3</v>
      </c>
      <c r="B339" s="28">
        <f>IF('Tableaux amortissement proj (2'!D330&gt;0,'Tableaux amortissement proj (2'!D330,IF('Tableaux amortissement proj (2'!C330&gt;0,IF(AND(_echfixe1t,A339&gt;0),ROUND(('Tableaux amortissement proj (2'!K330-'Tableaux amortissement proj (2'!B330)*A339/(1-((1+A339)^-'Tableaux amortissement proj (2'!C330)),_nbdeci1t),ROUND('Tableaux amortissement proj (2'!K330/'Tableaux amortissement proj (2'!C330,_nbdeci1t)),B338))</f>
        <v>606.91999999999996</v>
      </c>
      <c r="C339" s="10"/>
      <c r="D339" s="10"/>
      <c r="E339" s="10"/>
      <c r="F339" s="10"/>
      <c r="H339" s="29">
        <f>IF('Tableaux amortissement proj (2'!Q330&gt;0,IF(_tauxactuariel1t1,(('Tableaux amortissement proj (2'!Q330+1)^(1/_nebchan1t))-1,'Tableaux amortissement proj (2'!Q330/_nebchan1t),H338)</f>
        <v>8.3333333333333339E-4</v>
      </c>
      <c r="I339" s="28">
        <f>IF('Tableaux amortissement proj (2'!T330&gt;0,'Tableaux amortissement proj (2'!T330,IF('Tableaux amortissement proj (2'!S330&gt;0,IF(AND(_echfixe12,H339&gt;0),ROUND(('Tableaux amortissement proj (2'!AA330-'Tableaux amortissement proj (2'!R330)*H339/(1-((1+H339)^-'Tableaux amortissement proj (2'!S330)),_nbdeci1t1),ROUND('Tableaux amortissement proj (2'!AA330/'Tableaux amortissement proj (2'!S330,_nbdeci1t1)),I338))</f>
        <v>240200</v>
      </c>
      <c r="J339" s="10"/>
      <c r="K339" s="10"/>
      <c r="L339" s="10"/>
      <c r="M339" s="10"/>
      <c r="O339" s="186">
        <v>337</v>
      </c>
    </row>
    <row r="340" spans="1:15" x14ac:dyDescent="0.2">
      <c r="A340" s="29">
        <f>IF('Tableaux amortissement proj (2'!A331&gt;0,IF(_tauxactuariel1t,(('Tableaux amortissement proj (2'!A331+1)^(1/_nbechan1t))-1,'Tableaux amortissement proj (2'!A331/_nbechan1t),A339)</f>
        <v>1.5499999999999999E-3</v>
      </c>
      <c r="B340" s="28">
        <f>IF('Tableaux amortissement proj (2'!D331&gt;0,'Tableaux amortissement proj (2'!D331,IF('Tableaux amortissement proj (2'!C331&gt;0,IF(AND(_echfixe1t,A340&gt;0),ROUND(('Tableaux amortissement proj (2'!K331-'Tableaux amortissement proj (2'!B331)*A340/(1-((1+A340)^-'Tableaux amortissement proj (2'!C331)),_nbdeci1t),ROUND('Tableaux amortissement proj (2'!K331/'Tableaux amortissement proj (2'!C331,_nbdeci1t)),B339))</f>
        <v>606.91999999999996</v>
      </c>
      <c r="C340" s="10"/>
      <c r="D340" s="10"/>
      <c r="E340" s="10"/>
      <c r="F340" s="10"/>
      <c r="H340" s="29">
        <f>IF('Tableaux amortissement proj (2'!Q331&gt;0,IF(_tauxactuariel1t1,(('Tableaux amortissement proj (2'!Q331+1)^(1/_nebchan1t))-1,'Tableaux amortissement proj (2'!Q331/_nebchan1t),H339)</f>
        <v>8.3333333333333339E-4</v>
      </c>
      <c r="I340" s="28">
        <f>IF('Tableaux amortissement proj (2'!T331&gt;0,'Tableaux amortissement proj (2'!T331,IF('Tableaux amortissement proj (2'!S331&gt;0,IF(AND(_echfixe12,H340&gt;0),ROUND(('Tableaux amortissement proj (2'!AA331-'Tableaux amortissement proj (2'!R331)*H340/(1-((1+H340)^-'Tableaux amortissement proj (2'!S331)),_nbdeci1t1),ROUND('Tableaux amortissement proj (2'!AA331/'Tableaux amortissement proj (2'!S331,_nbdeci1t1)),I339))</f>
        <v>240200</v>
      </c>
      <c r="J340" s="10"/>
      <c r="K340" s="10"/>
      <c r="L340" s="10"/>
      <c r="M340" s="10"/>
      <c r="O340" s="186">
        <v>338</v>
      </c>
    </row>
    <row r="341" spans="1:15" x14ac:dyDescent="0.2">
      <c r="A341" s="29">
        <f>IF('Tableaux amortissement proj (2'!A332&gt;0,IF(_tauxactuariel1t,(('Tableaux amortissement proj (2'!A332+1)^(1/_nbechan1t))-1,'Tableaux amortissement proj (2'!A332/_nbechan1t),A340)</f>
        <v>1.5499999999999999E-3</v>
      </c>
      <c r="B341" s="28">
        <f>IF('Tableaux amortissement proj (2'!D332&gt;0,'Tableaux amortissement proj (2'!D332,IF('Tableaux amortissement proj (2'!C332&gt;0,IF(AND(_echfixe1t,A341&gt;0),ROUND(('Tableaux amortissement proj (2'!K332-'Tableaux amortissement proj (2'!B332)*A341/(1-((1+A341)^-'Tableaux amortissement proj (2'!C332)),_nbdeci1t),ROUND('Tableaux amortissement proj (2'!K332/'Tableaux amortissement proj (2'!C332,_nbdeci1t)),B340))</f>
        <v>606.91999999999996</v>
      </c>
      <c r="C341" s="10"/>
      <c r="D341" s="10"/>
      <c r="E341" s="10"/>
      <c r="F341" s="10"/>
      <c r="H341" s="29">
        <f>IF('Tableaux amortissement proj (2'!Q332&gt;0,IF(_tauxactuariel1t1,(('Tableaux amortissement proj (2'!Q332+1)^(1/_nebchan1t))-1,'Tableaux amortissement proj (2'!Q332/_nebchan1t),H340)</f>
        <v>8.3333333333333339E-4</v>
      </c>
      <c r="I341" s="28">
        <f>IF('Tableaux amortissement proj (2'!T332&gt;0,'Tableaux amortissement proj (2'!T332,IF('Tableaux amortissement proj (2'!S332&gt;0,IF(AND(_echfixe12,H341&gt;0),ROUND(('Tableaux amortissement proj (2'!AA332-'Tableaux amortissement proj (2'!R332)*H341/(1-((1+H341)^-'Tableaux amortissement proj (2'!S332)),_nbdeci1t1),ROUND('Tableaux amortissement proj (2'!AA332/'Tableaux amortissement proj (2'!S332,_nbdeci1t1)),I340))</f>
        <v>240200</v>
      </c>
      <c r="J341" s="10"/>
      <c r="K341" s="10"/>
      <c r="L341" s="10"/>
      <c r="M341" s="10"/>
      <c r="O341" s="186">
        <v>339</v>
      </c>
    </row>
    <row r="342" spans="1:15" x14ac:dyDescent="0.2">
      <c r="A342" s="29">
        <f>IF('Tableaux amortissement proj (2'!A333&gt;0,IF(_tauxactuariel1t,(('Tableaux amortissement proj (2'!A333+1)^(1/_nbechan1t))-1,'Tableaux amortissement proj (2'!A333/_nbechan1t),A341)</f>
        <v>1.5499999999999999E-3</v>
      </c>
      <c r="B342" s="28">
        <f>IF('Tableaux amortissement proj (2'!D333&gt;0,'Tableaux amortissement proj (2'!D333,IF('Tableaux amortissement proj (2'!C333&gt;0,IF(AND(_echfixe1t,A342&gt;0),ROUND(('Tableaux amortissement proj (2'!K333-'Tableaux amortissement proj (2'!B333)*A342/(1-((1+A342)^-'Tableaux amortissement proj (2'!C333)),_nbdeci1t),ROUND('Tableaux amortissement proj (2'!K333/'Tableaux amortissement proj (2'!C333,_nbdeci1t)),B341))</f>
        <v>606.91999999999996</v>
      </c>
      <c r="C342" s="10"/>
      <c r="D342" s="10"/>
      <c r="E342" s="10"/>
      <c r="F342" s="10"/>
      <c r="H342" s="29">
        <f>IF('Tableaux amortissement proj (2'!Q333&gt;0,IF(_tauxactuariel1t1,(('Tableaux amortissement proj (2'!Q333+1)^(1/_nebchan1t))-1,'Tableaux amortissement proj (2'!Q333/_nebchan1t),H341)</f>
        <v>8.3333333333333339E-4</v>
      </c>
      <c r="I342" s="28">
        <f>IF('Tableaux amortissement proj (2'!T333&gt;0,'Tableaux amortissement proj (2'!T333,IF('Tableaux amortissement proj (2'!S333&gt;0,IF(AND(_echfixe12,H342&gt;0),ROUND(('Tableaux amortissement proj (2'!AA333-'Tableaux amortissement proj (2'!R333)*H342/(1-((1+H342)^-'Tableaux amortissement proj (2'!S333)),_nbdeci1t1),ROUND('Tableaux amortissement proj (2'!AA333/'Tableaux amortissement proj (2'!S333,_nbdeci1t1)),I341))</f>
        <v>240200</v>
      </c>
      <c r="J342" s="10"/>
      <c r="K342" s="10"/>
      <c r="L342" s="10"/>
      <c r="M342" s="10"/>
      <c r="O342" s="186">
        <v>340</v>
      </c>
    </row>
    <row r="343" spans="1:15" x14ac:dyDescent="0.2">
      <c r="A343" s="29">
        <f>IF('Tableaux amortissement proj (2'!A334&gt;0,IF(_tauxactuariel1t,(('Tableaux amortissement proj (2'!A334+1)^(1/_nbechan1t))-1,'Tableaux amortissement proj (2'!A334/_nbechan1t),A342)</f>
        <v>1.5499999999999999E-3</v>
      </c>
      <c r="B343" s="28">
        <f>IF('Tableaux amortissement proj (2'!D334&gt;0,'Tableaux amortissement proj (2'!D334,IF('Tableaux amortissement proj (2'!C334&gt;0,IF(AND(_echfixe1t,A343&gt;0),ROUND(('Tableaux amortissement proj (2'!K334-'Tableaux amortissement proj (2'!B334)*A343/(1-((1+A343)^-'Tableaux amortissement proj (2'!C334)),_nbdeci1t),ROUND('Tableaux amortissement proj (2'!K334/'Tableaux amortissement proj (2'!C334,_nbdeci1t)),B342))</f>
        <v>606.91999999999996</v>
      </c>
      <c r="C343" s="10"/>
      <c r="D343" s="10"/>
      <c r="E343" s="10"/>
      <c r="F343" s="10"/>
      <c r="H343" s="29">
        <f>IF('Tableaux amortissement proj (2'!Q334&gt;0,IF(_tauxactuariel1t1,(('Tableaux amortissement proj (2'!Q334+1)^(1/_nebchan1t))-1,'Tableaux amortissement proj (2'!Q334/_nebchan1t),H342)</f>
        <v>8.3333333333333339E-4</v>
      </c>
      <c r="I343" s="28">
        <f>IF('Tableaux amortissement proj (2'!T334&gt;0,'Tableaux amortissement proj (2'!T334,IF('Tableaux amortissement proj (2'!S334&gt;0,IF(AND(_echfixe12,H343&gt;0),ROUND(('Tableaux amortissement proj (2'!AA334-'Tableaux amortissement proj (2'!R334)*H343/(1-((1+H343)^-'Tableaux amortissement proj (2'!S334)),_nbdeci1t1),ROUND('Tableaux amortissement proj (2'!AA334/'Tableaux amortissement proj (2'!S334,_nbdeci1t1)),I342))</f>
        <v>240200</v>
      </c>
      <c r="J343" s="10"/>
      <c r="K343" s="10"/>
      <c r="L343" s="10"/>
      <c r="M343" s="10"/>
      <c r="O343" s="186">
        <v>341</v>
      </c>
    </row>
    <row r="344" spans="1:15" x14ac:dyDescent="0.2">
      <c r="A344" s="29">
        <f>IF('Tableaux amortissement proj (2'!A335&gt;0,IF(_tauxactuariel1t,(('Tableaux amortissement proj (2'!A335+1)^(1/_nbechan1t))-1,'Tableaux amortissement proj (2'!A335/_nbechan1t),A343)</f>
        <v>1.5499999999999999E-3</v>
      </c>
      <c r="B344" s="28">
        <f>IF('Tableaux amortissement proj (2'!D335&gt;0,'Tableaux amortissement proj (2'!D335,IF('Tableaux amortissement proj (2'!C335&gt;0,IF(AND(_echfixe1t,A344&gt;0),ROUND(('Tableaux amortissement proj (2'!K335-'Tableaux amortissement proj (2'!B335)*A344/(1-((1+A344)^-'Tableaux amortissement proj (2'!C335)),_nbdeci1t),ROUND('Tableaux amortissement proj (2'!K335/'Tableaux amortissement proj (2'!C335,_nbdeci1t)),B343))</f>
        <v>606.91999999999996</v>
      </c>
      <c r="C344" s="10"/>
      <c r="D344" s="10"/>
      <c r="E344" s="10"/>
      <c r="F344" s="10"/>
      <c r="H344" s="29">
        <f>IF('Tableaux amortissement proj (2'!Q335&gt;0,IF(_tauxactuariel1t1,(('Tableaux amortissement proj (2'!Q335+1)^(1/_nebchan1t))-1,'Tableaux amortissement proj (2'!Q335/_nebchan1t),H343)</f>
        <v>8.3333333333333339E-4</v>
      </c>
      <c r="I344" s="28">
        <f>IF('Tableaux amortissement proj (2'!T335&gt;0,'Tableaux amortissement proj (2'!T335,IF('Tableaux amortissement proj (2'!S335&gt;0,IF(AND(_echfixe12,H344&gt;0),ROUND(('Tableaux amortissement proj (2'!AA335-'Tableaux amortissement proj (2'!R335)*H344/(1-((1+H344)^-'Tableaux amortissement proj (2'!S335)),_nbdeci1t1),ROUND('Tableaux amortissement proj (2'!AA335/'Tableaux amortissement proj (2'!S335,_nbdeci1t1)),I343))</f>
        <v>240200</v>
      </c>
      <c r="J344" s="10"/>
      <c r="K344" s="10"/>
      <c r="L344" s="10"/>
      <c r="M344" s="10"/>
      <c r="O344" s="186">
        <v>342</v>
      </c>
    </row>
    <row r="345" spans="1:15" x14ac:dyDescent="0.2">
      <c r="A345" s="29">
        <f>IF('Tableaux amortissement proj (2'!A336&gt;0,IF(_tauxactuariel1t,(('Tableaux amortissement proj (2'!A336+1)^(1/_nbechan1t))-1,'Tableaux amortissement proj (2'!A336/_nbechan1t),A344)</f>
        <v>1.5499999999999999E-3</v>
      </c>
      <c r="B345" s="28">
        <f>IF('Tableaux amortissement proj (2'!D336&gt;0,'Tableaux amortissement proj (2'!D336,IF('Tableaux amortissement proj (2'!C336&gt;0,IF(AND(_echfixe1t,A345&gt;0),ROUND(('Tableaux amortissement proj (2'!K336-'Tableaux amortissement proj (2'!B336)*A345/(1-((1+A345)^-'Tableaux amortissement proj (2'!C336)),_nbdeci1t),ROUND('Tableaux amortissement proj (2'!K336/'Tableaux amortissement proj (2'!C336,_nbdeci1t)),B344))</f>
        <v>606.91999999999996</v>
      </c>
      <c r="C345" s="10"/>
      <c r="D345" s="10"/>
      <c r="E345" s="10"/>
      <c r="F345" s="10"/>
      <c r="H345" s="29">
        <f>IF('Tableaux amortissement proj (2'!Q336&gt;0,IF(_tauxactuariel1t1,(('Tableaux amortissement proj (2'!Q336+1)^(1/_nebchan1t))-1,'Tableaux amortissement proj (2'!Q336/_nebchan1t),H344)</f>
        <v>8.3333333333333339E-4</v>
      </c>
      <c r="I345" s="28">
        <f>IF('Tableaux amortissement proj (2'!T336&gt;0,'Tableaux amortissement proj (2'!T336,IF('Tableaux amortissement proj (2'!S336&gt;0,IF(AND(_echfixe12,H345&gt;0),ROUND(('Tableaux amortissement proj (2'!AA336-'Tableaux amortissement proj (2'!R336)*H345/(1-((1+H345)^-'Tableaux amortissement proj (2'!S336)),_nbdeci1t1),ROUND('Tableaux amortissement proj (2'!AA336/'Tableaux amortissement proj (2'!S336,_nbdeci1t1)),I344))</f>
        <v>240200</v>
      </c>
      <c r="J345" s="10"/>
      <c r="K345" s="10"/>
      <c r="L345" s="10"/>
      <c r="M345" s="10"/>
      <c r="O345" s="186">
        <v>343</v>
      </c>
    </row>
    <row r="346" spans="1:15" x14ac:dyDescent="0.2">
      <c r="A346" s="29">
        <f>IF('Tableaux amortissement proj (2'!A337&gt;0,IF(_tauxactuariel1t,(('Tableaux amortissement proj (2'!A337+1)^(1/_nbechan1t))-1,'Tableaux amortissement proj (2'!A337/_nbechan1t),A345)</f>
        <v>1.5499999999999999E-3</v>
      </c>
      <c r="B346" s="28">
        <f>IF('Tableaux amortissement proj (2'!D337&gt;0,'Tableaux amortissement proj (2'!D337,IF('Tableaux amortissement proj (2'!C337&gt;0,IF(AND(_echfixe1t,A346&gt;0),ROUND(('Tableaux amortissement proj (2'!K337-'Tableaux amortissement proj (2'!B337)*A346/(1-((1+A346)^-'Tableaux amortissement proj (2'!C337)),_nbdeci1t),ROUND('Tableaux amortissement proj (2'!K337/'Tableaux amortissement proj (2'!C337,_nbdeci1t)),B345))</f>
        <v>606.91999999999996</v>
      </c>
      <c r="C346" s="10"/>
      <c r="D346" s="10"/>
      <c r="E346" s="10"/>
      <c r="F346" s="10"/>
      <c r="H346" s="29">
        <f>IF('Tableaux amortissement proj (2'!Q337&gt;0,IF(_tauxactuariel1t1,(('Tableaux amortissement proj (2'!Q337+1)^(1/_nebchan1t))-1,'Tableaux amortissement proj (2'!Q337/_nebchan1t),H345)</f>
        <v>8.3333333333333339E-4</v>
      </c>
      <c r="I346" s="28">
        <f>IF('Tableaux amortissement proj (2'!T337&gt;0,'Tableaux amortissement proj (2'!T337,IF('Tableaux amortissement proj (2'!S337&gt;0,IF(AND(_echfixe12,H346&gt;0),ROUND(('Tableaux amortissement proj (2'!AA337-'Tableaux amortissement proj (2'!R337)*H346/(1-((1+H346)^-'Tableaux amortissement proj (2'!S337)),_nbdeci1t1),ROUND('Tableaux amortissement proj (2'!AA337/'Tableaux amortissement proj (2'!S337,_nbdeci1t1)),I345))</f>
        <v>240200</v>
      </c>
      <c r="J346" s="10"/>
      <c r="K346" s="10"/>
      <c r="L346" s="10"/>
      <c r="M346" s="10"/>
      <c r="O346" s="186">
        <v>344</v>
      </c>
    </row>
    <row r="347" spans="1:15" x14ac:dyDescent="0.2">
      <c r="A347" s="29">
        <f>IF('Tableaux amortissement proj (2'!A338&gt;0,IF(_tauxactuariel1t,(('Tableaux amortissement proj (2'!A338+1)^(1/_nbechan1t))-1,'Tableaux amortissement proj (2'!A338/_nbechan1t),A346)</f>
        <v>1.5499999999999999E-3</v>
      </c>
      <c r="B347" s="28">
        <f>IF('Tableaux amortissement proj (2'!D338&gt;0,'Tableaux amortissement proj (2'!D338,IF('Tableaux amortissement proj (2'!C338&gt;0,IF(AND(_echfixe1t,A347&gt;0),ROUND(('Tableaux amortissement proj (2'!K338-'Tableaux amortissement proj (2'!B338)*A347/(1-((1+A347)^-'Tableaux amortissement proj (2'!C338)),_nbdeci1t),ROUND('Tableaux amortissement proj (2'!K338/'Tableaux amortissement proj (2'!C338,_nbdeci1t)),B346))</f>
        <v>606.91999999999996</v>
      </c>
      <c r="C347" s="10"/>
      <c r="D347" s="10"/>
      <c r="E347" s="10"/>
      <c r="F347" s="10"/>
      <c r="H347" s="29">
        <f>IF('Tableaux amortissement proj (2'!Q338&gt;0,IF(_tauxactuariel1t1,(('Tableaux amortissement proj (2'!Q338+1)^(1/_nebchan1t))-1,'Tableaux amortissement proj (2'!Q338/_nebchan1t),H346)</f>
        <v>8.3333333333333339E-4</v>
      </c>
      <c r="I347" s="28">
        <f>IF('Tableaux amortissement proj (2'!T338&gt;0,'Tableaux amortissement proj (2'!T338,IF('Tableaux amortissement proj (2'!S338&gt;0,IF(AND(_echfixe12,H347&gt;0),ROUND(('Tableaux amortissement proj (2'!AA338-'Tableaux amortissement proj (2'!R338)*H347/(1-((1+H347)^-'Tableaux amortissement proj (2'!S338)),_nbdeci1t1),ROUND('Tableaux amortissement proj (2'!AA338/'Tableaux amortissement proj (2'!S338,_nbdeci1t1)),I346))</f>
        <v>240200</v>
      </c>
      <c r="J347" s="10"/>
      <c r="K347" s="10"/>
      <c r="L347" s="10"/>
      <c r="M347" s="10"/>
      <c r="O347" s="186">
        <v>345</v>
      </c>
    </row>
    <row r="348" spans="1:15" x14ac:dyDescent="0.2">
      <c r="A348" s="29">
        <f>IF('Tableaux amortissement proj (2'!A339&gt;0,IF(_tauxactuariel1t,(('Tableaux amortissement proj (2'!A339+1)^(1/_nbechan1t))-1,'Tableaux amortissement proj (2'!A339/_nbechan1t),A347)</f>
        <v>1.5499999999999999E-3</v>
      </c>
      <c r="B348" s="28">
        <f>IF('Tableaux amortissement proj (2'!D339&gt;0,'Tableaux amortissement proj (2'!D339,IF('Tableaux amortissement proj (2'!C339&gt;0,IF(AND(_echfixe1t,A348&gt;0),ROUND(('Tableaux amortissement proj (2'!K339-'Tableaux amortissement proj (2'!B339)*A348/(1-((1+A348)^-'Tableaux amortissement proj (2'!C339)),_nbdeci1t),ROUND('Tableaux amortissement proj (2'!K339/'Tableaux amortissement proj (2'!C339,_nbdeci1t)),B347))</f>
        <v>606.91999999999996</v>
      </c>
      <c r="C348" s="10"/>
      <c r="D348" s="10"/>
      <c r="E348" s="10"/>
      <c r="F348" s="10"/>
      <c r="H348" s="29">
        <f>IF('Tableaux amortissement proj (2'!Q339&gt;0,IF(_tauxactuariel1t1,(('Tableaux amortissement proj (2'!Q339+1)^(1/_nebchan1t))-1,'Tableaux amortissement proj (2'!Q339/_nebchan1t),H347)</f>
        <v>8.3333333333333339E-4</v>
      </c>
      <c r="I348" s="28">
        <f>IF('Tableaux amortissement proj (2'!T339&gt;0,'Tableaux amortissement proj (2'!T339,IF('Tableaux amortissement proj (2'!S339&gt;0,IF(AND(_echfixe12,H348&gt;0),ROUND(('Tableaux amortissement proj (2'!AA339-'Tableaux amortissement proj (2'!R339)*H348/(1-((1+H348)^-'Tableaux amortissement proj (2'!S339)),_nbdeci1t1),ROUND('Tableaux amortissement proj (2'!AA339/'Tableaux amortissement proj (2'!S339,_nbdeci1t1)),I347))</f>
        <v>240200</v>
      </c>
      <c r="J348" s="10"/>
      <c r="K348" s="10"/>
      <c r="L348" s="10"/>
      <c r="M348" s="10"/>
      <c r="O348" s="186">
        <v>346</v>
      </c>
    </row>
    <row r="349" spans="1:15" x14ac:dyDescent="0.2">
      <c r="A349" s="29">
        <f>IF('Tableaux amortissement proj (2'!A340&gt;0,IF(_tauxactuariel1t,(('Tableaux amortissement proj (2'!A340+1)^(1/_nbechan1t))-1,'Tableaux amortissement proj (2'!A340/_nbechan1t),A348)</f>
        <v>1.5499999999999999E-3</v>
      </c>
      <c r="B349" s="28">
        <f>IF('Tableaux amortissement proj (2'!D340&gt;0,'Tableaux amortissement proj (2'!D340,IF('Tableaux amortissement proj (2'!C340&gt;0,IF(AND(_echfixe1t,A349&gt;0),ROUND(('Tableaux amortissement proj (2'!K340-'Tableaux amortissement proj (2'!B340)*A349/(1-((1+A349)^-'Tableaux amortissement proj (2'!C340)),_nbdeci1t),ROUND('Tableaux amortissement proj (2'!K340/'Tableaux amortissement proj (2'!C340,_nbdeci1t)),B348))</f>
        <v>606.91999999999996</v>
      </c>
      <c r="C349" s="10"/>
      <c r="D349" s="10"/>
      <c r="E349" s="10"/>
      <c r="F349" s="10"/>
      <c r="H349" s="29">
        <f>IF('Tableaux amortissement proj (2'!Q340&gt;0,IF(_tauxactuariel1t1,(('Tableaux amortissement proj (2'!Q340+1)^(1/_nebchan1t))-1,'Tableaux amortissement proj (2'!Q340/_nebchan1t),H348)</f>
        <v>8.3333333333333339E-4</v>
      </c>
      <c r="I349" s="28">
        <f>IF('Tableaux amortissement proj (2'!T340&gt;0,'Tableaux amortissement proj (2'!T340,IF('Tableaux amortissement proj (2'!S340&gt;0,IF(AND(_echfixe12,H349&gt;0),ROUND(('Tableaux amortissement proj (2'!AA340-'Tableaux amortissement proj (2'!R340)*H349/(1-((1+H349)^-'Tableaux amortissement proj (2'!S340)),_nbdeci1t1),ROUND('Tableaux amortissement proj (2'!AA340/'Tableaux amortissement proj (2'!S340,_nbdeci1t1)),I348))</f>
        <v>240200</v>
      </c>
      <c r="J349" s="10"/>
      <c r="K349" s="10"/>
      <c r="L349" s="10"/>
      <c r="M349" s="10"/>
      <c r="O349" s="186">
        <v>347</v>
      </c>
    </row>
    <row r="350" spans="1:15" x14ac:dyDescent="0.2">
      <c r="A350" s="29">
        <f>IF('Tableaux amortissement proj (2'!A341&gt;0,IF(_tauxactuariel1t,(('Tableaux amortissement proj (2'!A341+1)^(1/_nbechan1t))-1,'Tableaux amortissement proj (2'!A341/_nbechan1t),A349)</f>
        <v>1.5499999999999999E-3</v>
      </c>
      <c r="B350" s="28">
        <f>IF('Tableaux amortissement proj (2'!D341&gt;0,'Tableaux amortissement proj (2'!D341,IF('Tableaux amortissement proj (2'!C341&gt;0,IF(AND(_echfixe1t,A350&gt;0),ROUND(('Tableaux amortissement proj (2'!K341-'Tableaux amortissement proj (2'!B341)*A350/(1-((1+A350)^-'Tableaux amortissement proj (2'!C341)),_nbdeci1t),ROUND('Tableaux amortissement proj (2'!K341/'Tableaux amortissement proj (2'!C341,_nbdeci1t)),B349))</f>
        <v>606.91999999999996</v>
      </c>
      <c r="C350" s="10"/>
      <c r="D350" s="10"/>
      <c r="E350" s="10"/>
      <c r="F350" s="10"/>
      <c r="H350" s="29">
        <f>IF('Tableaux amortissement proj (2'!Q341&gt;0,IF(_tauxactuariel1t1,(('Tableaux amortissement proj (2'!Q341+1)^(1/_nebchan1t))-1,'Tableaux amortissement proj (2'!Q341/_nebchan1t),H349)</f>
        <v>8.3333333333333339E-4</v>
      </c>
      <c r="I350" s="28">
        <f>IF('Tableaux amortissement proj (2'!T341&gt;0,'Tableaux amortissement proj (2'!T341,IF('Tableaux amortissement proj (2'!S341&gt;0,IF(AND(_echfixe12,H350&gt;0),ROUND(('Tableaux amortissement proj (2'!AA341-'Tableaux amortissement proj (2'!R341)*H350/(1-((1+H350)^-'Tableaux amortissement proj (2'!S341)),_nbdeci1t1),ROUND('Tableaux amortissement proj (2'!AA341/'Tableaux amortissement proj (2'!S341,_nbdeci1t1)),I349))</f>
        <v>240200</v>
      </c>
      <c r="J350" s="10"/>
      <c r="K350" s="10"/>
      <c r="L350" s="10"/>
      <c r="M350" s="10"/>
      <c r="O350" s="186">
        <v>348</v>
      </c>
    </row>
    <row r="351" spans="1:15" x14ac:dyDescent="0.2">
      <c r="A351" s="29">
        <f>IF('Tableaux amortissement proj (2'!A342&gt;0,IF(_tauxactuariel1t,(('Tableaux amortissement proj (2'!A342+1)^(1/_nbechan1t))-1,'Tableaux amortissement proj (2'!A342/_nbechan1t),A350)</f>
        <v>1.5499999999999999E-3</v>
      </c>
      <c r="B351" s="28">
        <f>IF('Tableaux amortissement proj (2'!D342&gt;0,'Tableaux amortissement proj (2'!D342,IF('Tableaux amortissement proj (2'!C342&gt;0,IF(AND(_echfixe1t,A351&gt;0),ROUND(('Tableaux amortissement proj (2'!K342-'Tableaux amortissement proj (2'!B342)*A351/(1-((1+A351)^-'Tableaux amortissement proj (2'!C342)),_nbdeci1t),ROUND('Tableaux amortissement proj (2'!K342/'Tableaux amortissement proj (2'!C342,_nbdeci1t)),B350))</f>
        <v>606.91999999999996</v>
      </c>
      <c r="C351" s="10"/>
      <c r="D351" s="10"/>
      <c r="E351" s="10"/>
      <c r="F351" s="10"/>
      <c r="H351" s="29">
        <f>IF('Tableaux amortissement proj (2'!Q342&gt;0,IF(_tauxactuariel1t1,(('Tableaux amortissement proj (2'!Q342+1)^(1/_nebchan1t))-1,'Tableaux amortissement proj (2'!Q342/_nebchan1t),H350)</f>
        <v>8.3333333333333339E-4</v>
      </c>
      <c r="I351" s="28">
        <f>IF('Tableaux amortissement proj (2'!T342&gt;0,'Tableaux amortissement proj (2'!T342,IF('Tableaux amortissement proj (2'!S342&gt;0,IF(AND(_echfixe12,H351&gt;0),ROUND(('Tableaux amortissement proj (2'!AA342-'Tableaux amortissement proj (2'!R342)*H351/(1-((1+H351)^-'Tableaux amortissement proj (2'!S342)),_nbdeci1t1),ROUND('Tableaux amortissement proj (2'!AA342/'Tableaux amortissement proj (2'!S342,_nbdeci1t1)),I350))</f>
        <v>240200</v>
      </c>
      <c r="J351" s="10"/>
      <c r="K351" s="10"/>
      <c r="L351" s="10"/>
      <c r="M351" s="10"/>
      <c r="O351" s="186">
        <v>349</v>
      </c>
    </row>
    <row r="352" spans="1:15" x14ac:dyDescent="0.2">
      <c r="A352" s="29">
        <f>IF('Tableaux amortissement proj (2'!A343&gt;0,IF(_tauxactuariel1t,(('Tableaux amortissement proj (2'!A343+1)^(1/_nbechan1t))-1,'Tableaux amortissement proj (2'!A343/_nbechan1t),A351)</f>
        <v>1.5499999999999999E-3</v>
      </c>
      <c r="B352" s="28">
        <f>IF('Tableaux amortissement proj (2'!D343&gt;0,'Tableaux amortissement proj (2'!D343,IF('Tableaux amortissement proj (2'!C343&gt;0,IF(AND(_echfixe1t,A352&gt;0),ROUND(('Tableaux amortissement proj (2'!K343-'Tableaux amortissement proj (2'!B343)*A352/(1-((1+A352)^-'Tableaux amortissement proj (2'!C343)),_nbdeci1t),ROUND('Tableaux amortissement proj (2'!K343/'Tableaux amortissement proj (2'!C343,_nbdeci1t)),B351))</f>
        <v>606.91999999999996</v>
      </c>
      <c r="C352" s="10"/>
      <c r="D352" s="10"/>
      <c r="E352" s="10"/>
      <c r="F352" s="10"/>
      <c r="H352" s="29">
        <f>IF('Tableaux amortissement proj (2'!Q343&gt;0,IF(_tauxactuariel1t1,(('Tableaux amortissement proj (2'!Q343+1)^(1/_nebchan1t))-1,'Tableaux amortissement proj (2'!Q343/_nebchan1t),H351)</f>
        <v>8.3333333333333339E-4</v>
      </c>
      <c r="I352" s="28">
        <f>IF('Tableaux amortissement proj (2'!T343&gt;0,'Tableaux amortissement proj (2'!T343,IF('Tableaux amortissement proj (2'!S343&gt;0,IF(AND(_echfixe12,H352&gt;0),ROUND(('Tableaux amortissement proj (2'!AA343-'Tableaux amortissement proj (2'!R343)*H352/(1-((1+H352)^-'Tableaux amortissement proj (2'!S343)),_nbdeci1t1),ROUND('Tableaux amortissement proj (2'!AA343/'Tableaux amortissement proj (2'!S343,_nbdeci1t1)),I351))</f>
        <v>240200</v>
      </c>
      <c r="J352" s="10"/>
      <c r="K352" s="10"/>
      <c r="L352" s="10"/>
      <c r="M352" s="10"/>
      <c r="O352" s="186">
        <v>350</v>
      </c>
    </row>
    <row r="353" spans="1:15" x14ac:dyDescent="0.2">
      <c r="A353" s="29">
        <f>IF('Tableaux amortissement proj (2'!A344&gt;0,IF(_tauxactuariel1t,(('Tableaux amortissement proj (2'!A344+1)^(1/_nbechan1t))-1,'Tableaux amortissement proj (2'!A344/_nbechan1t),A352)</f>
        <v>1.5499999999999999E-3</v>
      </c>
      <c r="B353" s="28">
        <f>IF('Tableaux amortissement proj (2'!D344&gt;0,'Tableaux amortissement proj (2'!D344,IF('Tableaux amortissement proj (2'!C344&gt;0,IF(AND(_echfixe1t,A353&gt;0),ROUND(('Tableaux amortissement proj (2'!K344-'Tableaux amortissement proj (2'!B344)*A353/(1-((1+A353)^-'Tableaux amortissement proj (2'!C344)),_nbdeci1t),ROUND('Tableaux amortissement proj (2'!K344/'Tableaux amortissement proj (2'!C344,_nbdeci1t)),B352))</f>
        <v>606.91999999999996</v>
      </c>
      <c r="C353" s="10"/>
      <c r="D353" s="10"/>
      <c r="E353" s="10"/>
      <c r="F353" s="10"/>
      <c r="H353" s="29">
        <f>IF('Tableaux amortissement proj (2'!Q344&gt;0,IF(_tauxactuariel1t1,(('Tableaux amortissement proj (2'!Q344+1)^(1/_nebchan1t))-1,'Tableaux amortissement proj (2'!Q344/_nebchan1t),H352)</f>
        <v>8.3333333333333339E-4</v>
      </c>
      <c r="I353" s="28">
        <f>IF('Tableaux amortissement proj (2'!T344&gt;0,'Tableaux amortissement proj (2'!T344,IF('Tableaux amortissement proj (2'!S344&gt;0,IF(AND(_echfixe12,H353&gt;0),ROUND(('Tableaux amortissement proj (2'!AA344-'Tableaux amortissement proj (2'!R344)*H353/(1-((1+H353)^-'Tableaux amortissement proj (2'!S344)),_nbdeci1t1),ROUND('Tableaux amortissement proj (2'!AA344/'Tableaux amortissement proj (2'!S344,_nbdeci1t1)),I352))</f>
        <v>240200</v>
      </c>
      <c r="J353" s="10"/>
      <c r="K353" s="10"/>
      <c r="L353" s="10"/>
      <c r="M353" s="10"/>
      <c r="O353" s="186">
        <v>351</v>
      </c>
    </row>
    <row r="354" spans="1:15" x14ac:dyDescent="0.2">
      <c r="A354" s="29">
        <f>IF('Tableaux amortissement proj (2'!A345&gt;0,IF(_tauxactuariel1t,(('Tableaux amortissement proj (2'!A345+1)^(1/_nbechan1t))-1,'Tableaux amortissement proj (2'!A345/_nbechan1t),A353)</f>
        <v>1.5499999999999999E-3</v>
      </c>
      <c r="B354" s="28">
        <f>IF('Tableaux amortissement proj (2'!D345&gt;0,'Tableaux amortissement proj (2'!D345,IF('Tableaux amortissement proj (2'!C345&gt;0,IF(AND(_echfixe1t,A354&gt;0),ROUND(('Tableaux amortissement proj (2'!K345-'Tableaux amortissement proj (2'!B345)*A354/(1-((1+A354)^-'Tableaux amortissement proj (2'!C345)),_nbdeci1t),ROUND('Tableaux amortissement proj (2'!K345/'Tableaux amortissement proj (2'!C345,_nbdeci1t)),B353))</f>
        <v>606.91999999999996</v>
      </c>
      <c r="C354" s="10"/>
      <c r="D354" s="10"/>
      <c r="E354" s="10"/>
      <c r="F354" s="10"/>
      <c r="H354" s="29">
        <f>IF('Tableaux amortissement proj (2'!Q345&gt;0,IF(_tauxactuariel1t1,(('Tableaux amortissement proj (2'!Q345+1)^(1/_nebchan1t))-1,'Tableaux amortissement proj (2'!Q345/_nebchan1t),H353)</f>
        <v>8.3333333333333339E-4</v>
      </c>
      <c r="I354" s="28">
        <f>IF('Tableaux amortissement proj (2'!T345&gt;0,'Tableaux amortissement proj (2'!T345,IF('Tableaux amortissement proj (2'!S345&gt;0,IF(AND(_echfixe12,H354&gt;0),ROUND(('Tableaux amortissement proj (2'!AA345-'Tableaux amortissement proj (2'!R345)*H354/(1-((1+H354)^-'Tableaux amortissement proj (2'!S345)),_nbdeci1t1),ROUND('Tableaux amortissement proj (2'!AA345/'Tableaux amortissement proj (2'!S345,_nbdeci1t1)),I353))</f>
        <v>240200</v>
      </c>
      <c r="J354" s="10"/>
      <c r="K354" s="10"/>
      <c r="L354" s="10"/>
      <c r="M354" s="10"/>
      <c r="O354" s="186">
        <v>352</v>
      </c>
    </row>
    <row r="355" spans="1:15" x14ac:dyDescent="0.2">
      <c r="A355" s="29">
        <f>IF('Tableaux amortissement proj (2'!A346&gt;0,IF(_tauxactuariel1t,(('Tableaux amortissement proj (2'!A346+1)^(1/_nbechan1t))-1,'Tableaux amortissement proj (2'!A346/_nbechan1t),A354)</f>
        <v>1.5499999999999999E-3</v>
      </c>
      <c r="B355" s="28">
        <f>IF('Tableaux amortissement proj (2'!D346&gt;0,'Tableaux amortissement proj (2'!D346,IF('Tableaux amortissement proj (2'!C346&gt;0,IF(AND(_echfixe1t,A355&gt;0),ROUND(('Tableaux amortissement proj (2'!K346-'Tableaux amortissement proj (2'!B346)*A355/(1-((1+A355)^-'Tableaux amortissement proj (2'!C346)),_nbdeci1t),ROUND('Tableaux amortissement proj (2'!K346/'Tableaux amortissement proj (2'!C346,_nbdeci1t)),B354))</f>
        <v>606.91999999999996</v>
      </c>
      <c r="C355" s="10"/>
      <c r="D355" s="10"/>
      <c r="E355" s="10"/>
      <c r="F355" s="10"/>
      <c r="H355" s="29">
        <f>IF('Tableaux amortissement proj (2'!Q346&gt;0,IF(_tauxactuariel1t1,(('Tableaux amortissement proj (2'!Q346+1)^(1/_nebchan1t))-1,'Tableaux amortissement proj (2'!Q346/_nebchan1t),H354)</f>
        <v>8.3333333333333339E-4</v>
      </c>
      <c r="I355" s="28">
        <f>IF('Tableaux amortissement proj (2'!T346&gt;0,'Tableaux amortissement proj (2'!T346,IF('Tableaux amortissement proj (2'!S346&gt;0,IF(AND(_echfixe12,H355&gt;0),ROUND(('Tableaux amortissement proj (2'!AA346-'Tableaux amortissement proj (2'!R346)*H355/(1-((1+H355)^-'Tableaux amortissement proj (2'!S346)),_nbdeci1t1),ROUND('Tableaux amortissement proj (2'!AA346/'Tableaux amortissement proj (2'!S346,_nbdeci1t1)),I354))</f>
        <v>240200</v>
      </c>
      <c r="J355" s="10"/>
      <c r="K355" s="10"/>
      <c r="L355" s="10"/>
      <c r="M355" s="10"/>
      <c r="O355" s="186">
        <v>353</v>
      </c>
    </row>
    <row r="356" spans="1:15" x14ac:dyDescent="0.2">
      <c r="A356" s="29">
        <f>IF('Tableaux amortissement proj (2'!A347&gt;0,IF(_tauxactuariel1t,(('Tableaux amortissement proj (2'!A347+1)^(1/_nbechan1t))-1,'Tableaux amortissement proj (2'!A347/_nbechan1t),A355)</f>
        <v>1.5499999999999999E-3</v>
      </c>
      <c r="B356" s="28">
        <f>IF('Tableaux amortissement proj (2'!D347&gt;0,'Tableaux amortissement proj (2'!D347,IF('Tableaux amortissement proj (2'!C347&gt;0,IF(AND(_echfixe1t,A356&gt;0),ROUND(('Tableaux amortissement proj (2'!K347-'Tableaux amortissement proj (2'!B347)*A356/(1-((1+A356)^-'Tableaux amortissement proj (2'!C347)),_nbdeci1t),ROUND('Tableaux amortissement proj (2'!K347/'Tableaux amortissement proj (2'!C347,_nbdeci1t)),B355))</f>
        <v>606.91999999999996</v>
      </c>
      <c r="C356" s="10"/>
      <c r="D356" s="10"/>
      <c r="E356" s="10"/>
      <c r="F356" s="10"/>
      <c r="H356" s="29">
        <f>IF('Tableaux amortissement proj (2'!Q347&gt;0,IF(_tauxactuariel1t1,(('Tableaux amortissement proj (2'!Q347+1)^(1/_nebchan1t))-1,'Tableaux amortissement proj (2'!Q347/_nebchan1t),H355)</f>
        <v>8.3333333333333339E-4</v>
      </c>
      <c r="I356" s="28">
        <f>IF('Tableaux amortissement proj (2'!T347&gt;0,'Tableaux amortissement proj (2'!T347,IF('Tableaux amortissement proj (2'!S347&gt;0,IF(AND(_echfixe12,H356&gt;0),ROUND(('Tableaux amortissement proj (2'!AA347-'Tableaux amortissement proj (2'!R347)*H356/(1-((1+H356)^-'Tableaux amortissement proj (2'!S347)),_nbdeci1t1),ROUND('Tableaux amortissement proj (2'!AA347/'Tableaux amortissement proj (2'!S347,_nbdeci1t1)),I355))</f>
        <v>240200</v>
      </c>
      <c r="J356" s="10"/>
      <c r="K356" s="10"/>
      <c r="L356" s="10"/>
      <c r="M356" s="10"/>
      <c r="O356" s="186">
        <v>354</v>
      </c>
    </row>
    <row r="357" spans="1:15" x14ac:dyDescent="0.2">
      <c r="A357" s="29">
        <f>IF('Tableaux amortissement proj (2'!A348&gt;0,IF(_tauxactuariel1t,(('Tableaux amortissement proj (2'!A348+1)^(1/_nbechan1t))-1,'Tableaux amortissement proj (2'!A348/_nbechan1t),A356)</f>
        <v>1.5499999999999999E-3</v>
      </c>
      <c r="B357" s="28">
        <f>IF('Tableaux amortissement proj (2'!D348&gt;0,'Tableaux amortissement proj (2'!D348,IF('Tableaux amortissement proj (2'!C348&gt;0,IF(AND(_echfixe1t,A357&gt;0),ROUND(('Tableaux amortissement proj (2'!K348-'Tableaux amortissement proj (2'!B348)*A357/(1-((1+A357)^-'Tableaux amortissement proj (2'!C348)),_nbdeci1t),ROUND('Tableaux amortissement proj (2'!K348/'Tableaux amortissement proj (2'!C348,_nbdeci1t)),B356))</f>
        <v>606.91999999999996</v>
      </c>
      <c r="C357" s="10"/>
      <c r="D357" s="10"/>
      <c r="E357" s="10"/>
      <c r="F357" s="10"/>
      <c r="H357" s="29">
        <f>IF('Tableaux amortissement proj (2'!Q348&gt;0,IF(_tauxactuariel1t1,(('Tableaux amortissement proj (2'!Q348+1)^(1/_nebchan1t))-1,'Tableaux amortissement proj (2'!Q348/_nebchan1t),H356)</f>
        <v>8.3333333333333339E-4</v>
      </c>
      <c r="I357" s="28">
        <f>IF('Tableaux amortissement proj (2'!T348&gt;0,'Tableaux amortissement proj (2'!T348,IF('Tableaux amortissement proj (2'!S348&gt;0,IF(AND(_echfixe12,H357&gt;0),ROUND(('Tableaux amortissement proj (2'!AA348-'Tableaux amortissement proj (2'!R348)*H357/(1-((1+H357)^-'Tableaux amortissement proj (2'!S348)),_nbdeci1t1),ROUND('Tableaux amortissement proj (2'!AA348/'Tableaux amortissement proj (2'!S348,_nbdeci1t1)),I356))</f>
        <v>240200</v>
      </c>
      <c r="J357" s="10"/>
      <c r="K357" s="10"/>
      <c r="L357" s="10"/>
      <c r="M357" s="10"/>
      <c r="O357" s="186">
        <v>355</v>
      </c>
    </row>
    <row r="358" spans="1:15" x14ac:dyDescent="0.2">
      <c r="A358" s="29">
        <f>IF('Tableaux amortissement proj (2'!A349&gt;0,IF(_tauxactuariel1t,(('Tableaux amortissement proj (2'!A349+1)^(1/_nbechan1t))-1,'Tableaux amortissement proj (2'!A349/_nbechan1t),A357)</f>
        <v>1.5499999999999999E-3</v>
      </c>
      <c r="B358" s="28">
        <f>IF('Tableaux amortissement proj (2'!D349&gt;0,'Tableaux amortissement proj (2'!D349,IF('Tableaux amortissement proj (2'!C349&gt;0,IF(AND(_echfixe1t,A358&gt;0),ROUND(('Tableaux amortissement proj (2'!K349-'Tableaux amortissement proj (2'!B349)*A358/(1-((1+A358)^-'Tableaux amortissement proj (2'!C349)),_nbdeci1t),ROUND('Tableaux amortissement proj (2'!K349/'Tableaux amortissement proj (2'!C349,_nbdeci1t)),B357))</f>
        <v>606.91999999999996</v>
      </c>
      <c r="C358" s="10"/>
      <c r="D358" s="10"/>
      <c r="E358" s="10"/>
      <c r="F358" s="10"/>
      <c r="H358" s="29">
        <f>IF('Tableaux amortissement proj (2'!Q349&gt;0,IF(_tauxactuariel1t1,(('Tableaux amortissement proj (2'!Q349+1)^(1/_nebchan1t))-1,'Tableaux amortissement proj (2'!Q349/_nebchan1t),H357)</f>
        <v>8.3333333333333339E-4</v>
      </c>
      <c r="I358" s="28">
        <f>IF('Tableaux amortissement proj (2'!T349&gt;0,'Tableaux amortissement proj (2'!T349,IF('Tableaux amortissement proj (2'!S349&gt;0,IF(AND(_echfixe12,H358&gt;0),ROUND(('Tableaux amortissement proj (2'!AA349-'Tableaux amortissement proj (2'!R349)*H358/(1-((1+H358)^-'Tableaux amortissement proj (2'!S349)),_nbdeci1t1),ROUND('Tableaux amortissement proj (2'!AA349/'Tableaux amortissement proj (2'!S349,_nbdeci1t1)),I357))</f>
        <v>240200</v>
      </c>
      <c r="J358" s="10"/>
      <c r="K358" s="10"/>
      <c r="L358" s="10"/>
      <c r="M358" s="10"/>
      <c r="O358" s="186">
        <v>356</v>
      </c>
    </row>
    <row r="359" spans="1:15" x14ac:dyDescent="0.2">
      <c r="A359" s="29">
        <f>IF('Tableaux amortissement proj (2'!A350&gt;0,IF(_tauxactuariel1t,(('Tableaux amortissement proj (2'!A350+1)^(1/_nbechan1t))-1,'Tableaux amortissement proj (2'!A350/_nbechan1t),A358)</f>
        <v>1.5499999999999999E-3</v>
      </c>
      <c r="B359" s="28">
        <f>IF('Tableaux amortissement proj (2'!D350&gt;0,'Tableaux amortissement proj (2'!D350,IF('Tableaux amortissement proj (2'!C350&gt;0,IF(AND(_echfixe1t,A359&gt;0),ROUND(('Tableaux amortissement proj (2'!K350-'Tableaux amortissement proj (2'!B350)*A359/(1-((1+A359)^-'Tableaux amortissement proj (2'!C350)),_nbdeci1t),ROUND('Tableaux amortissement proj (2'!K350/'Tableaux amortissement proj (2'!C350,_nbdeci1t)),B358))</f>
        <v>606.91999999999996</v>
      </c>
      <c r="C359" s="10"/>
      <c r="D359" s="10"/>
      <c r="E359" s="10"/>
      <c r="F359" s="10"/>
      <c r="H359" s="29">
        <f>IF('Tableaux amortissement proj (2'!Q350&gt;0,IF(_tauxactuariel1t1,(('Tableaux amortissement proj (2'!Q350+1)^(1/_nebchan1t))-1,'Tableaux amortissement proj (2'!Q350/_nebchan1t),H358)</f>
        <v>8.3333333333333339E-4</v>
      </c>
      <c r="I359" s="28">
        <f>IF('Tableaux amortissement proj (2'!T350&gt;0,'Tableaux amortissement proj (2'!T350,IF('Tableaux amortissement proj (2'!S350&gt;0,IF(AND(_echfixe12,H359&gt;0),ROUND(('Tableaux amortissement proj (2'!AA350-'Tableaux amortissement proj (2'!R350)*H359/(1-((1+H359)^-'Tableaux amortissement proj (2'!S350)),_nbdeci1t1),ROUND('Tableaux amortissement proj (2'!AA350/'Tableaux amortissement proj (2'!S350,_nbdeci1t1)),I358))</f>
        <v>240200</v>
      </c>
      <c r="J359" s="10"/>
      <c r="K359" s="10"/>
      <c r="L359" s="10"/>
      <c r="M359" s="10"/>
      <c r="O359" s="186">
        <v>357</v>
      </c>
    </row>
    <row r="360" spans="1:15" x14ac:dyDescent="0.2">
      <c r="A360" s="29">
        <f>IF('Tableaux amortissement proj (2'!A351&gt;0,IF(_tauxactuariel1t,(('Tableaux amortissement proj (2'!A351+1)^(1/_nbechan1t))-1,'Tableaux amortissement proj (2'!A351/_nbechan1t),A359)</f>
        <v>1.5499999999999999E-3</v>
      </c>
      <c r="B360" s="28">
        <f>IF('Tableaux amortissement proj (2'!D351&gt;0,'Tableaux amortissement proj (2'!D351,IF('Tableaux amortissement proj (2'!C351&gt;0,IF(AND(_echfixe1t,A360&gt;0),ROUND(('Tableaux amortissement proj (2'!K351-'Tableaux amortissement proj (2'!B351)*A360/(1-((1+A360)^-'Tableaux amortissement proj (2'!C351)),_nbdeci1t),ROUND('Tableaux amortissement proj (2'!K351/'Tableaux amortissement proj (2'!C351,_nbdeci1t)),B359))</f>
        <v>606.91999999999996</v>
      </c>
      <c r="C360" s="10"/>
      <c r="D360" s="10"/>
      <c r="E360" s="10"/>
      <c r="F360" s="10"/>
      <c r="H360" s="29">
        <f>IF('Tableaux amortissement proj (2'!Q351&gt;0,IF(_tauxactuariel1t1,(('Tableaux amortissement proj (2'!Q351+1)^(1/_nebchan1t))-1,'Tableaux amortissement proj (2'!Q351/_nebchan1t),H359)</f>
        <v>8.3333333333333339E-4</v>
      </c>
      <c r="I360" s="28">
        <f>IF('Tableaux amortissement proj (2'!T351&gt;0,'Tableaux amortissement proj (2'!T351,IF('Tableaux amortissement proj (2'!S351&gt;0,IF(AND(_echfixe12,H360&gt;0),ROUND(('Tableaux amortissement proj (2'!AA351-'Tableaux amortissement proj (2'!R351)*H360/(1-((1+H360)^-'Tableaux amortissement proj (2'!S351)),_nbdeci1t1),ROUND('Tableaux amortissement proj (2'!AA351/'Tableaux amortissement proj (2'!S351,_nbdeci1t1)),I359))</f>
        <v>240200</v>
      </c>
      <c r="J360" s="10"/>
      <c r="K360" s="10"/>
      <c r="L360" s="10"/>
      <c r="M360" s="10"/>
      <c r="O360" s="186">
        <v>358</v>
      </c>
    </row>
    <row r="361" spans="1:15" x14ac:dyDescent="0.2">
      <c r="A361" s="29">
        <f>IF('Tableaux amortissement proj (2'!A352&gt;0,IF(_tauxactuariel1t,(('Tableaux amortissement proj (2'!A352+1)^(1/_nbechan1t))-1,'Tableaux amortissement proj (2'!A352/_nbechan1t),A360)</f>
        <v>1.5499999999999999E-3</v>
      </c>
      <c r="B361" s="28">
        <f>IF('Tableaux amortissement proj (2'!D352&gt;0,'Tableaux amortissement proj (2'!D352,IF('Tableaux amortissement proj (2'!C352&gt;0,IF(AND(_echfixe1t,A361&gt;0),ROUND(('Tableaux amortissement proj (2'!K352-'Tableaux amortissement proj (2'!B352)*A361/(1-((1+A361)^-'Tableaux amortissement proj (2'!C352)),_nbdeci1t),ROUND('Tableaux amortissement proj (2'!K352/'Tableaux amortissement proj (2'!C352,_nbdeci1t)),B360))</f>
        <v>606.91999999999996</v>
      </c>
      <c r="C361" s="10"/>
      <c r="D361" s="10"/>
      <c r="E361" s="10"/>
      <c r="F361" s="10"/>
      <c r="H361" s="29">
        <f>IF('Tableaux amortissement proj (2'!Q352&gt;0,IF(_tauxactuariel1t1,(('Tableaux amortissement proj (2'!Q352+1)^(1/_nebchan1t))-1,'Tableaux amortissement proj (2'!Q352/_nebchan1t),H360)</f>
        <v>8.3333333333333339E-4</v>
      </c>
      <c r="I361" s="28">
        <f>IF('Tableaux amortissement proj (2'!T352&gt;0,'Tableaux amortissement proj (2'!T352,IF('Tableaux amortissement proj (2'!S352&gt;0,IF(AND(_echfixe12,H361&gt;0),ROUND(('Tableaux amortissement proj (2'!AA352-'Tableaux amortissement proj (2'!R352)*H361/(1-((1+H361)^-'Tableaux amortissement proj (2'!S352)),_nbdeci1t1),ROUND('Tableaux amortissement proj (2'!AA352/'Tableaux amortissement proj (2'!S352,_nbdeci1t1)),I360))</f>
        <v>240200</v>
      </c>
      <c r="J361" s="10"/>
      <c r="K361" s="10"/>
      <c r="L361" s="10"/>
      <c r="M361" s="10"/>
      <c r="O361" s="186">
        <v>359</v>
      </c>
    </row>
    <row r="362" spans="1:15" x14ac:dyDescent="0.2">
      <c r="A362" s="29">
        <f>IF('Tableaux amortissement proj (2'!A353&gt;0,IF(_tauxactuariel1t,(('Tableaux amortissement proj (2'!A353+1)^(1/_nbechan1t))-1,'Tableaux amortissement proj (2'!A353/_nbechan1t),A361)</f>
        <v>1.5499999999999999E-3</v>
      </c>
      <c r="B362" s="28">
        <f>IF('Tableaux amortissement proj (2'!D353&gt;0,'Tableaux amortissement proj (2'!D353,IF('Tableaux amortissement proj (2'!C353&gt;0,IF(AND(_echfixe1t,A362&gt;0),ROUND(('Tableaux amortissement proj (2'!K353-'Tableaux amortissement proj (2'!B353)*A362/(1-((1+A362)^-'Tableaux amortissement proj (2'!C353)),_nbdeci1t),ROUND('Tableaux amortissement proj (2'!K353/'Tableaux amortissement proj (2'!C353,_nbdeci1t)),B361))</f>
        <v>606.91999999999996</v>
      </c>
      <c r="C362" s="10"/>
      <c r="D362" s="10"/>
      <c r="E362" s="10"/>
      <c r="F362" s="10"/>
      <c r="H362" s="29">
        <f>IF('Tableaux amortissement proj (2'!Q353&gt;0,IF(_tauxactuariel1t1,(('Tableaux amortissement proj (2'!Q353+1)^(1/_nebchan1t))-1,'Tableaux amortissement proj (2'!Q353/_nebchan1t),H361)</f>
        <v>8.3333333333333339E-4</v>
      </c>
      <c r="I362" s="28">
        <f>IF('Tableaux amortissement proj (2'!T353&gt;0,'Tableaux amortissement proj (2'!T353,IF('Tableaux amortissement proj (2'!S353&gt;0,IF(AND(_echfixe12,H362&gt;0),ROUND(('Tableaux amortissement proj (2'!AA353-'Tableaux amortissement proj (2'!R353)*H362/(1-((1+H362)^-'Tableaux amortissement proj (2'!S353)),_nbdeci1t1),ROUND('Tableaux amortissement proj (2'!AA353/'Tableaux amortissement proj (2'!S353,_nbdeci1t1)),I361))</f>
        <v>240200</v>
      </c>
      <c r="J362" s="10"/>
      <c r="K362" s="10"/>
      <c r="L362" s="10"/>
      <c r="M362" s="10"/>
      <c r="O362" s="186">
        <v>360</v>
      </c>
    </row>
    <row r="363" spans="1:15" x14ac:dyDescent="0.2">
      <c r="A363" s="29">
        <f>IF('Tableaux amortissement proj (2'!A354&gt;0,IF(_tauxactuariel1t,(('Tableaux amortissement proj (2'!A354+1)^(1/_nbechan1t))-1,'Tableaux amortissement proj (2'!A354/_nbechan1t),A362)</f>
        <v>1.5499999999999999E-3</v>
      </c>
      <c r="B363" s="28">
        <f>IF('Tableaux amortissement proj (2'!D354&gt;0,'Tableaux amortissement proj (2'!D354,IF('Tableaux amortissement proj (2'!C354&gt;0,IF(AND(_echfixe1t,A363&gt;0),ROUND(('Tableaux amortissement proj (2'!K354-'Tableaux amortissement proj (2'!B354)*A363/(1-((1+A363)^-'Tableaux amortissement proj (2'!C354)),_nbdeci1t),ROUND('Tableaux amortissement proj (2'!K354/'Tableaux amortissement proj (2'!C354,_nbdeci1t)),B362))</f>
        <v>606.91999999999996</v>
      </c>
      <c r="C363" s="10"/>
      <c r="D363" s="10"/>
      <c r="E363" s="10"/>
      <c r="F363" s="10"/>
      <c r="H363" s="29">
        <f>IF('Tableaux amortissement proj (2'!Q354&gt;0,IF(_tauxactuariel1t1,(('Tableaux amortissement proj (2'!Q354+1)^(1/_nebchan1t))-1,'Tableaux amortissement proj (2'!Q354/_nebchan1t),H362)</f>
        <v>8.3333333333333339E-4</v>
      </c>
      <c r="I363" s="28">
        <f>IF('Tableaux amortissement proj (2'!T354&gt;0,'Tableaux amortissement proj (2'!T354,IF('Tableaux amortissement proj (2'!S354&gt;0,IF(AND(_echfixe12,H363&gt;0),ROUND(('Tableaux amortissement proj (2'!AA354-'Tableaux amortissement proj (2'!R354)*H363/(1-((1+H363)^-'Tableaux amortissement proj (2'!S354)),_nbdeci1t1),ROUND('Tableaux amortissement proj (2'!AA354/'Tableaux amortissement proj (2'!S354,_nbdeci1t1)),I362))</f>
        <v>240200</v>
      </c>
      <c r="J363" s="10"/>
      <c r="K363" s="10"/>
      <c r="L363" s="10"/>
      <c r="M363" s="10"/>
      <c r="O363" s="186">
        <v>361</v>
      </c>
    </row>
    <row r="364" spans="1:15" x14ac:dyDescent="0.2">
      <c r="A364" s="29">
        <f>IF('Tableaux amortissement proj (2'!A355&gt;0,IF(_tauxactuariel1t,(('Tableaux amortissement proj (2'!A355+1)^(1/_nbechan1t))-1,'Tableaux amortissement proj (2'!A355/_nbechan1t),A363)</f>
        <v>1.5499999999999999E-3</v>
      </c>
      <c r="B364" s="28">
        <f>IF('Tableaux amortissement proj (2'!D355&gt;0,'Tableaux amortissement proj (2'!D355,IF('Tableaux amortissement proj (2'!C355&gt;0,IF(AND(_echfixe1t,A364&gt;0),ROUND(('Tableaux amortissement proj (2'!K355-'Tableaux amortissement proj (2'!B355)*A364/(1-((1+A364)^-'Tableaux amortissement proj (2'!C355)),_nbdeci1t),ROUND('Tableaux amortissement proj (2'!K355/'Tableaux amortissement proj (2'!C355,_nbdeci1t)),B363))</f>
        <v>606.91999999999996</v>
      </c>
      <c r="C364" s="10"/>
      <c r="D364" s="10"/>
      <c r="E364" s="10"/>
      <c r="F364" s="10"/>
      <c r="H364" s="29">
        <f>IF('Tableaux amortissement proj (2'!Q355&gt;0,IF(_tauxactuariel1t1,(('Tableaux amortissement proj (2'!Q355+1)^(1/_nebchan1t))-1,'Tableaux amortissement proj (2'!Q355/_nebchan1t),H363)</f>
        <v>8.3333333333333339E-4</v>
      </c>
      <c r="I364" s="28">
        <f>IF('Tableaux amortissement proj (2'!T355&gt;0,'Tableaux amortissement proj (2'!T355,IF('Tableaux amortissement proj (2'!S355&gt;0,IF(AND(_echfixe12,H364&gt;0),ROUND(('Tableaux amortissement proj (2'!AA355-'Tableaux amortissement proj (2'!R355)*H364/(1-((1+H364)^-'Tableaux amortissement proj (2'!S355)),_nbdeci1t1),ROUND('Tableaux amortissement proj (2'!AA355/'Tableaux amortissement proj (2'!S355,_nbdeci1t1)),I363))</f>
        <v>240200</v>
      </c>
      <c r="J364" s="10"/>
      <c r="K364" s="10"/>
      <c r="L364" s="10"/>
      <c r="M364" s="10"/>
      <c r="O364" s="186">
        <v>362</v>
      </c>
    </row>
    <row r="365" spans="1:15" x14ac:dyDescent="0.2">
      <c r="A365" s="29">
        <f>IF('Tableaux amortissement proj (2'!A356&gt;0,IF(_tauxactuariel1t,(('Tableaux amortissement proj (2'!A356+1)^(1/_nbechan1t))-1,'Tableaux amortissement proj (2'!A356/_nbechan1t),A364)</f>
        <v>1.5499999999999999E-3</v>
      </c>
      <c r="B365" s="28">
        <f>IF('Tableaux amortissement proj (2'!D356&gt;0,'Tableaux amortissement proj (2'!D356,IF('Tableaux amortissement proj (2'!C356&gt;0,IF(AND(_echfixe1t,A365&gt;0),ROUND(('Tableaux amortissement proj (2'!K356-'Tableaux amortissement proj (2'!B356)*A365/(1-((1+A365)^-'Tableaux amortissement proj (2'!C356)),_nbdeci1t),ROUND('Tableaux amortissement proj (2'!K356/'Tableaux amortissement proj (2'!C356,_nbdeci1t)),B364))</f>
        <v>606.91999999999996</v>
      </c>
      <c r="C365" s="10"/>
      <c r="D365" s="10"/>
      <c r="E365" s="10"/>
      <c r="F365" s="10"/>
      <c r="H365" s="29">
        <f>IF('Tableaux amortissement proj (2'!Q356&gt;0,IF(_tauxactuariel1t1,(('Tableaux amortissement proj (2'!Q356+1)^(1/_nebchan1t))-1,'Tableaux amortissement proj (2'!Q356/_nebchan1t),H364)</f>
        <v>8.3333333333333339E-4</v>
      </c>
      <c r="I365" s="28">
        <f>IF('Tableaux amortissement proj (2'!T356&gt;0,'Tableaux amortissement proj (2'!T356,IF('Tableaux amortissement proj (2'!S356&gt;0,IF(AND(_echfixe12,H365&gt;0),ROUND(('Tableaux amortissement proj (2'!AA356-'Tableaux amortissement proj (2'!R356)*H365/(1-((1+H365)^-'Tableaux amortissement proj (2'!S356)),_nbdeci1t1),ROUND('Tableaux amortissement proj (2'!AA356/'Tableaux amortissement proj (2'!S356,_nbdeci1t1)),I364))</f>
        <v>240200</v>
      </c>
      <c r="J365" s="10"/>
      <c r="K365" s="10"/>
      <c r="L365" s="10"/>
      <c r="M365" s="10"/>
      <c r="O365" s="186">
        <v>363</v>
      </c>
    </row>
    <row r="366" spans="1:15" x14ac:dyDescent="0.2">
      <c r="A366" s="29">
        <f>IF('Tableaux amortissement proj (2'!A357&gt;0,IF(_tauxactuariel1t,(('Tableaux amortissement proj (2'!A357+1)^(1/_nbechan1t))-1,'Tableaux amortissement proj (2'!A357/_nbechan1t),A365)</f>
        <v>1.5499999999999999E-3</v>
      </c>
      <c r="B366" s="28">
        <f>IF('Tableaux amortissement proj (2'!D357&gt;0,'Tableaux amortissement proj (2'!D357,IF('Tableaux amortissement proj (2'!C357&gt;0,IF(AND(_echfixe1t,A366&gt;0),ROUND(('Tableaux amortissement proj (2'!K357-'Tableaux amortissement proj (2'!B357)*A366/(1-((1+A366)^-'Tableaux amortissement proj (2'!C357)),_nbdeci1t),ROUND('Tableaux amortissement proj (2'!K357/'Tableaux amortissement proj (2'!C357,_nbdeci1t)),B365))</f>
        <v>606.91999999999996</v>
      </c>
      <c r="C366" s="10"/>
      <c r="D366" s="10"/>
      <c r="E366" s="10"/>
      <c r="F366" s="10"/>
      <c r="H366" s="29">
        <f>IF('Tableaux amortissement proj (2'!Q357&gt;0,IF(_tauxactuariel1t1,(('Tableaux amortissement proj (2'!Q357+1)^(1/_nebchan1t))-1,'Tableaux amortissement proj (2'!Q357/_nebchan1t),H365)</f>
        <v>8.3333333333333339E-4</v>
      </c>
      <c r="I366" s="28">
        <f>IF('Tableaux amortissement proj (2'!T357&gt;0,'Tableaux amortissement proj (2'!T357,IF('Tableaux amortissement proj (2'!S357&gt;0,IF(AND(_echfixe12,H366&gt;0),ROUND(('Tableaux amortissement proj (2'!AA357-'Tableaux amortissement proj (2'!R357)*H366/(1-((1+H366)^-'Tableaux amortissement proj (2'!S357)),_nbdeci1t1),ROUND('Tableaux amortissement proj (2'!AA357/'Tableaux amortissement proj (2'!S357,_nbdeci1t1)),I365))</f>
        <v>240200</v>
      </c>
      <c r="J366" s="10"/>
      <c r="K366" s="10"/>
      <c r="L366" s="10"/>
      <c r="M366" s="10"/>
      <c r="O366" s="186">
        <v>364</v>
      </c>
    </row>
    <row r="367" spans="1:15" x14ac:dyDescent="0.2">
      <c r="A367" s="29">
        <f>IF('Tableaux amortissement proj (2'!A358&gt;0,IF(_tauxactuariel1t,(('Tableaux amortissement proj (2'!A358+1)^(1/_nbechan1t))-1,'Tableaux amortissement proj (2'!A358/_nbechan1t),A366)</f>
        <v>1.5499999999999999E-3</v>
      </c>
      <c r="B367" s="28">
        <f>IF('Tableaux amortissement proj (2'!D358&gt;0,'Tableaux amortissement proj (2'!D358,IF('Tableaux amortissement proj (2'!C358&gt;0,IF(AND(_echfixe1t,A367&gt;0),ROUND(('Tableaux amortissement proj (2'!K358-'Tableaux amortissement proj (2'!B358)*A367/(1-((1+A367)^-'Tableaux amortissement proj (2'!C358)),_nbdeci1t),ROUND('Tableaux amortissement proj (2'!K358/'Tableaux amortissement proj (2'!C358,_nbdeci1t)),B366))</f>
        <v>606.91999999999996</v>
      </c>
      <c r="C367" s="10"/>
      <c r="D367" s="10"/>
      <c r="E367" s="10"/>
      <c r="F367" s="10"/>
      <c r="H367" s="29">
        <f>IF('Tableaux amortissement proj (2'!Q358&gt;0,IF(_tauxactuariel1t1,(('Tableaux amortissement proj (2'!Q358+1)^(1/_nebchan1t))-1,'Tableaux amortissement proj (2'!Q358/_nebchan1t),H366)</f>
        <v>8.3333333333333339E-4</v>
      </c>
      <c r="I367" s="28">
        <f>IF('Tableaux amortissement proj (2'!T358&gt;0,'Tableaux amortissement proj (2'!T358,IF('Tableaux amortissement proj (2'!S358&gt;0,IF(AND(_echfixe12,H367&gt;0),ROUND(('Tableaux amortissement proj (2'!AA358-'Tableaux amortissement proj (2'!R358)*H367/(1-((1+H367)^-'Tableaux amortissement proj (2'!S358)),_nbdeci1t1),ROUND('Tableaux amortissement proj (2'!AA358/'Tableaux amortissement proj (2'!S358,_nbdeci1t1)),I366))</f>
        <v>240200</v>
      </c>
      <c r="J367" s="10"/>
      <c r="K367" s="10"/>
      <c r="L367" s="10"/>
      <c r="M367" s="10"/>
      <c r="O367" s="186">
        <v>365</v>
      </c>
    </row>
    <row r="368" spans="1:15" x14ac:dyDescent="0.2">
      <c r="A368" s="29">
        <f>IF('Tableaux amortissement proj (2'!A359&gt;0,IF(_tauxactuariel1t,(('Tableaux amortissement proj (2'!A359+1)^(1/_nbechan1t))-1,'Tableaux amortissement proj (2'!A359/_nbechan1t),A367)</f>
        <v>1.5499999999999999E-3</v>
      </c>
      <c r="B368" s="28">
        <f>IF('Tableaux amortissement proj (2'!D359&gt;0,'Tableaux amortissement proj (2'!D359,IF('Tableaux amortissement proj (2'!C359&gt;0,IF(AND(_echfixe1t,A368&gt;0),ROUND(('Tableaux amortissement proj (2'!K359-'Tableaux amortissement proj (2'!B359)*A368/(1-((1+A368)^-'Tableaux amortissement proj (2'!C359)),_nbdeci1t),ROUND('Tableaux amortissement proj (2'!K359/'Tableaux amortissement proj (2'!C359,_nbdeci1t)),B367))</f>
        <v>606.91999999999996</v>
      </c>
      <c r="C368" s="10"/>
      <c r="D368" s="10"/>
      <c r="E368" s="10"/>
      <c r="F368" s="10"/>
      <c r="H368" s="29">
        <f>IF('Tableaux amortissement proj (2'!Q359&gt;0,IF(_tauxactuariel1t1,(('Tableaux amortissement proj (2'!Q359+1)^(1/_nebchan1t))-1,'Tableaux amortissement proj (2'!Q359/_nebchan1t),H367)</f>
        <v>8.3333333333333339E-4</v>
      </c>
      <c r="I368" s="28">
        <f>IF('Tableaux amortissement proj (2'!T359&gt;0,'Tableaux amortissement proj (2'!T359,IF('Tableaux amortissement proj (2'!S359&gt;0,IF(AND(_echfixe12,H368&gt;0),ROUND(('Tableaux amortissement proj (2'!AA359-'Tableaux amortissement proj (2'!R359)*H368/(1-((1+H368)^-'Tableaux amortissement proj (2'!S359)),_nbdeci1t1),ROUND('Tableaux amortissement proj (2'!AA359/'Tableaux amortissement proj (2'!S359,_nbdeci1t1)),I367))</f>
        <v>240200</v>
      </c>
      <c r="J368" s="10"/>
      <c r="K368" s="10"/>
      <c r="L368" s="10"/>
      <c r="M368" s="10"/>
      <c r="O368" s="186">
        <v>366</v>
      </c>
    </row>
    <row r="369" spans="1:15" x14ac:dyDescent="0.2">
      <c r="A369" s="29">
        <f>IF('Tableaux amortissement proj (2'!A360&gt;0,IF(_tauxactuariel1t,(('Tableaux amortissement proj (2'!A360+1)^(1/_nbechan1t))-1,'Tableaux amortissement proj (2'!A360/_nbechan1t),A368)</f>
        <v>1.5499999999999999E-3</v>
      </c>
      <c r="B369" s="28">
        <f>IF('Tableaux amortissement proj (2'!D360&gt;0,'Tableaux amortissement proj (2'!D360,IF('Tableaux amortissement proj (2'!C360&gt;0,IF(AND(_echfixe1t,A369&gt;0),ROUND(('Tableaux amortissement proj (2'!K360-'Tableaux amortissement proj (2'!B360)*A369/(1-((1+A369)^-'Tableaux amortissement proj (2'!C360)),_nbdeci1t),ROUND('Tableaux amortissement proj (2'!K360/'Tableaux amortissement proj (2'!C360,_nbdeci1t)),B368))</f>
        <v>606.91999999999996</v>
      </c>
      <c r="C369" s="10"/>
      <c r="D369" s="10"/>
      <c r="E369" s="10"/>
      <c r="F369" s="10"/>
      <c r="H369" s="29">
        <f>IF('Tableaux amortissement proj (2'!Q360&gt;0,IF(_tauxactuariel1t1,(('Tableaux amortissement proj (2'!Q360+1)^(1/_nebchan1t))-1,'Tableaux amortissement proj (2'!Q360/_nebchan1t),H368)</f>
        <v>8.3333333333333339E-4</v>
      </c>
      <c r="I369" s="28">
        <f>IF('Tableaux amortissement proj (2'!T360&gt;0,'Tableaux amortissement proj (2'!T360,IF('Tableaux amortissement proj (2'!S360&gt;0,IF(AND(_echfixe12,H369&gt;0),ROUND(('Tableaux amortissement proj (2'!AA360-'Tableaux amortissement proj (2'!R360)*H369/(1-((1+H369)^-'Tableaux amortissement proj (2'!S360)),_nbdeci1t1),ROUND('Tableaux amortissement proj (2'!AA360/'Tableaux amortissement proj (2'!S360,_nbdeci1t1)),I368))</f>
        <v>240200</v>
      </c>
      <c r="J369" s="10"/>
      <c r="K369" s="10"/>
      <c r="L369" s="10"/>
      <c r="M369" s="10"/>
      <c r="O369" s="186">
        <v>367</v>
      </c>
    </row>
    <row r="370" spans="1:15" x14ac:dyDescent="0.2">
      <c r="A370" s="29">
        <f>IF('Tableaux amortissement proj (2'!A361&gt;0,IF(_tauxactuariel1t,(('Tableaux amortissement proj (2'!A361+1)^(1/_nbechan1t))-1,'Tableaux amortissement proj (2'!A361/_nbechan1t),A369)</f>
        <v>1.5499999999999999E-3</v>
      </c>
      <c r="B370" s="28">
        <f>IF('Tableaux amortissement proj (2'!D361&gt;0,'Tableaux amortissement proj (2'!D361,IF('Tableaux amortissement proj (2'!C361&gt;0,IF(AND(_echfixe1t,A370&gt;0),ROUND(('Tableaux amortissement proj (2'!K361-'Tableaux amortissement proj (2'!B361)*A370/(1-((1+A370)^-'Tableaux amortissement proj (2'!C361)),_nbdeci1t),ROUND('Tableaux amortissement proj (2'!K361/'Tableaux amortissement proj (2'!C361,_nbdeci1t)),B369))</f>
        <v>606.91999999999996</v>
      </c>
      <c r="C370" s="10"/>
      <c r="D370" s="10"/>
      <c r="E370" s="10"/>
      <c r="F370" s="10"/>
      <c r="H370" s="29">
        <f>IF('Tableaux amortissement proj (2'!Q361&gt;0,IF(_tauxactuariel1t1,(('Tableaux amortissement proj (2'!Q361+1)^(1/_nebchan1t))-1,'Tableaux amortissement proj (2'!Q361/_nebchan1t),H369)</f>
        <v>8.3333333333333339E-4</v>
      </c>
      <c r="I370" s="28">
        <f>IF('Tableaux amortissement proj (2'!T361&gt;0,'Tableaux amortissement proj (2'!T361,IF('Tableaux amortissement proj (2'!S361&gt;0,IF(AND(_echfixe12,H370&gt;0),ROUND(('Tableaux amortissement proj (2'!AA361-'Tableaux amortissement proj (2'!R361)*H370/(1-((1+H370)^-'Tableaux amortissement proj (2'!S361)),_nbdeci1t1),ROUND('Tableaux amortissement proj (2'!AA361/'Tableaux amortissement proj (2'!S361,_nbdeci1t1)),I369))</f>
        <v>240200</v>
      </c>
      <c r="J370" s="10"/>
      <c r="K370" s="10"/>
      <c r="L370" s="10"/>
      <c r="M370" s="10"/>
      <c r="O370" s="186">
        <v>368</v>
      </c>
    </row>
    <row r="371" spans="1:15" x14ac:dyDescent="0.2">
      <c r="A371" s="29">
        <f>IF('Tableaux amortissement proj (2'!A362&gt;0,IF(_tauxactuariel1t,(('Tableaux amortissement proj (2'!A362+1)^(1/_nbechan1t))-1,'Tableaux amortissement proj (2'!A362/_nbechan1t),A370)</f>
        <v>1.5499999999999999E-3</v>
      </c>
      <c r="B371" s="28">
        <f>IF('Tableaux amortissement proj (2'!D362&gt;0,'Tableaux amortissement proj (2'!D362,IF('Tableaux amortissement proj (2'!C362&gt;0,IF(AND(_echfixe1t,A371&gt;0),ROUND(('Tableaux amortissement proj (2'!K362-'Tableaux amortissement proj (2'!B362)*A371/(1-((1+A371)^-'Tableaux amortissement proj (2'!C362)),_nbdeci1t),ROUND('Tableaux amortissement proj (2'!K362/'Tableaux amortissement proj (2'!C362,_nbdeci1t)),B370))</f>
        <v>606.91999999999996</v>
      </c>
      <c r="C371" s="10"/>
      <c r="D371" s="10"/>
      <c r="E371" s="10"/>
      <c r="F371" s="10"/>
      <c r="H371" s="29">
        <f>IF('Tableaux amortissement proj (2'!Q362&gt;0,IF(_tauxactuariel1t1,(('Tableaux amortissement proj (2'!Q362+1)^(1/_nebchan1t))-1,'Tableaux amortissement proj (2'!Q362/_nebchan1t),H370)</f>
        <v>8.3333333333333339E-4</v>
      </c>
      <c r="I371" s="28">
        <f>IF('Tableaux amortissement proj (2'!T362&gt;0,'Tableaux amortissement proj (2'!T362,IF('Tableaux amortissement proj (2'!S362&gt;0,IF(AND(_echfixe12,H371&gt;0),ROUND(('Tableaux amortissement proj (2'!AA362-'Tableaux amortissement proj (2'!R362)*H371/(1-((1+H371)^-'Tableaux amortissement proj (2'!S362)),_nbdeci1t1),ROUND('Tableaux amortissement proj (2'!AA362/'Tableaux amortissement proj (2'!S362,_nbdeci1t1)),I370))</f>
        <v>240200</v>
      </c>
      <c r="J371" s="10"/>
      <c r="K371" s="10"/>
      <c r="L371" s="10"/>
      <c r="M371" s="10"/>
      <c r="O371" s="186">
        <v>369</v>
      </c>
    </row>
    <row r="372" spans="1:15" x14ac:dyDescent="0.2">
      <c r="A372" s="29">
        <f>IF('Tableaux amortissement proj (2'!A363&gt;0,IF(_tauxactuariel1t,(('Tableaux amortissement proj (2'!A363+1)^(1/_nbechan1t))-1,'Tableaux amortissement proj (2'!A363/_nbechan1t),A371)</f>
        <v>1.5499999999999999E-3</v>
      </c>
      <c r="B372" s="28">
        <f>IF('Tableaux amortissement proj (2'!D363&gt;0,'Tableaux amortissement proj (2'!D363,IF('Tableaux amortissement proj (2'!C363&gt;0,IF(AND(_echfixe1t,A372&gt;0),ROUND(('Tableaux amortissement proj (2'!K363-'Tableaux amortissement proj (2'!B363)*A372/(1-((1+A372)^-'Tableaux amortissement proj (2'!C363)),_nbdeci1t),ROUND('Tableaux amortissement proj (2'!K363/'Tableaux amortissement proj (2'!C363,_nbdeci1t)),B371))</f>
        <v>606.91999999999996</v>
      </c>
      <c r="C372" s="10"/>
      <c r="D372" s="10"/>
      <c r="E372" s="10"/>
      <c r="F372" s="10"/>
      <c r="H372" s="29">
        <f>IF('Tableaux amortissement proj (2'!Q363&gt;0,IF(_tauxactuariel1t1,(('Tableaux amortissement proj (2'!Q363+1)^(1/_nebchan1t))-1,'Tableaux amortissement proj (2'!Q363/_nebchan1t),H371)</f>
        <v>8.3333333333333339E-4</v>
      </c>
      <c r="I372" s="28">
        <f>IF('Tableaux amortissement proj (2'!T363&gt;0,'Tableaux amortissement proj (2'!T363,IF('Tableaux amortissement proj (2'!S363&gt;0,IF(AND(_echfixe12,H372&gt;0),ROUND(('Tableaux amortissement proj (2'!AA363-'Tableaux amortissement proj (2'!R363)*H372/(1-((1+H372)^-'Tableaux amortissement proj (2'!S363)),_nbdeci1t1),ROUND('Tableaux amortissement proj (2'!AA363/'Tableaux amortissement proj (2'!S363,_nbdeci1t1)),I371))</f>
        <v>240200</v>
      </c>
      <c r="J372" s="10"/>
      <c r="K372" s="10"/>
      <c r="L372" s="10"/>
      <c r="M372" s="10"/>
      <c r="O372" s="186">
        <v>370</v>
      </c>
    </row>
    <row r="373" spans="1:15" x14ac:dyDescent="0.2">
      <c r="A373" s="29">
        <f>IF('Tableaux amortissement proj (2'!A364&gt;0,IF(_tauxactuariel1t,(('Tableaux amortissement proj (2'!A364+1)^(1/_nbechan1t))-1,'Tableaux amortissement proj (2'!A364/_nbechan1t),A372)</f>
        <v>1.5499999999999999E-3</v>
      </c>
      <c r="B373" s="28">
        <f>IF('Tableaux amortissement proj (2'!D364&gt;0,'Tableaux amortissement proj (2'!D364,IF('Tableaux amortissement proj (2'!C364&gt;0,IF(AND(_echfixe1t,A373&gt;0),ROUND(('Tableaux amortissement proj (2'!K364-'Tableaux amortissement proj (2'!B364)*A373/(1-((1+A373)^-'Tableaux amortissement proj (2'!C364)),_nbdeci1t),ROUND('Tableaux amortissement proj (2'!K364/'Tableaux amortissement proj (2'!C364,_nbdeci1t)),B372))</f>
        <v>606.91999999999996</v>
      </c>
      <c r="C373" s="10"/>
      <c r="D373" s="10"/>
      <c r="E373" s="10"/>
      <c r="F373" s="10"/>
      <c r="H373" s="29">
        <f>IF('Tableaux amortissement proj (2'!Q364&gt;0,IF(_tauxactuariel1t1,(('Tableaux amortissement proj (2'!Q364+1)^(1/_nebchan1t))-1,'Tableaux amortissement proj (2'!Q364/_nebchan1t),H372)</f>
        <v>8.3333333333333339E-4</v>
      </c>
      <c r="I373" s="28">
        <f>IF('Tableaux amortissement proj (2'!T364&gt;0,'Tableaux amortissement proj (2'!T364,IF('Tableaux amortissement proj (2'!S364&gt;0,IF(AND(_echfixe12,H373&gt;0),ROUND(('Tableaux amortissement proj (2'!AA364-'Tableaux amortissement proj (2'!R364)*H373/(1-((1+H373)^-'Tableaux amortissement proj (2'!S364)),_nbdeci1t1),ROUND('Tableaux amortissement proj (2'!AA364/'Tableaux amortissement proj (2'!S364,_nbdeci1t1)),I372))</f>
        <v>240200</v>
      </c>
      <c r="J373" s="10"/>
      <c r="K373" s="10"/>
      <c r="L373" s="10"/>
      <c r="M373" s="10"/>
      <c r="O373" s="186">
        <v>371</v>
      </c>
    </row>
    <row r="374" spans="1:15" x14ac:dyDescent="0.2">
      <c r="A374" s="29">
        <f>IF('Tableaux amortissement proj (2'!A365&gt;0,IF(_tauxactuariel1t,(('Tableaux amortissement proj (2'!A365+1)^(1/_nbechan1t))-1,'Tableaux amortissement proj (2'!A365/_nbechan1t),A373)</f>
        <v>1.5499999999999999E-3</v>
      </c>
      <c r="B374" s="28">
        <f>IF('Tableaux amortissement proj (2'!D365&gt;0,'Tableaux amortissement proj (2'!D365,IF('Tableaux amortissement proj (2'!C365&gt;0,IF(AND(_echfixe1t,A374&gt;0),ROUND(('Tableaux amortissement proj (2'!K365-'Tableaux amortissement proj (2'!B365)*A374/(1-((1+A374)^-'Tableaux amortissement proj (2'!C365)),_nbdeci1t),ROUND('Tableaux amortissement proj (2'!K365/'Tableaux amortissement proj (2'!C365,_nbdeci1t)),B373))</f>
        <v>606.91999999999996</v>
      </c>
      <c r="C374" s="10"/>
      <c r="D374" s="10"/>
      <c r="E374" s="10"/>
      <c r="F374" s="10"/>
      <c r="H374" s="29">
        <f>IF('Tableaux amortissement proj (2'!Q365&gt;0,IF(_tauxactuariel1t1,(('Tableaux amortissement proj (2'!Q365+1)^(1/_nebchan1t))-1,'Tableaux amortissement proj (2'!Q365/_nebchan1t),H373)</f>
        <v>8.3333333333333339E-4</v>
      </c>
      <c r="I374" s="28">
        <f>IF('Tableaux amortissement proj (2'!T365&gt;0,'Tableaux amortissement proj (2'!T365,IF('Tableaux amortissement proj (2'!S365&gt;0,IF(AND(_echfixe12,H374&gt;0),ROUND(('Tableaux amortissement proj (2'!AA365-'Tableaux amortissement proj (2'!R365)*H374/(1-((1+H374)^-'Tableaux amortissement proj (2'!S365)),_nbdeci1t1),ROUND('Tableaux amortissement proj (2'!AA365/'Tableaux amortissement proj (2'!S365,_nbdeci1t1)),I373))</f>
        <v>240200</v>
      </c>
      <c r="J374" s="10"/>
      <c r="K374" s="10"/>
      <c r="L374" s="10"/>
      <c r="M374" s="10"/>
      <c r="O374" s="186">
        <v>372</v>
      </c>
    </row>
    <row r="375" spans="1:15" x14ac:dyDescent="0.2">
      <c r="A375" s="29">
        <f>IF('Tableaux amortissement proj (2'!A366&gt;0,IF(_tauxactuariel1t,(('Tableaux amortissement proj (2'!A366+1)^(1/_nbechan1t))-1,'Tableaux amortissement proj (2'!A366/_nbechan1t),A374)</f>
        <v>1.5499999999999999E-3</v>
      </c>
      <c r="B375" s="28">
        <f>IF('Tableaux amortissement proj (2'!D366&gt;0,'Tableaux amortissement proj (2'!D366,IF('Tableaux amortissement proj (2'!C366&gt;0,IF(AND(_echfixe1t,A375&gt;0),ROUND(('Tableaux amortissement proj (2'!K366-'Tableaux amortissement proj (2'!B366)*A375/(1-((1+A375)^-'Tableaux amortissement proj (2'!C366)),_nbdeci1t),ROUND('Tableaux amortissement proj (2'!K366/'Tableaux amortissement proj (2'!C366,_nbdeci1t)),B374))</f>
        <v>606.91999999999996</v>
      </c>
      <c r="C375" s="10"/>
      <c r="D375" s="10"/>
      <c r="E375" s="10"/>
      <c r="F375" s="10"/>
      <c r="H375" s="29">
        <f>IF('Tableaux amortissement proj (2'!Q366&gt;0,IF(_tauxactuariel1t1,(('Tableaux amortissement proj (2'!Q366+1)^(1/_nebchan1t))-1,'Tableaux amortissement proj (2'!Q366/_nebchan1t),H374)</f>
        <v>8.3333333333333339E-4</v>
      </c>
      <c r="I375" s="28">
        <f>IF('Tableaux amortissement proj (2'!T366&gt;0,'Tableaux amortissement proj (2'!T366,IF('Tableaux amortissement proj (2'!S366&gt;0,IF(AND(_echfixe12,H375&gt;0),ROUND(('Tableaux amortissement proj (2'!AA366-'Tableaux amortissement proj (2'!R366)*H375/(1-((1+H375)^-'Tableaux amortissement proj (2'!S366)),_nbdeci1t1),ROUND('Tableaux amortissement proj (2'!AA366/'Tableaux amortissement proj (2'!S366,_nbdeci1t1)),I374))</f>
        <v>240200</v>
      </c>
      <c r="J375" s="10"/>
      <c r="K375" s="10"/>
      <c r="L375" s="10"/>
      <c r="M375" s="10"/>
      <c r="O375" s="186">
        <v>373</v>
      </c>
    </row>
    <row r="376" spans="1:15" x14ac:dyDescent="0.2">
      <c r="A376" s="29">
        <f>IF('Tableaux amortissement proj (2'!A367&gt;0,IF(_tauxactuariel1t,(('Tableaux amortissement proj (2'!A367+1)^(1/_nbechan1t))-1,'Tableaux amortissement proj (2'!A367/_nbechan1t),A375)</f>
        <v>1.5499999999999999E-3</v>
      </c>
      <c r="B376" s="28">
        <f>IF('Tableaux amortissement proj (2'!D367&gt;0,'Tableaux amortissement proj (2'!D367,IF('Tableaux amortissement proj (2'!C367&gt;0,IF(AND(_echfixe1t,A376&gt;0),ROUND(('Tableaux amortissement proj (2'!K367-'Tableaux amortissement proj (2'!B367)*A376/(1-((1+A376)^-'Tableaux amortissement proj (2'!C367)),_nbdeci1t),ROUND('Tableaux amortissement proj (2'!K367/'Tableaux amortissement proj (2'!C367,_nbdeci1t)),B375))</f>
        <v>606.91999999999996</v>
      </c>
      <c r="C376" s="10"/>
      <c r="D376" s="10"/>
      <c r="E376" s="10"/>
      <c r="F376" s="10"/>
      <c r="H376" s="29">
        <f>IF('Tableaux amortissement proj (2'!Q367&gt;0,IF(_tauxactuariel1t1,(('Tableaux amortissement proj (2'!Q367+1)^(1/_nebchan1t))-1,'Tableaux amortissement proj (2'!Q367/_nebchan1t),H375)</f>
        <v>8.3333333333333339E-4</v>
      </c>
      <c r="I376" s="28">
        <f>IF('Tableaux amortissement proj (2'!T367&gt;0,'Tableaux amortissement proj (2'!T367,IF('Tableaux amortissement proj (2'!S367&gt;0,IF(AND(_echfixe12,H376&gt;0),ROUND(('Tableaux amortissement proj (2'!AA367-'Tableaux amortissement proj (2'!R367)*H376/(1-((1+H376)^-'Tableaux amortissement proj (2'!S367)),_nbdeci1t1),ROUND('Tableaux amortissement proj (2'!AA367/'Tableaux amortissement proj (2'!S367,_nbdeci1t1)),I375))</f>
        <v>240200</v>
      </c>
      <c r="J376" s="10"/>
      <c r="K376" s="10"/>
      <c r="L376" s="10"/>
      <c r="M376" s="10"/>
      <c r="O376" s="186">
        <v>374</v>
      </c>
    </row>
    <row r="377" spans="1:15" x14ac:dyDescent="0.2">
      <c r="A377" s="29">
        <f>IF('Tableaux amortissement proj (2'!A368&gt;0,IF(_tauxactuariel1t,(('Tableaux amortissement proj (2'!A368+1)^(1/_nbechan1t))-1,'Tableaux amortissement proj (2'!A368/_nbechan1t),A376)</f>
        <v>1.5499999999999999E-3</v>
      </c>
      <c r="B377" s="28">
        <f>IF('Tableaux amortissement proj (2'!D368&gt;0,'Tableaux amortissement proj (2'!D368,IF('Tableaux amortissement proj (2'!C368&gt;0,IF(AND(_echfixe1t,A377&gt;0),ROUND(('Tableaux amortissement proj (2'!K368-'Tableaux amortissement proj (2'!B368)*A377/(1-((1+A377)^-'Tableaux amortissement proj (2'!C368)),_nbdeci1t),ROUND('Tableaux amortissement proj (2'!K368/'Tableaux amortissement proj (2'!C368,_nbdeci1t)),B376))</f>
        <v>606.91999999999996</v>
      </c>
      <c r="C377" s="10"/>
      <c r="D377" s="10"/>
      <c r="E377" s="10"/>
      <c r="F377" s="10"/>
      <c r="H377" s="29">
        <f>IF('Tableaux amortissement proj (2'!Q368&gt;0,IF(_tauxactuariel1t1,(('Tableaux amortissement proj (2'!Q368+1)^(1/_nebchan1t))-1,'Tableaux amortissement proj (2'!Q368/_nebchan1t),H376)</f>
        <v>8.3333333333333339E-4</v>
      </c>
      <c r="I377" s="28">
        <f>IF('Tableaux amortissement proj (2'!T368&gt;0,'Tableaux amortissement proj (2'!T368,IF('Tableaux amortissement proj (2'!S368&gt;0,IF(AND(_echfixe12,H377&gt;0),ROUND(('Tableaux amortissement proj (2'!AA368-'Tableaux amortissement proj (2'!R368)*H377/(1-((1+H377)^-'Tableaux amortissement proj (2'!S368)),_nbdeci1t1),ROUND('Tableaux amortissement proj (2'!AA368/'Tableaux amortissement proj (2'!S368,_nbdeci1t1)),I376))</f>
        <v>240200</v>
      </c>
      <c r="J377" s="10"/>
      <c r="K377" s="10"/>
      <c r="L377" s="10"/>
      <c r="M377" s="10"/>
      <c r="O377" s="186">
        <v>375</v>
      </c>
    </row>
    <row r="378" spans="1:15" x14ac:dyDescent="0.2">
      <c r="A378" s="29">
        <f>IF('Tableaux amortissement proj (2'!A369&gt;0,IF(_tauxactuariel1t,(('Tableaux amortissement proj (2'!A369+1)^(1/_nbechan1t))-1,'Tableaux amortissement proj (2'!A369/_nbechan1t),A377)</f>
        <v>1.5499999999999999E-3</v>
      </c>
      <c r="B378" s="28">
        <f>IF('Tableaux amortissement proj (2'!D369&gt;0,'Tableaux amortissement proj (2'!D369,IF('Tableaux amortissement proj (2'!C369&gt;0,IF(AND(_echfixe1t,A378&gt;0),ROUND(('Tableaux amortissement proj (2'!K369-'Tableaux amortissement proj (2'!B369)*A378/(1-((1+A378)^-'Tableaux amortissement proj (2'!C369)),_nbdeci1t),ROUND('Tableaux amortissement proj (2'!K369/'Tableaux amortissement proj (2'!C369,_nbdeci1t)),B377))</f>
        <v>606.91999999999996</v>
      </c>
      <c r="C378" s="10"/>
      <c r="D378" s="10"/>
      <c r="E378" s="10"/>
      <c r="F378" s="10"/>
      <c r="H378" s="29">
        <f>IF('Tableaux amortissement proj (2'!Q369&gt;0,IF(_tauxactuariel1t1,(('Tableaux amortissement proj (2'!Q369+1)^(1/_nebchan1t))-1,'Tableaux amortissement proj (2'!Q369/_nebchan1t),H377)</f>
        <v>8.3333333333333339E-4</v>
      </c>
      <c r="I378" s="28">
        <f>IF('Tableaux amortissement proj (2'!T369&gt;0,'Tableaux amortissement proj (2'!T369,IF('Tableaux amortissement proj (2'!S369&gt;0,IF(AND(_echfixe12,H378&gt;0),ROUND(('Tableaux amortissement proj (2'!AA369-'Tableaux amortissement proj (2'!R369)*H378/(1-((1+H378)^-'Tableaux amortissement proj (2'!S369)),_nbdeci1t1),ROUND('Tableaux amortissement proj (2'!AA369/'Tableaux amortissement proj (2'!S369,_nbdeci1t1)),I377))</f>
        <v>240200</v>
      </c>
      <c r="J378" s="10"/>
      <c r="K378" s="10"/>
      <c r="L378" s="10"/>
      <c r="M378" s="10"/>
      <c r="O378" s="186">
        <v>376</v>
      </c>
    </row>
    <row r="379" spans="1:15" x14ac:dyDescent="0.2">
      <c r="A379" s="29">
        <f>IF('Tableaux amortissement proj (2'!A370&gt;0,IF(_tauxactuariel1t,(('Tableaux amortissement proj (2'!A370+1)^(1/_nbechan1t))-1,'Tableaux amortissement proj (2'!A370/_nbechan1t),A378)</f>
        <v>1.5499999999999999E-3</v>
      </c>
      <c r="B379" s="28">
        <f>IF('Tableaux amortissement proj (2'!D370&gt;0,'Tableaux amortissement proj (2'!D370,IF('Tableaux amortissement proj (2'!C370&gt;0,IF(AND(_echfixe1t,A379&gt;0),ROUND(('Tableaux amortissement proj (2'!K370-'Tableaux amortissement proj (2'!B370)*A379/(1-((1+A379)^-'Tableaux amortissement proj (2'!C370)),_nbdeci1t),ROUND('Tableaux amortissement proj (2'!K370/'Tableaux amortissement proj (2'!C370,_nbdeci1t)),B378))</f>
        <v>606.91999999999996</v>
      </c>
      <c r="C379" s="10"/>
      <c r="D379" s="10"/>
      <c r="E379" s="10"/>
      <c r="F379" s="10"/>
      <c r="H379" s="29">
        <f>IF('Tableaux amortissement proj (2'!Q370&gt;0,IF(_tauxactuariel1t1,(('Tableaux amortissement proj (2'!Q370+1)^(1/_nebchan1t))-1,'Tableaux amortissement proj (2'!Q370/_nebchan1t),H378)</f>
        <v>8.3333333333333339E-4</v>
      </c>
      <c r="I379" s="28">
        <f>IF('Tableaux amortissement proj (2'!T370&gt;0,'Tableaux amortissement proj (2'!T370,IF('Tableaux amortissement proj (2'!S370&gt;0,IF(AND(_echfixe12,H379&gt;0),ROUND(('Tableaux amortissement proj (2'!AA370-'Tableaux amortissement proj (2'!R370)*H379/(1-((1+H379)^-'Tableaux amortissement proj (2'!S370)),_nbdeci1t1),ROUND('Tableaux amortissement proj (2'!AA370/'Tableaux amortissement proj (2'!S370,_nbdeci1t1)),I378))</f>
        <v>240200</v>
      </c>
      <c r="J379" s="10"/>
      <c r="K379" s="10"/>
      <c r="L379" s="10"/>
      <c r="M379" s="10"/>
      <c r="O379" s="186">
        <v>377</v>
      </c>
    </row>
    <row r="380" spans="1:15" x14ac:dyDescent="0.2">
      <c r="A380" s="29">
        <f>IF('Tableaux amortissement proj (2'!A371&gt;0,IF(_tauxactuariel1t,(('Tableaux amortissement proj (2'!A371+1)^(1/_nbechan1t))-1,'Tableaux amortissement proj (2'!A371/_nbechan1t),A379)</f>
        <v>1.5499999999999999E-3</v>
      </c>
      <c r="B380" s="28">
        <f>IF('Tableaux amortissement proj (2'!D371&gt;0,'Tableaux amortissement proj (2'!D371,IF('Tableaux amortissement proj (2'!C371&gt;0,IF(AND(_echfixe1t,A380&gt;0),ROUND(('Tableaux amortissement proj (2'!K371-'Tableaux amortissement proj (2'!B371)*A380/(1-((1+A380)^-'Tableaux amortissement proj (2'!C371)),_nbdeci1t),ROUND('Tableaux amortissement proj (2'!K371/'Tableaux amortissement proj (2'!C371,_nbdeci1t)),B379))</f>
        <v>606.91999999999996</v>
      </c>
      <c r="C380" s="10"/>
      <c r="D380" s="10"/>
      <c r="E380" s="10"/>
      <c r="F380" s="10"/>
      <c r="H380" s="29">
        <f>IF('Tableaux amortissement proj (2'!Q371&gt;0,IF(_tauxactuariel1t1,(('Tableaux amortissement proj (2'!Q371+1)^(1/_nebchan1t))-1,'Tableaux amortissement proj (2'!Q371/_nebchan1t),H379)</f>
        <v>8.3333333333333339E-4</v>
      </c>
      <c r="I380" s="28">
        <f>IF('Tableaux amortissement proj (2'!T371&gt;0,'Tableaux amortissement proj (2'!T371,IF('Tableaux amortissement proj (2'!S371&gt;0,IF(AND(_echfixe12,H380&gt;0),ROUND(('Tableaux amortissement proj (2'!AA371-'Tableaux amortissement proj (2'!R371)*H380/(1-((1+H380)^-'Tableaux amortissement proj (2'!S371)),_nbdeci1t1),ROUND('Tableaux amortissement proj (2'!AA371/'Tableaux amortissement proj (2'!S371,_nbdeci1t1)),I379))</f>
        <v>240200</v>
      </c>
      <c r="J380" s="10"/>
      <c r="K380" s="10"/>
      <c r="L380" s="10"/>
      <c r="M380" s="10"/>
      <c r="O380" s="186">
        <v>378</v>
      </c>
    </row>
    <row r="381" spans="1:15" x14ac:dyDescent="0.2">
      <c r="A381" s="29">
        <f>IF('Tableaux amortissement proj (2'!A372&gt;0,IF(_tauxactuariel1t,(('Tableaux amortissement proj (2'!A372+1)^(1/_nbechan1t))-1,'Tableaux amortissement proj (2'!A372/_nbechan1t),A380)</f>
        <v>1.5499999999999999E-3</v>
      </c>
      <c r="B381" s="28">
        <f>IF('Tableaux amortissement proj (2'!D372&gt;0,'Tableaux amortissement proj (2'!D372,IF('Tableaux amortissement proj (2'!C372&gt;0,IF(AND(_echfixe1t,A381&gt;0),ROUND(('Tableaux amortissement proj (2'!K372-'Tableaux amortissement proj (2'!B372)*A381/(1-((1+A381)^-'Tableaux amortissement proj (2'!C372)),_nbdeci1t),ROUND('Tableaux amortissement proj (2'!K372/'Tableaux amortissement proj (2'!C372,_nbdeci1t)),B380))</f>
        <v>606.91999999999996</v>
      </c>
      <c r="C381" s="10"/>
      <c r="D381" s="10"/>
      <c r="E381" s="10"/>
      <c r="F381" s="10"/>
      <c r="H381" s="29">
        <f>IF('Tableaux amortissement proj (2'!Q372&gt;0,IF(_tauxactuariel1t1,(('Tableaux amortissement proj (2'!Q372+1)^(1/_nebchan1t))-1,'Tableaux amortissement proj (2'!Q372/_nebchan1t),H380)</f>
        <v>8.3333333333333339E-4</v>
      </c>
      <c r="I381" s="28">
        <f>IF('Tableaux amortissement proj (2'!T372&gt;0,'Tableaux amortissement proj (2'!T372,IF('Tableaux amortissement proj (2'!S372&gt;0,IF(AND(_echfixe12,H381&gt;0),ROUND(('Tableaux amortissement proj (2'!AA372-'Tableaux amortissement proj (2'!R372)*H381/(1-((1+H381)^-'Tableaux amortissement proj (2'!S372)),_nbdeci1t1),ROUND('Tableaux amortissement proj (2'!AA372/'Tableaux amortissement proj (2'!S372,_nbdeci1t1)),I380))</f>
        <v>240200</v>
      </c>
      <c r="J381" s="10"/>
      <c r="K381" s="10"/>
      <c r="L381" s="10"/>
      <c r="M381" s="10"/>
      <c r="O381" s="186">
        <v>379</v>
      </c>
    </row>
    <row r="382" spans="1:15" x14ac:dyDescent="0.2">
      <c r="A382" s="29">
        <f>IF('Tableaux amortissement proj (2'!A373&gt;0,IF(_tauxactuariel1t,(('Tableaux amortissement proj (2'!A373+1)^(1/_nbechan1t))-1,'Tableaux amortissement proj (2'!A373/_nbechan1t),A381)</f>
        <v>1.5499999999999999E-3</v>
      </c>
      <c r="B382" s="28">
        <f>IF('Tableaux amortissement proj (2'!D373&gt;0,'Tableaux amortissement proj (2'!D373,IF('Tableaux amortissement proj (2'!C373&gt;0,IF(AND(_echfixe1t,A382&gt;0),ROUND(('Tableaux amortissement proj (2'!K373-'Tableaux amortissement proj (2'!B373)*A382/(1-((1+A382)^-'Tableaux amortissement proj (2'!C373)),_nbdeci1t),ROUND('Tableaux amortissement proj (2'!K373/'Tableaux amortissement proj (2'!C373,_nbdeci1t)),B381))</f>
        <v>606.91999999999996</v>
      </c>
      <c r="C382" s="10"/>
      <c r="D382" s="10"/>
      <c r="E382" s="10"/>
      <c r="F382" s="10"/>
      <c r="H382" s="29">
        <f>IF('Tableaux amortissement proj (2'!Q373&gt;0,IF(_tauxactuariel1t1,(('Tableaux amortissement proj (2'!Q373+1)^(1/_nebchan1t))-1,'Tableaux amortissement proj (2'!Q373/_nebchan1t),H381)</f>
        <v>8.3333333333333339E-4</v>
      </c>
      <c r="I382" s="28">
        <f>IF('Tableaux amortissement proj (2'!T373&gt;0,'Tableaux amortissement proj (2'!T373,IF('Tableaux amortissement proj (2'!S373&gt;0,IF(AND(_echfixe12,H382&gt;0),ROUND(('Tableaux amortissement proj (2'!AA373-'Tableaux amortissement proj (2'!R373)*H382/(1-((1+H382)^-'Tableaux amortissement proj (2'!S373)),_nbdeci1t1),ROUND('Tableaux amortissement proj (2'!AA373/'Tableaux amortissement proj (2'!S373,_nbdeci1t1)),I381))</f>
        <v>240200</v>
      </c>
      <c r="J382" s="10"/>
      <c r="K382" s="10"/>
      <c r="L382" s="10"/>
      <c r="M382" s="10"/>
      <c r="O382" s="186">
        <v>380</v>
      </c>
    </row>
    <row r="383" spans="1:15" x14ac:dyDescent="0.2">
      <c r="A383" s="29">
        <f>IF('Tableaux amortissement proj (2'!A374&gt;0,IF(_tauxactuariel1t,(('Tableaux amortissement proj (2'!A374+1)^(1/_nbechan1t))-1,'Tableaux amortissement proj (2'!A374/_nbechan1t),A382)</f>
        <v>1.5499999999999999E-3</v>
      </c>
      <c r="B383" s="28">
        <f>IF('Tableaux amortissement proj (2'!D374&gt;0,'Tableaux amortissement proj (2'!D374,IF('Tableaux amortissement proj (2'!C374&gt;0,IF(AND(_echfixe1t,A383&gt;0),ROUND(('Tableaux amortissement proj (2'!K374-'Tableaux amortissement proj (2'!B374)*A383/(1-((1+A383)^-'Tableaux amortissement proj (2'!C374)),_nbdeci1t),ROUND('Tableaux amortissement proj (2'!K374/'Tableaux amortissement proj (2'!C374,_nbdeci1t)),B382))</f>
        <v>606.91999999999996</v>
      </c>
      <c r="C383" s="10"/>
      <c r="D383" s="10"/>
      <c r="E383" s="10"/>
      <c r="F383" s="10"/>
      <c r="H383" s="29">
        <f>IF('Tableaux amortissement proj (2'!Q374&gt;0,IF(_tauxactuariel1t1,(('Tableaux amortissement proj (2'!Q374+1)^(1/_nebchan1t))-1,'Tableaux amortissement proj (2'!Q374/_nebchan1t),H382)</f>
        <v>8.3333333333333339E-4</v>
      </c>
      <c r="I383" s="28">
        <f>IF('Tableaux amortissement proj (2'!T374&gt;0,'Tableaux amortissement proj (2'!T374,IF('Tableaux amortissement proj (2'!S374&gt;0,IF(AND(_echfixe12,H383&gt;0),ROUND(('Tableaux amortissement proj (2'!AA374-'Tableaux amortissement proj (2'!R374)*H383/(1-((1+H383)^-'Tableaux amortissement proj (2'!S374)),_nbdeci1t1),ROUND('Tableaux amortissement proj (2'!AA374/'Tableaux amortissement proj (2'!S374,_nbdeci1t1)),I382))</f>
        <v>240200</v>
      </c>
      <c r="J383" s="10"/>
      <c r="K383" s="10"/>
      <c r="L383" s="10"/>
      <c r="M383" s="10"/>
      <c r="O383" s="186">
        <v>381</v>
      </c>
    </row>
    <row r="384" spans="1:15" x14ac:dyDescent="0.2">
      <c r="A384" s="29">
        <f>IF('Tableaux amortissement proj (2'!A375&gt;0,IF(_tauxactuariel1t,(('Tableaux amortissement proj (2'!A375+1)^(1/_nbechan1t))-1,'Tableaux amortissement proj (2'!A375/_nbechan1t),A383)</f>
        <v>1.5499999999999999E-3</v>
      </c>
      <c r="B384" s="28">
        <f>IF('Tableaux amortissement proj (2'!D375&gt;0,'Tableaux amortissement proj (2'!D375,IF('Tableaux amortissement proj (2'!C375&gt;0,IF(AND(_echfixe1t,A384&gt;0),ROUND(('Tableaux amortissement proj (2'!K375-'Tableaux amortissement proj (2'!B375)*A384/(1-((1+A384)^-'Tableaux amortissement proj (2'!C375)),_nbdeci1t),ROUND('Tableaux amortissement proj (2'!K375/'Tableaux amortissement proj (2'!C375,_nbdeci1t)),B383))</f>
        <v>606.91999999999996</v>
      </c>
      <c r="C384" s="10"/>
      <c r="D384" s="10"/>
      <c r="E384" s="10"/>
      <c r="F384" s="10"/>
      <c r="H384" s="29">
        <f>IF('Tableaux amortissement proj (2'!Q375&gt;0,IF(_tauxactuariel1t1,(('Tableaux amortissement proj (2'!Q375+1)^(1/_nebchan1t))-1,'Tableaux amortissement proj (2'!Q375/_nebchan1t),H383)</f>
        <v>8.3333333333333339E-4</v>
      </c>
      <c r="I384" s="28">
        <f>IF('Tableaux amortissement proj (2'!T375&gt;0,'Tableaux amortissement proj (2'!T375,IF('Tableaux amortissement proj (2'!S375&gt;0,IF(AND(_echfixe12,H384&gt;0),ROUND(('Tableaux amortissement proj (2'!AA375-'Tableaux amortissement proj (2'!R375)*H384/(1-((1+H384)^-'Tableaux amortissement proj (2'!S375)),_nbdeci1t1),ROUND('Tableaux amortissement proj (2'!AA375/'Tableaux amortissement proj (2'!S375,_nbdeci1t1)),I383))</f>
        <v>240200</v>
      </c>
      <c r="J384" s="10"/>
      <c r="K384" s="10"/>
      <c r="L384" s="10"/>
      <c r="M384" s="10"/>
      <c r="O384" s="186">
        <v>382</v>
      </c>
    </row>
    <row r="385" spans="1:15" x14ac:dyDescent="0.2">
      <c r="A385" s="29">
        <f>IF('Tableaux amortissement proj (2'!A376&gt;0,IF(_tauxactuariel1t,(('Tableaux amortissement proj (2'!A376+1)^(1/_nbechan1t))-1,'Tableaux amortissement proj (2'!A376/_nbechan1t),A384)</f>
        <v>1.5499999999999999E-3</v>
      </c>
      <c r="B385" s="28">
        <f>IF('Tableaux amortissement proj (2'!D376&gt;0,'Tableaux amortissement proj (2'!D376,IF('Tableaux amortissement proj (2'!C376&gt;0,IF(AND(_echfixe1t,A385&gt;0),ROUND(('Tableaux amortissement proj (2'!K376-'Tableaux amortissement proj (2'!B376)*A385/(1-((1+A385)^-'Tableaux amortissement proj (2'!C376)),_nbdeci1t),ROUND('Tableaux amortissement proj (2'!K376/'Tableaux amortissement proj (2'!C376,_nbdeci1t)),B384))</f>
        <v>606.91999999999996</v>
      </c>
      <c r="C385" s="10"/>
      <c r="D385" s="10"/>
      <c r="E385" s="10"/>
      <c r="F385" s="10"/>
      <c r="H385" s="29">
        <f>IF('Tableaux amortissement proj (2'!Q376&gt;0,IF(_tauxactuariel1t1,(('Tableaux amortissement proj (2'!Q376+1)^(1/_nebchan1t))-1,'Tableaux amortissement proj (2'!Q376/_nebchan1t),H384)</f>
        <v>8.3333333333333339E-4</v>
      </c>
      <c r="I385" s="28">
        <f>IF('Tableaux amortissement proj (2'!T376&gt;0,'Tableaux amortissement proj (2'!T376,IF('Tableaux amortissement proj (2'!S376&gt;0,IF(AND(_echfixe12,H385&gt;0),ROUND(('Tableaux amortissement proj (2'!AA376-'Tableaux amortissement proj (2'!R376)*H385/(1-((1+H385)^-'Tableaux amortissement proj (2'!S376)),_nbdeci1t1),ROUND('Tableaux amortissement proj (2'!AA376/'Tableaux amortissement proj (2'!S376,_nbdeci1t1)),I384))</f>
        <v>240200</v>
      </c>
      <c r="J385" s="10"/>
      <c r="K385" s="10"/>
      <c r="L385" s="10"/>
      <c r="M385" s="10"/>
      <c r="O385" s="186">
        <v>383</v>
      </c>
    </row>
    <row r="386" spans="1:15" x14ac:dyDescent="0.2">
      <c r="A386" s="29">
        <f>IF('Tableaux amortissement proj (2'!A377&gt;0,IF(_tauxactuariel1t,(('Tableaux amortissement proj (2'!A377+1)^(1/_nbechan1t))-1,'Tableaux amortissement proj (2'!A377/_nbechan1t),A385)</f>
        <v>1.5499999999999999E-3</v>
      </c>
      <c r="B386" s="28">
        <f>IF('Tableaux amortissement proj (2'!D377&gt;0,'Tableaux amortissement proj (2'!D377,IF('Tableaux amortissement proj (2'!C377&gt;0,IF(AND(_echfixe1t,A386&gt;0),ROUND(('Tableaux amortissement proj (2'!K377-'Tableaux amortissement proj (2'!B377)*A386/(1-((1+A386)^-'Tableaux amortissement proj (2'!C377)),_nbdeci1t),ROUND('Tableaux amortissement proj (2'!K377/'Tableaux amortissement proj (2'!C377,_nbdeci1t)),B385))</f>
        <v>606.91999999999996</v>
      </c>
      <c r="C386" s="10"/>
      <c r="D386" s="10"/>
      <c r="E386" s="10"/>
      <c r="F386" s="10"/>
      <c r="H386" s="29">
        <f>IF('Tableaux amortissement proj (2'!Q377&gt;0,IF(_tauxactuariel1t1,(('Tableaux amortissement proj (2'!Q377+1)^(1/_nebchan1t))-1,'Tableaux amortissement proj (2'!Q377/_nebchan1t),H385)</f>
        <v>8.3333333333333339E-4</v>
      </c>
      <c r="I386" s="28">
        <f>IF('Tableaux amortissement proj (2'!T377&gt;0,'Tableaux amortissement proj (2'!T377,IF('Tableaux amortissement proj (2'!S377&gt;0,IF(AND(_echfixe12,H386&gt;0),ROUND(('Tableaux amortissement proj (2'!AA377-'Tableaux amortissement proj (2'!R377)*H386/(1-((1+H386)^-'Tableaux amortissement proj (2'!S377)),_nbdeci1t1),ROUND('Tableaux amortissement proj (2'!AA377/'Tableaux amortissement proj (2'!S377,_nbdeci1t1)),I385))</f>
        <v>240200</v>
      </c>
      <c r="J386" s="10"/>
      <c r="K386" s="10"/>
      <c r="L386" s="10"/>
      <c r="M386" s="10"/>
      <c r="O386" s="186">
        <v>384</v>
      </c>
    </row>
    <row r="387" spans="1:15" x14ac:dyDescent="0.2">
      <c r="A387" s="29">
        <f>IF('Tableaux amortissement proj (2'!A378&gt;0,IF(_tauxactuariel1t,(('Tableaux amortissement proj (2'!A378+1)^(1/_nbechan1t))-1,'Tableaux amortissement proj (2'!A378/_nbechan1t),A386)</f>
        <v>1.5499999999999999E-3</v>
      </c>
      <c r="B387" s="28">
        <f>IF('Tableaux amortissement proj (2'!D378&gt;0,'Tableaux amortissement proj (2'!D378,IF('Tableaux amortissement proj (2'!C378&gt;0,IF(AND(_echfixe1t,A387&gt;0),ROUND(('Tableaux amortissement proj (2'!K378-'Tableaux amortissement proj (2'!B378)*A387/(1-((1+A387)^-'Tableaux amortissement proj (2'!C378)),_nbdeci1t),ROUND('Tableaux amortissement proj (2'!K378/'Tableaux amortissement proj (2'!C378,_nbdeci1t)),B386))</f>
        <v>606.91999999999996</v>
      </c>
      <c r="C387" s="10"/>
      <c r="D387" s="10"/>
      <c r="E387" s="10"/>
      <c r="F387" s="10"/>
      <c r="H387" s="29">
        <f>IF('Tableaux amortissement proj (2'!Q378&gt;0,IF(_tauxactuariel1t1,(('Tableaux amortissement proj (2'!Q378+1)^(1/_nebchan1t))-1,'Tableaux amortissement proj (2'!Q378/_nebchan1t),H386)</f>
        <v>8.3333333333333339E-4</v>
      </c>
      <c r="I387" s="28">
        <f>IF('Tableaux amortissement proj (2'!T378&gt;0,'Tableaux amortissement proj (2'!T378,IF('Tableaux amortissement proj (2'!S378&gt;0,IF(AND(_echfixe12,H387&gt;0),ROUND(('Tableaux amortissement proj (2'!AA378-'Tableaux amortissement proj (2'!R378)*H387/(1-((1+H387)^-'Tableaux amortissement proj (2'!S378)),_nbdeci1t1),ROUND('Tableaux amortissement proj (2'!AA378/'Tableaux amortissement proj (2'!S378,_nbdeci1t1)),I386))</f>
        <v>240200</v>
      </c>
      <c r="J387" s="10"/>
      <c r="K387" s="10"/>
      <c r="L387" s="10"/>
      <c r="M387" s="10"/>
      <c r="O387" s="186">
        <v>385</v>
      </c>
    </row>
    <row r="388" spans="1:15" x14ac:dyDescent="0.2">
      <c r="A388" s="29">
        <f>IF('Tableaux amortissement proj (2'!A379&gt;0,IF(_tauxactuariel1t,(('Tableaux amortissement proj (2'!A379+1)^(1/_nbechan1t))-1,'Tableaux amortissement proj (2'!A379/_nbechan1t),A387)</f>
        <v>1.5499999999999999E-3</v>
      </c>
      <c r="B388" s="28">
        <f>IF('Tableaux amortissement proj (2'!D379&gt;0,'Tableaux amortissement proj (2'!D379,IF('Tableaux amortissement proj (2'!C379&gt;0,IF(AND(_echfixe1t,A388&gt;0),ROUND(('Tableaux amortissement proj (2'!K379-'Tableaux amortissement proj (2'!B379)*A388/(1-((1+A388)^-'Tableaux amortissement proj (2'!C379)),_nbdeci1t),ROUND('Tableaux amortissement proj (2'!K379/'Tableaux amortissement proj (2'!C379,_nbdeci1t)),B387))</f>
        <v>606.91999999999996</v>
      </c>
      <c r="C388" s="10"/>
      <c r="D388" s="10"/>
      <c r="E388" s="10"/>
      <c r="F388" s="10"/>
      <c r="H388" s="29">
        <f>IF('Tableaux amortissement proj (2'!Q379&gt;0,IF(_tauxactuariel1t1,(('Tableaux amortissement proj (2'!Q379+1)^(1/_nebchan1t))-1,'Tableaux amortissement proj (2'!Q379/_nebchan1t),H387)</f>
        <v>8.3333333333333339E-4</v>
      </c>
      <c r="I388" s="28">
        <f>IF('Tableaux amortissement proj (2'!T379&gt;0,'Tableaux amortissement proj (2'!T379,IF('Tableaux amortissement proj (2'!S379&gt;0,IF(AND(_echfixe12,H388&gt;0),ROUND(('Tableaux amortissement proj (2'!AA379-'Tableaux amortissement proj (2'!R379)*H388/(1-((1+H388)^-'Tableaux amortissement proj (2'!S379)),_nbdeci1t1),ROUND('Tableaux amortissement proj (2'!AA379/'Tableaux amortissement proj (2'!S379,_nbdeci1t1)),I387))</f>
        <v>240200</v>
      </c>
      <c r="J388" s="10"/>
      <c r="K388" s="10"/>
      <c r="L388" s="10"/>
      <c r="M388" s="10"/>
      <c r="O388" s="186">
        <v>386</v>
      </c>
    </row>
    <row r="389" spans="1:15" x14ac:dyDescent="0.2">
      <c r="A389" s="29">
        <f>IF('Tableaux amortissement proj (2'!A380&gt;0,IF(_tauxactuariel1t,(('Tableaux amortissement proj (2'!A380+1)^(1/_nbechan1t))-1,'Tableaux amortissement proj (2'!A380/_nbechan1t),A388)</f>
        <v>1.5499999999999999E-3</v>
      </c>
      <c r="B389" s="28">
        <f>IF('Tableaux amortissement proj (2'!D380&gt;0,'Tableaux amortissement proj (2'!D380,IF('Tableaux amortissement proj (2'!C380&gt;0,IF(AND(_echfixe1t,A389&gt;0),ROUND(('Tableaux amortissement proj (2'!K380-'Tableaux amortissement proj (2'!B380)*A389/(1-((1+A389)^-'Tableaux amortissement proj (2'!C380)),_nbdeci1t),ROUND('Tableaux amortissement proj (2'!K380/'Tableaux amortissement proj (2'!C380,_nbdeci1t)),B388))</f>
        <v>606.91999999999996</v>
      </c>
      <c r="C389" s="10"/>
      <c r="D389" s="10"/>
      <c r="E389" s="10"/>
      <c r="F389" s="10"/>
      <c r="H389" s="29">
        <f>IF('Tableaux amortissement proj (2'!Q380&gt;0,IF(_tauxactuariel1t1,(('Tableaux amortissement proj (2'!Q380+1)^(1/_nebchan1t))-1,'Tableaux amortissement proj (2'!Q380/_nebchan1t),H388)</f>
        <v>8.3333333333333339E-4</v>
      </c>
      <c r="I389" s="28">
        <f>IF('Tableaux amortissement proj (2'!T380&gt;0,'Tableaux amortissement proj (2'!T380,IF('Tableaux amortissement proj (2'!S380&gt;0,IF(AND(_echfixe12,H389&gt;0),ROUND(('Tableaux amortissement proj (2'!AA380-'Tableaux amortissement proj (2'!R380)*H389/(1-((1+H389)^-'Tableaux amortissement proj (2'!S380)),_nbdeci1t1),ROUND('Tableaux amortissement proj (2'!AA380/'Tableaux amortissement proj (2'!S380,_nbdeci1t1)),I388))</f>
        <v>240200</v>
      </c>
      <c r="J389" s="10"/>
      <c r="K389" s="10"/>
      <c r="L389" s="10"/>
      <c r="M389" s="10"/>
      <c r="O389" s="186">
        <v>387</v>
      </c>
    </row>
    <row r="390" spans="1:15" x14ac:dyDescent="0.2">
      <c r="A390" s="29">
        <f>IF('Tableaux amortissement proj (2'!A381&gt;0,IF(_tauxactuariel1t,(('Tableaux amortissement proj (2'!A381+1)^(1/_nbechan1t))-1,'Tableaux amortissement proj (2'!A381/_nbechan1t),A389)</f>
        <v>1.5499999999999999E-3</v>
      </c>
      <c r="B390" s="28">
        <f>IF('Tableaux amortissement proj (2'!D381&gt;0,'Tableaux amortissement proj (2'!D381,IF('Tableaux amortissement proj (2'!C381&gt;0,IF(AND(_echfixe1t,A390&gt;0),ROUND(('Tableaux amortissement proj (2'!K381-'Tableaux amortissement proj (2'!B381)*A390/(1-((1+A390)^-'Tableaux amortissement proj (2'!C381)),_nbdeci1t),ROUND('Tableaux amortissement proj (2'!K381/'Tableaux amortissement proj (2'!C381,_nbdeci1t)),B389))</f>
        <v>606.91999999999996</v>
      </c>
      <c r="C390" s="10"/>
      <c r="D390" s="10"/>
      <c r="E390" s="10"/>
      <c r="F390" s="10"/>
      <c r="H390" s="29">
        <f>IF('Tableaux amortissement proj (2'!Q381&gt;0,IF(_tauxactuariel1t1,(('Tableaux amortissement proj (2'!Q381+1)^(1/_nebchan1t))-1,'Tableaux amortissement proj (2'!Q381/_nebchan1t),H389)</f>
        <v>8.3333333333333339E-4</v>
      </c>
      <c r="I390" s="28">
        <f>IF('Tableaux amortissement proj (2'!T381&gt;0,'Tableaux amortissement proj (2'!T381,IF('Tableaux amortissement proj (2'!S381&gt;0,IF(AND(_echfixe12,H390&gt;0),ROUND(('Tableaux amortissement proj (2'!AA381-'Tableaux amortissement proj (2'!R381)*H390/(1-((1+H390)^-'Tableaux amortissement proj (2'!S381)),_nbdeci1t1),ROUND('Tableaux amortissement proj (2'!AA381/'Tableaux amortissement proj (2'!S381,_nbdeci1t1)),I389))</f>
        <v>240200</v>
      </c>
      <c r="J390" s="10"/>
      <c r="K390" s="10"/>
      <c r="L390" s="10"/>
      <c r="M390" s="10"/>
      <c r="O390" s="186">
        <v>388</v>
      </c>
    </row>
    <row r="391" spans="1:15" x14ac:dyDescent="0.2">
      <c r="A391" s="29">
        <f>IF('Tableaux amortissement proj (2'!A382&gt;0,IF(_tauxactuariel1t,(('Tableaux amortissement proj (2'!A382+1)^(1/_nbechan1t))-1,'Tableaux amortissement proj (2'!A382/_nbechan1t),A390)</f>
        <v>1.5499999999999999E-3</v>
      </c>
      <c r="B391" s="28">
        <f>IF('Tableaux amortissement proj (2'!D382&gt;0,'Tableaux amortissement proj (2'!D382,IF('Tableaux amortissement proj (2'!C382&gt;0,IF(AND(_echfixe1t,A391&gt;0),ROUND(('Tableaux amortissement proj (2'!K382-'Tableaux amortissement proj (2'!B382)*A391/(1-((1+A391)^-'Tableaux amortissement proj (2'!C382)),_nbdeci1t),ROUND('Tableaux amortissement proj (2'!K382/'Tableaux amortissement proj (2'!C382,_nbdeci1t)),B390))</f>
        <v>606.91999999999996</v>
      </c>
      <c r="C391" s="10"/>
      <c r="D391" s="10"/>
      <c r="E391" s="10"/>
      <c r="F391" s="10"/>
      <c r="H391" s="29">
        <f>IF('Tableaux amortissement proj (2'!Q382&gt;0,IF(_tauxactuariel1t1,(('Tableaux amortissement proj (2'!Q382+1)^(1/_nebchan1t))-1,'Tableaux amortissement proj (2'!Q382/_nebchan1t),H390)</f>
        <v>8.3333333333333339E-4</v>
      </c>
      <c r="I391" s="28">
        <f>IF('Tableaux amortissement proj (2'!T382&gt;0,'Tableaux amortissement proj (2'!T382,IF('Tableaux amortissement proj (2'!S382&gt;0,IF(AND(_echfixe12,H391&gt;0),ROUND(('Tableaux amortissement proj (2'!AA382-'Tableaux amortissement proj (2'!R382)*H391/(1-((1+H391)^-'Tableaux amortissement proj (2'!S382)),_nbdeci1t1),ROUND('Tableaux amortissement proj (2'!AA382/'Tableaux amortissement proj (2'!S382,_nbdeci1t1)),I390))</f>
        <v>240200</v>
      </c>
      <c r="J391" s="10"/>
      <c r="K391" s="10"/>
      <c r="L391" s="10"/>
      <c r="M391" s="10"/>
      <c r="O391" s="186">
        <v>389</v>
      </c>
    </row>
    <row r="392" spans="1:15" x14ac:dyDescent="0.2">
      <c r="A392" s="29">
        <f>IF('Tableaux amortissement proj (2'!A383&gt;0,IF(_tauxactuariel1t,(('Tableaux amortissement proj (2'!A383+1)^(1/_nbechan1t))-1,'Tableaux amortissement proj (2'!A383/_nbechan1t),A391)</f>
        <v>1.5499999999999999E-3</v>
      </c>
      <c r="B392" s="28">
        <f>IF('Tableaux amortissement proj (2'!D383&gt;0,'Tableaux amortissement proj (2'!D383,IF('Tableaux amortissement proj (2'!C383&gt;0,IF(AND(_echfixe1t,A392&gt;0),ROUND(('Tableaux amortissement proj (2'!K383-'Tableaux amortissement proj (2'!B383)*A392/(1-((1+A392)^-'Tableaux amortissement proj (2'!C383)),_nbdeci1t),ROUND('Tableaux amortissement proj (2'!K383/'Tableaux amortissement proj (2'!C383,_nbdeci1t)),B391))</f>
        <v>606.91999999999996</v>
      </c>
      <c r="C392" s="10"/>
      <c r="D392" s="10"/>
      <c r="E392" s="10"/>
      <c r="F392" s="10"/>
      <c r="H392" s="29">
        <f>IF('Tableaux amortissement proj (2'!Q383&gt;0,IF(_tauxactuariel1t1,(('Tableaux amortissement proj (2'!Q383+1)^(1/_nebchan1t))-1,'Tableaux amortissement proj (2'!Q383/_nebchan1t),H391)</f>
        <v>8.3333333333333339E-4</v>
      </c>
      <c r="I392" s="28">
        <f>IF('Tableaux amortissement proj (2'!T383&gt;0,'Tableaux amortissement proj (2'!T383,IF('Tableaux amortissement proj (2'!S383&gt;0,IF(AND(_echfixe12,H392&gt;0),ROUND(('Tableaux amortissement proj (2'!AA383-'Tableaux amortissement proj (2'!R383)*H392/(1-((1+H392)^-'Tableaux amortissement proj (2'!S383)),_nbdeci1t1),ROUND('Tableaux amortissement proj (2'!AA383/'Tableaux amortissement proj (2'!S383,_nbdeci1t1)),I391))</f>
        <v>240200</v>
      </c>
      <c r="J392" s="10"/>
      <c r="K392" s="10"/>
      <c r="L392" s="10"/>
      <c r="M392" s="10"/>
      <c r="O392" s="186">
        <v>390</v>
      </c>
    </row>
    <row r="393" spans="1:15" x14ac:dyDescent="0.2">
      <c r="A393" s="29">
        <f>IF('Tableaux amortissement proj (2'!A384&gt;0,IF(_tauxactuariel1t,(('Tableaux amortissement proj (2'!A384+1)^(1/_nbechan1t))-1,'Tableaux amortissement proj (2'!A384/_nbechan1t),A392)</f>
        <v>1.5499999999999999E-3</v>
      </c>
      <c r="B393" s="28">
        <f>IF('Tableaux amortissement proj (2'!D384&gt;0,'Tableaux amortissement proj (2'!D384,IF('Tableaux amortissement proj (2'!C384&gt;0,IF(AND(_echfixe1t,A393&gt;0),ROUND(('Tableaux amortissement proj (2'!K384-'Tableaux amortissement proj (2'!B384)*A393/(1-((1+A393)^-'Tableaux amortissement proj (2'!C384)),_nbdeci1t),ROUND('Tableaux amortissement proj (2'!K384/'Tableaux amortissement proj (2'!C384,_nbdeci1t)),B392))</f>
        <v>606.91999999999996</v>
      </c>
      <c r="C393" s="10"/>
      <c r="D393" s="10"/>
      <c r="E393" s="10"/>
      <c r="F393" s="10"/>
      <c r="H393" s="29">
        <f>IF('Tableaux amortissement proj (2'!Q384&gt;0,IF(_tauxactuariel1t1,(('Tableaux amortissement proj (2'!Q384+1)^(1/_nebchan1t))-1,'Tableaux amortissement proj (2'!Q384/_nebchan1t),H392)</f>
        <v>8.3333333333333339E-4</v>
      </c>
      <c r="I393" s="28">
        <f>IF('Tableaux amortissement proj (2'!T384&gt;0,'Tableaux amortissement proj (2'!T384,IF('Tableaux amortissement proj (2'!S384&gt;0,IF(AND(_echfixe12,H393&gt;0),ROUND(('Tableaux amortissement proj (2'!AA384-'Tableaux amortissement proj (2'!R384)*H393/(1-((1+H393)^-'Tableaux amortissement proj (2'!S384)),_nbdeci1t1),ROUND('Tableaux amortissement proj (2'!AA384/'Tableaux amortissement proj (2'!S384,_nbdeci1t1)),I392))</f>
        <v>240200</v>
      </c>
      <c r="J393" s="10"/>
      <c r="K393" s="10"/>
      <c r="L393" s="10"/>
      <c r="M393" s="10"/>
      <c r="O393" s="186">
        <v>391</v>
      </c>
    </row>
    <row r="394" spans="1:15" x14ac:dyDescent="0.2">
      <c r="A394" s="29">
        <f>IF('Tableaux amortissement proj (2'!A385&gt;0,IF(_tauxactuariel1t,(('Tableaux amortissement proj (2'!A385+1)^(1/_nbechan1t))-1,'Tableaux amortissement proj (2'!A385/_nbechan1t),A393)</f>
        <v>1.5499999999999999E-3</v>
      </c>
      <c r="B394" s="28">
        <f>IF('Tableaux amortissement proj (2'!D385&gt;0,'Tableaux amortissement proj (2'!D385,IF('Tableaux amortissement proj (2'!C385&gt;0,IF(AND(_echfixe1t,A394&gt;0),ROUND(('Tableaux amortissement proj (2'!K385-'Tableaux amortissement proj (2'!B385)*A394/(1-((1+A394)^-'Tableaux amortissement proj (2'!C385)),_nbdeci1t),ROUND('Tableaux amortissement proj (2'!K385/'Tableaux amortissement proj (2'!C385,_nbdeci1t)),B393))</f>
        <v>606.91999999999996</v>
      </c>
      <c r="C394" s="10"/>
      <c r="D394" s="10"/>
      <c r="E394" s="10"/>
      <c r="F394" s="10"/>
      <c r="H394" s="29">
        <f>IF('Tableaux amortissement proj (2'!Q385&gt;0,IF(_tauxactuariel1t1,(('Tableaux amortissement proj (2'!Q385+1)^(1/_nebchan1t))-1,'Tableaux amortissement proj (2'!Q385/_nebchan1t),H393)</f>
        <v>8.3333333333333339E-4</v>
      </c>
      <c r="I394" s="28">
        <f>IF('Tableaux amortissement proj (2'!T385&gt;0,'Tableaux amortissement proj (2'!T385,IF('Tableaux amortissement proj (2'!S385&gt;0,IF(AND(_echfixe12,H394&gt;0),ROUND(('Tableaux amortissement proj (2'!AA385-'Tableaux amortissement proj (2'!R385)*H394/(1-((1+H394)^-'Tableaux amortissement proj (2'!S385)),_nbdeci1t1),ROUND('Tableaux amortissement proj (2'!AA385/'Tableaux amortissement proj (2'!S385,_nbdeci1t1)),I393))</f>
        <v>240200</v>
      </c>
      <c r="J394" s="10"/>
      <c r="K394" s="10"/>
      <c r="L394" s="10"/>
      <c r="M394" s="10"/>
      <c r="O394" s="186">
        <v>392</v>
      </c>
    </row>
    <row r="395" spans="1:15" x14ac:dyDescent="0.2">
      <c r="A395" s="29">
        <f>IF('Tableaux amortissement proj (2'!A386&gt;0,IF(_tauxactuariel1t,(('Tableaux amortissement proj (2'!A386+1)^(1/_nbechan1t))-1,'Tableaux amortissement proj (2'!A386/_nbechan1t),A394)</f>
        <v>1.5499999999999999E-3</v>
      </c>
      <c r="B395" s="28">
        <f>IF('Tableaux amortissement proj (2'!D386&gt;0,'Tableaux amortissement proj (2'!D386,IF('Tableaux amortissement proj (2'!C386&gt;0,IF(AND(_echfixe1t,A395&gt;0),ROUND(('Tableaux amortissement proj (2'!K386-'Tableaux amortissement proj (2'!B386)*A395/(1-((1+A395)^-'Tableaux amortissement proj (2'!C386)),_nbdeci1t),ROUND('Tableaux amortissement proj (2'!K386/'Tableaux amortissement proj (2'!C386,_nbdeci1t)),B394))</f>
        <v>606.91999999999996</v>
      </c>
      <c r="C395" s="10"/>
      <c r="D395" s="10"/>
      <c r="E395" s="10"/>
      <c r="F395" s="10"/>
      <c r="H395" s="29">
        <f>IF('Tableaux amortissement proj (2'!Q386&gt;0,IF(_tauxactuariel1t1,(('Tableaux amortissement proj (2'!Q386+1)^(1/_nebchan1t))-1,'Tableaux amortissement proj (2'!Q386/_nebchan1t),H394)</f>
        <v>8.3333333333333339E-4</v>
      </c>
      <c r="I395" s="28">
        <f>IF('Tableaux amortissement proj (2'!T386&gt;0,'Tableaux amortissement proj (2'!T386,IF('Tableaux amortissement proj (2'!S386&gt;0,IF(AND(_echfixe12,H395&gt;0),ROUND(('Tableaux amortissement proj (2'!AA386-'Tableaux amortissement proj (2'!R386)*H395/(1-((1+H395)^-'Tableaux amortissement proj (2'!S386)),_nbdeci1t1),ROUND('Tableaux amortissement proj (2'!AA386/'Tableaux amortissement proj (2'!S386,_nbdeci1t1)),I394))</f>
        <v>240200</v>
      </c>
      <c r="J395" s="10"/>
      <c r="K395" s="10"/>
      <c r="L395" s="10"/>
      <c r="M395" s="10"/>
      <c r="O395" s="186">
        <v>393</v>
      </c>
    </row>
    <row r="396" spans="1:15" x14ac:dyDescent="0.2">
      <c r="A396" s="29">
        <f>IF('Tableaux amortissement proj (2'!A387&gt;0,IF(_tauxactuariel1t,(('Tableaux amortissement proj (2'!A387+1)^(1/_nbechan1t))-1,'Tableaux amortissement proj (2'!A387/_nbechan1t),A395)</f>
        <v>1.5499999999999999E-3</v>
      </c>
      <c r="B396" s="28">
        <f>IF('Tableaux amortissement proj (2'!D387&gt;0,'Tableaux amortissement proj (2'!D387,IF('Tableaux amortissement proj (2'!C387&gt;0,IF(AND(_echfixe1t,A396&gt;0),ROUND(('Tableaux amortissement proj (2'!K387-'Tableaux amortissement proj (2'!B387)*A396/(1-((1+A396)^-'Tableaux amortissement proj (2'!C387)),_nbdeci1t),ROUND('Tableaux amortissement proj (2'!K387/'Tableaux amortissement proj (2'!C387,_nbdeci1t)),B395))</f>
        <v>606.91999999999996</v>
      </c>
      <c r="C396" s="10"/>
      <c r="D396" s="10"/>
      <c r="E396" s="10"/>
      <c r="F396" s="10"/>
      <c r="H396" s="29">
        <f>IF('Tableaux amortissement proj (2'!Q387&gt;0,IF(_tauxactuariel1t1,(('Tableaux amortissement proj (2'!Q387+1)^(1/_nebchan1t))-1,'Tableaux amortissement proj (2'!Q387/_nebchan1t),H395)</f>
        <v>8.3333333333333339E-4</v>
      </c>
      <c r="I396" s="28">
        <f>IF('Tableaux amortissement proj (2'!T387&gt;0,'Tableaux amortissement proj (2'!T387,IF('Tableaux amortissement proj (2'!S387&gt;0,IF(AND(_echfixe12,H396&gt;0),ROUND(('Tableaux amortissement proj (2'!AA387-'Tableaux amortissement proj (2'!R387)*H396/(1-((1+H396)^-'Tableaux amortissement proj (2'!S387)),_nbdeci1t1),ROUND('Tableaux amortissement proj (2'!AA387/'Tableaux amortissement proj (2'!S387,_nbdeci1t1)),I395))</f>
        <v>240200</v>
      </c>
      <c r="J396" s="10"/>
      <c r="K396" s="10"/>
      <c r="L396" s="10"/>
      <c r="M396" s="10"/>
      <c r="O396" s="186">
        <v>394</v>
      </c>
    </row>
    <row r="397" spans="1:15" x14ac:dyDescent="0.2">
      <c r="A397" s="29">
        <f>IF('Tableaux amortissement proj (2'!A388&gt;0,IF(_tauxactuariel1t,(('Tableaux amortissement proj (2'!A388+1)^(1/_nbechan1t))-1,'Tableaux amortissement proj (2'!A388/_nbechan1t),A396)</f>
        <v>1.5499999999999999E-3</v>
      </c>
      <c r="B397" s="28">
        <f>IF('Tableaux amortissement proj (2'!D388&gt;0,'Tableaux amortissement proj (2'!D388,IF('Tableaux amortissement proj (2'!C388&gt;0,IF(AND(_echfixe1t,A397&gt;0),ROUND(('Tableaux amortissement proj (2'!K388-'Tableaux amortissement proj (2'!B388)*A397/(1-((1+A397)^-'Tableaux amortissement proj (2'!C388)),_nbdeci1t),ROUND('Tableaux amortissement proj (2'!K388/'Tableaux amortissement proj (2'!C388,_nbdeci1t)),B396))</f>
        <v>606.91999999999996</v>
      </c>
      <c r="C397" s="10"/>
      <c r="D397" s="10"/>
      <c r="E397" s="10"/>
      <c r="F397" s="10"/>
      <c r="H397" s="29">
        <f>IF('Tableaux amortissement proj (2'!Q388&gt;0,IF(_tauxactuariel1t1,(('Tableaux amortissement proj (2'!Q388+1)^(1/_nebchan1t))-1,'Tableaux amortissement proj (2'!Q388/_nebchan1t),H396)</f>
        <v>8.3333333333333339E-4</v>
      </c>
      <c r="I397" s="28">
        <f>IF('Tableaux amortissement proj (2'!T388&gt;0,'Tableaux amortissement proj (2'!T388,IF('Tableaux amortissement proj (2'!S388&gt;0,IF(AND(_echfixe12,H397&gt;0),ROUND(('Tableaux amortissement proj (2'!AA388-'Tableaux amortissement proj (2'!R388)*H397/(1-((1+H397)^-'Tableaux amortissement proj (2'!S388)),_nbdeci1t1),ROUND('Tableaux amortissement proj (2'!AA388/'Tableaux amortissement proj (2'!S388,_nbdeci1t1)),I396))</f>
        <v>240200</v>
      </c>
      <c r="J397" s="10"/>
      <c r="K397" s="10"/>
      <c r="L397" s="10"/>
      <c r="M397" s="10"/>
      <c r="O397" s="186">
        <v>395</v>
      </c>
    </row>
    <row r="398" spans="1:15" x14ac:dyDescent="0.2">
      <c r="A398" s="29">
        <f>IF('Tableaux amortissement proj (2'!A389&gt;0,IF(_tauxactuariel1t,(('Tableaux amortissement proj (2'!A389+1)^(1/_nbechan1t))-1,'Tableaux amortissement proj (2'!A389/_nbechan1t),A397)</f>
        <v>1.5499999999999999E-3</v>
      </c>
      <c r="B398" s="28">
        <f>IF('Tableaux amortissement proj (2'!D389&gt;0,'Tableaux amortissement proj (2'!D389,IF('Tableaux amortissement proj (2'!C389&gt;0,IF(AND(_echfixe1t,A398&gt;0),ROUND(('Tableaux amortissement proj (2'!K389-'Tableaux amortissement proj (2'!B389)*A398/(1-((1+A398)^-'Tableaux amortissement proj (2'!C389)),_nbdeci1t),ROUND('Tableaux amortissement proj (2'!K389/'Tableaux amortissement proj (2'!C389,_nbdeci1t)),B397))</f>
        <v>606.91999999999996</v>
      </c>
      <c r="C398" s="10"/>
      <c r="D398" s="10"/>
      <c r="E398" s="10"/>
      <c r="F398" s="10"/>
      <c r="H398" s="29">
        <f>IF('Tableaux amortissement proj (2'!Q389&gt;0,IF(_tauxactuariel1t1,(('Tableaux amortissement proj (2'!Q389+1)^(1/_nebchan1t))-1,'Tableaux amortissement proj (2'!Q389/_nebchan1t),H397)</f>
        <v>8.3333333333333339E-4</v>
      </c>
      <c r="I398" s="28">
        <f>IF('Tableaux amortissement proj (2'!T389&gt;0,'Tableaux amortissement proj (2'!T389,IF('Tableaux amortissement proj (2'!S389&gt;0,IF(AND(_echfixe12,H398&gt;0),ROUND(('Tableaux amortissement proj (2'!AA389-'Tableaux amortissement proj (2'!R389)*H398/(1-((1+H398)^-'Tableaux amortissement proj (2'!S389)),_nbdeci1t1),ROUND('Tableaux amortissement proj (2'!AA389/'Tableaux amortissement proj (2'!S389,_nbdeci1t1)),I397))</f>
        <v>240200</v>
      </c>
      <c r="J398" s="10"/>
      <c r="K398" s="10"/>
      <c r="L398" s="10"/>
      <c r="M398" s="10"/>
      <c r="O398" s="186">
        <v>396</v>
      </c>
    </row>
    <row r="399" spans="1:15" x14ac:dyDescent="0.2">
      <c r="A399" s="29">
        <f>IF('Tableaux amortissement proj (2'!A390&gt;0,IF(_tauxactuariel1t,(('Tableaux amortissement proj (2'!A390+1)^(1/_nbechan1t))-1,'Tableaux amortissement proj (2'!A390/_nbechan1t),A398)</f>
        <v>1.5499999999999999E-3</v>
      </c>
      <c r="B399" s="28">
        <f>IF('Tableaux amortissement proj (2'!D390&gt;0,'Tableaux amortissement proj (2'!D390,IF('Tableaux amortissement proj (2'!C390&gt;0,IF(AND(_echfixe1t,A399&gt;0),ROUND(('Tableaux amortissement proj (2'!K390-'Tableaux amortissement proj (2'!B390)*A399/(1-((1+A399)^-'Tableaux amortissement proj (2'!C390)),_nbdeci1t),ROUND('Tableaux amortissement proj (2'!K390/'Tableaux amortissement proj (2'!C390,_nbdeci1t)),B398))</f>
        <v>606.91999999999996</v>
      </c>
      <c r="C399" s="10"/>
      <c r="D399" s="10"/>
      <c r="E399" s="10"/>
      <c r="F399" s="10"/>
      <c r="H399" s="29">
        <f>IF('Tableaux amortissement proj (2'!Q390&gt;0,IF(_tauxactuariel1t1,(('Tableaux amortissement proj (2'!Q390+1)^(1/_nebchan1t))-1,'Tableaux amortissement proj (2'!Q390/_nebchan1t),H398)</f>
        <v>8.3333333333333339E-4</v>
      </c>
      <c r="I399" s="28">
        <f>IF('Tableaux amortissement proj (2'!T390&gt;0,'Tableaux amortissement proj (2'!T390,IF('Tableaux amortissement proj (2'!S390&gt;0,IF(AND(_echfixe12,H399&gt;0),ROUND(('Tableaux amortissement proj (2'!AA390-'Tableaux amortissement proj (2'!R390)*H399/(1-((1+H399)^-'Tableaux amortissement proj (2'!S390)),_nbdeci1t1),ROUND('Tableaux amortissement proj (2'!AA390/'Tableaux amortissement proj (2'!S390,_nbdeci1t1)),I398))</f>
        <v>240200</v>
      </c>
      <c r="J399" s="10"/>
      <c r="K399" s="10"/>
      <c r="L399" s="10"/>
      <c r="M399" s="10"/>
      <c r="O399" s="186">
        <v>397</v>
      </c>
    </row>
    <row r="400" spans="1:15" x14ac:dyDescent="0.2">
      <c r="A400" s="29">
        <f>IF('Tableaux amortissement proj (2'!A391&gt;0,IF(_tauxactuariel1t,(('Tableaux amortissement proj (2'!A391+1)^(1/_nbechan1t))-1,'Tableaux amortissement proj (2'!A391/_nbechan1t),A399)</f>
        <v>1.5499999999999999E-3</v>
      </c>
      <c r="B400" s="28">
        <f>IF('Tableaux amortissement proj (2'!D391&gt;0,'Tableaux amortissement proj (2'!D391,IF('Tableaux amortissement proj (2'!C391&gt;0,IF(AND(_echfixe1t,A400&gt;0),ROUND(('Tableaux amortissement proj (2'!K391-'Tableaux amortissement proj (2'!B391)*A400/(1-((1+A400)^-'Tableaux amortissement proj (2'!C391)),_nbdeci1t),ROUND('Tableaux amortissement proj (2'!K391/'Tableaux amortissement proj (2'!C391,_nbdeci1t)),B399))</f>
        <v>606.91999999999996</v>
      </c>
      <c r="C400" s="10"/>
      <c r="D400" s="10"/>
      <c r="E400" s="10"/>
      <c r="F400" s="10"/>
      <c r="H400" s="29">
        <f>IF('Tableaux amortissement proj (2'!Q391&gt;0,IF(_tauxactuariel1t1,(('Tableaux amortissement proj (2'!Q391+1)^(1/_nebchan1t))-1,'Tableaux amortissement proj (2'!Q391/_nebchan1t),H399)</f>
        <v>8.3333333333333339E-4</v>
      </c>
      <c r="I400" s="28">
        <f>IF('Tableaux amortissement proj (2'!T391&gt;0,'Tableaux amortissement proj (2'!T391,IF('Tableaux amortissement proj (2'!S391&gt;0,IF(AND(_echfixe12,H400&gt;0),ROUND(('Tableaux amortissement proj (2'!AA391-'Tableaux amortissement proj (2'!R391)*H400/(1-((1+H400)^-'Tableaux amortissement proj (2'!S391)),_nbdeci1t1),ROUND('Tableaux amortissement proj (2'!AA391/'Tableaux amortissement proj (2'!S391,_nbdeci1t1)),I399))</f>
        <v>240200</v>
      </c>
      <c r="J400" s="10"/>
      <c r="K400" s="10"/>
      <c r="L400" s="10"/>
      <c r="M400" s="10"/>
      <c r="O400" s="186">
        <v>398</v>
      </c>
    </row>
    <row r="401" spans="1:15" x14ac:dyDescent="0.2">
      <c r="A401" s="29">
        <f>IF('Tableaux amortissement proj (2'!A392&gt;0,IF(_tauxactuariel1t,(('Tableaux amortissement proj (2'!A392+1)^(1/_nbechan1t))-1,'Tableaux amortissement proj (2'!A392/_nbechan1t),A400)</f>
        <v>1.5499999999999999E-3</v>
      </c>
      <c r="B401" s="28">
        <f>IF('Tableaux amortissement proj (2'!D392&gt;0,'Tableaux amortissement proj (2'!D392,IF('Tableaux amortissement proj (2'!C392&gt;0,IF(AND(_echfixe1t,A401&gt;0),ROUND(('Tableaux amortissement proj (2'!K392-'Tableaux amortissement proj (2'!B392)*A401/(1-((1+A401)^-'Tableaux amortissement proj (2'!C392)),_nbdeci1t),ROUND('Tableaux amortissement proj (2'!K392/'Tableaux amortissement proj (2'!C392,_nbdeci1t)),B400))</f>
        <v>606.91999999999996</v>
      </c>
      <c r="C401" s="10"/>
      <c r="D401" s="10"/>
      <c r="E401" s="10"/>
      <c r="F401" s="10"/>
      <c r="H401" s="29">
        <f>IF('Tableaux amortissement proj (2'!Q392&gt;0,IF(_tauxactuariel1t1,(('Tableaux amortissement proj (2'!Q392+1)^(1/_nebchan1t))-1,'Tableaux amortissement proj (2'!Q392/_nebchan1t),H400)</f>
        <v>8.3333333333333339E-4</v>
      </c>
      <c r="I401" s="28">
        <f>IF('Tableaux amortissement proj (2'!T392&gt;0,'Tableaux amortissement proj (2'!T392,IF('Tableaux amortissement proj (2'!S392&gt;0,IF(AND(_echfixe12,H401&gt;0),ROUND(('Tableaux amortissement proj (2'!AA392-'Tableaux amortissement proj (2'!R392)*H401/(1-((1+H401)^-'Tableaux amortissement proj (2'!S392)),_nbdeci1t1),ROUND('Tableaux amortissement proj (2'!AA392/'Tableaux amortissement proj (2'!S392,_nbdeci1t1)),I400))</f>
        <v>240200</v>
      </c>
      <c r="J401" s="10"/>
      <c r="K401" s="10"/>
      <c r="L401" s="10"/>
      <c r="M401" s="10"/>
      <c r="O401" s="186">
        <v>399</v>
      </c>
    </row>
    <row r="402" spans="1:15" x14ac:dyDescent="0.2">
      <c r="A402" s="29">
        <f>IF('Tableaux amortissement proj (2'!A393&gt;0,IF(_tauxactuariel1t,(('Tableaux amortissement proj (2'!A393+1)^(1/_nbechan1t))-1,'Tableaux amortissement proj (2'!A393/_nbechan1t),A401)</f>
        <v>1.5499999999999999E-3</v>
      </c>
      <c r="B402" s="28">
        <f>IF('Tableaux amortissement proj (2'!D393&gt;0,'Tableaux amortissement proj (2'!D393,IF('Tableaux amortissement proj (2'!C393&gt;0,IF(AND(_echfixe1t,A402&gt;0),ROUND(('Tableaux amortissement proj (2'!K393-'Tableaux amortissement proj (2'!B393)*A402/(1-((1+A402)^-'Tableaux amortissement proj (2'!C393)),_nbdeci1t),ROUND('Tableaux amortissement proj (2'!K393/'Tableaux amortissement proj (2'!C393,_nbdeci1t)),B401))</f>
        <v>606.91999999999996</v>
      </c>
      <c r="C402" s="10"/>
      <c r="D402" s="10"/>
      <c r="E402" s="10"/>
      <c r="F402" s="10"/>
      <c r="H402" s="29">
        <f>IF('Tableaux amortissement proj (2'!Q393&gt;0,IF(_tauxactuariel1t1,(('Tableaux amortissement proj (2'!Q393+1)^(1/_nebchan1t))-1,'Tableaux amortissement proj (2'!Q393/_nebchan1t),H401)</f>
        <v>8.3333333333333339E-4</v>
      </c>
      <c r="I402" s="28">
        <f>IF('Tableaux amortissement proj (2'!T393&gt;0,'Tableaux amortissement proj (2'!T393,IF('Tableaux amortissement proj (2'!S393&gt;0,IF(AND(_echfixe12,H402&gt;0),ROUND(('Tableaux amortissement proj (2'!AA393-'Tableaux amortissement proj (2'!R393)*H402/(1-((1+H402)^-'Tableaux amortissement proj (2'!S393)),_nbdeci1t1),ROUND('Tableaux amortissement proj (2'!AA393/'Tableaux amortissement proj (2'!S393,_nbdeci1t1)),I401))</f>
        <v>240200</v>
      </c>
      <c r="J402" s="10"/>
      <c r="K402" s="10"/>
      <c r="L402" s="10"/>
      <c r="M402" s="10"/>
      <c r="O402" s="186">
        <v>400</v>
      </c>
    </row>
    <row r="403" spans="1:15" x14ac:dyDescent="0.2">
      <c r="A403" s="29">
        <f>IF('Tableaux amortissement proj (2'!A394&gt;0,IF(_tauxactuariel1t,(('Tableaux amortissement proj (2'!A394+1)^(1/_nbechan1t))-1,'Tableaux amortissement proj (2'!A394/_nbechan1t),A402)</f>
        <v>1.5499999999999999E-3</v>
      </c>
      <c r="B403" s="28">
        <f>IF('Tableaux amortissement proj (2'!D394&gt;0,'Tableaux amortissement proj (2'!D394,IF('Tableaux amortissement proj (2'!C394&gt;0,IF(AND(_echfixe1t,A403&gt;0),ROUND(('Tableaux amortissement proj (2'!K394-'Tableaux amortissement proj (2'!B394)*A403/(1-((1+A403)^-'Tableaux amortissement proj (2'!C394)),_nbdeci1t),ROUND('Tableaux amortissement proj (2'!K394/'Tableaux amortissement proj (2'!C394,_nbdeci1t)),B402))</f>
        <v>606.91999999999996</v>
      </c>
      <c r="C403" s="10"/>
      <c r="D403" s="10"/>
      <c r="E403" s="10"/>
      <c r="F403" s="10"/>
      <c r="H403" s="29">
        <f>IF('Tableaux amortissement proj (2'!Q394&gt;0,IF(_tauxactuariel1t1,(('Tableaux amortissement proj (2'!Q394+1)^(1/_nebchan1t))-1,'Tableaux amortissement proj (2'!Q394/_nebchan1t),H402)</f>
        <v>8.3333333333333339E-4</v>
      </c>
      <c r="I403" s="28">
        <f>IF('Tableaux amortissement proj (2'!T394&gt;0,'Tableaux amortissement proj (2'!T394,IF('Tableaux amortissement proj (2'!S394&gt;0,IF(AND(_echfixe12,H403&gt;0),ROUND(('Tableaux amortissement proj (2'!AA394-'Tableaux amortissement proj (2'!R394)*H403/(1-((1+H403)^-'Tableaux amortissement proj (2'!S394)),_nbdeci1t1),ROUND('Tableaux amortissement proj (2'!AA394/'Tableaux amortissement proj (2'!S394,_nbdeci1t1)),I402))</f>
        <v>240200</v>
      </c>
      <c r="J403" s="10"/>
      <c r="K403" s="10"/>
      <c r="L403" s="10"/>
      <c r="M403" s="10"/>
      <c r="O403" s="186">
        <v>401</v>
      </c>
    </row>
    <row r="404" spans="1:15" x14ac:dyDescent="0.2">
      <c r="A404" s="29">
        <f>IF('Tableaux amortissement proj (2'!A395&gt;0,IF(_tauxactuariel1t,(('Tableaux amortissement proj (2'!A395+1)^(1/_nbechan1t))-1,'Tableaux amortissement proj (2'!A395/_nbechan1t),A403)</f>
        <v>1.5499999999999999E-3</v>
      </c>
      <c r="B404" s="28">
        <f>IF('Tableaux amortissement proj (2'!D395&gt;0,'Tableaux amortissement proj (2'!D395,IF('Tableaux amortissement proj (2'!C395&gt;0,IF(AND(_echfixe1t,A404&gt;0),ROUND(('Tableaux amortissement proj (2'!K395-'Tableaux amortissement proj (2'!B395)*A404/(1-((1+A404)^-'Tableaux amortissement proj (2'!C395)),_nbdeci1t),ROUND('Tableaux amortissement proj (2'!K395/'Tableaux amortissement proj (2'!C395,_nbdeci1t)),B403))</f>
        <v>606.91999999999996</v>
      </c>
      <c r="C404" s="10"/>
      <c r="D404" s="10"/>
      <c r="E404" s="10"/>
      <c r="F404" s="10"/>
      <c r="H404" s="29">
        <f>IF('Tableaux amortissement proj (2'!Q395&gt;0,IF(_tauxactuariel1t1,(('Tableaux amortissement proj (2'!Q395+1)^(1/_nebchan1t))-1,'Tableaux amortissement proj (2'!Q395/_nebchan1t),H403)</f>
        <v>8.3333333333333339E-4</v>
      </c>
      <c r="I404" s="28">
        <f>IF('Tableaux amortissement proj (2'!T395&gt;0,'Tableaux amortissement proj (2'!T395,IF('Tableaux amortissement proj (2'!S395&gt;0,IF(AND(_echfixe12,H404&gt;0),ROUND(('Tableaux amortissement proj (2'!AA395-'Tableaux amortissement proj (2'!R395)*H404/(1-((1+H404)^-'Tableaux amortissement proj (2'!S395)),_nbdeci1t1),ROUND('Tableaux amortissement proj (2'!AA395/'Tableaux amortissement proj (2'!S395,_nbdeci1t1)),I403))</f>
        <v>240200</v>
      </c>
      <c r="J404" s="10"/>
      <c r="K404" s="10"/>
      <c r="L404" s="10"/>
      <c r="M404" s="10"/>
      <c r="O404" s="186">
        <v>402</v>
      </c>
    </row>
    <row r="405" spans="1:15" x14ac:dyDescent="0.2">
      <c r="A405" s="29">
        <f>IF('Tableaux amortissement proj (2'!A396&gt;0,IF(_tauxactuariel1t,(('Tableaux amortissement proj (2'!A396+1)^(1/_nbechan1t))-1,'Tableaux amortissement proj (2'!A396/_nbechan1t),A404)</f>
        <v>1.5499999999999999E-3</v>
      </c>
      <c r="B405" s="28">
        <f>IF('Tableaux amortissement proj (2'!D396&gt;0,'Tableaux amortissement proj (2'!D396,IF('Tableaux amortissement proj (2'!C396&gt;0,IF(AND(_echfixe1t,A405&gt;0),ROUND(('Tableaux amortissement proj (2'!K396-'Tableaux amortissement proj (2'!B396)*A405/(1-((1+A405)^-'Tableaux amortissement proj (2'!C396)),_nbdeci1t),ROUND('Tableaux amortissement proj (2'!K396/'Tableaux amortissement proj (2'!C396,_nbdeci1t)),B404))</f>
        <v>606.91999999999996</v>
      </c>
      <c r="C405" s="10"/>
      <c r="D405" s="10"/>
      <c r="E405" s="10"/>
      <c r="F405" s="10"/>
      <c r="H405" s="29">
        <f>IF('Tableaux amortissement proj (2'!Q396&gt;0,IF(_tauxactuariel1t1,(('Tableaux amortissement proj (2'!Q396+1)^(1/_nebchan1t))-1,'Tableaux amortissement proj (2'!Q396/_nebchan1t),H404)</f>
        <v>8.3333333333333339E-4</v>
      </c>
      <c r="I405" s="28">
        <f>IF('Tableaux amortissement proj (2'!T396&gt;0,'Tableaux amortissement proj (2'!T396,IF('Tableaux amortissement proj (2'!S396&gt;0,IF(AND(_echfixe12,H405&gt;0),ROUND(('Tableaux amortissement proj (2'!AA396-'Tableaux amortissement proj (2'!R396)*H405/(1-((1+H405)^-'Tableaux amortissement proj (2'!S396)),_nbdeci1t1),ROUND('Tableaux amortissement proj (2'!AA396/'Tableaux amortissement proj (2'!S396,_nbdeci1t1)),I404))</f>
        <v>240200</v>
      </c>
      <c r="J405" s="10"/>
      <c r="K405" s="10"/>
      <c r="L405" s="10"/>
      <c r="M405" s="10"/>
      <c r="O405" s="186">
        <v>403</v>
      </c>
    </row>
    <row r="406" spans="1:15" x14ac:dyDescent="0.2">
      <c r="A406" s="29">
        <f>IF('Tableaux amortissement proj (2'!A397&gt;0,IF(_tauxactuariel1t,(('Tableaux amortissement proj (2'!A397+1)^(1/_nbechan1t))-1,'Tableaux amortissement proj (2'!A397/_nbechan1t),A405)</f>
        <v>1.5499999999999999E-3</v>
      </c>
      <c r="B406" s="28">
        <f>IF('Tableaux amortissement proj (2'!D397&gt;0,'Tableaux amortissement proj (2'!D397,IF('Tableaux amortissement proj (2'!C397&gt;0,IF(AND(_echfixe1t,A406&gt;0),ROUND(('Tableaux amortissement proj (2'!K397-'Tableaux amortissement proj (2'!B397)*A406/(1-((1+A406)^-'Tableaux amortissement proj (2'!C397)),_nbdeci1t),ROUND('Tableaux amortissement proj (2'!K397/'Tableaux amortissement proj (2'!C397,_nbdeci1t)),B405))</f>
        <v>606.91999999999996</v>
      </c>
      <c r="C406" s="10"/>
      <c r="D406" s="10"/>
      <c r="E406" s="10"/>
      <c r="F406" s="10"/>
      <c r="H406" s="29">
        <f>IF('Tableaux amortissement proj (2'!Q397&gt;0,IF(_tauxactuariel1t1,(('Tableaux amortissement proj (2'!Q397+1)^(1/_nebchan1t))-1,'Tableaux amortissement proj (2'!Q397/_nebchan1t),H405)</f>
        <v>8.3333333333333339E-4</v>
      </c>
      <c r="I406" s="28">
        <f>IF('Tableaux amortissement proj (2'!T397&gt;0,'Tableaux amortissement proj (2'!T397,IF('Tableaux amortissement proj (2'!S397&gt;0,IF(AND(_echfixe12,H406&gt;0),ROUND(('Tableaux amortissement proj (2'!AA397-'Tableaux amortissement proj (2'!R397)*H406/(1-((1+H406)^-'Tableaux amortissement proj (2'!S397)),_nbdeci1t1),ROUND('Tableaux amortissement proj (2'!AA397/'Tableaux amortissement proj (2'!S397,_nbdeci1t1)),I405))</f>
        <v>240200</v>
      </c>
      <c r="J406" s="10"/>
      <c r="K406" s="10"/>
      <c r="L406" s="10"/>
      <c r="M406" s="10"/>
      <c r="O406" s="186">
        <v>404</v>
      </c>
    </row>
    <row r="407" spans="1:15" x14ac:dyDescent="0.2">
      <c r="A407" s="29">
        <f>IF('Tableaux amortissement proj (2'!A398&gt;0,IF(_tauxactuariel1t,(('Tableaux amortissement proj (2'!A398+1)^(1/_nbechan1t))-1,'Tableaux amortissement proj (2'!A398/_nbechan1t),A406)</f>
        <v>1.5499999999999999E-3</v>
      </c>
      <c r="B407" s="28">
        <f>IF('Tableaux amortissement proj (2'!D398&gt;0,'Tableaux amortissement proj (2'!D398,IF('Tableaux amortissement proj (2'!C398&gt;0,IF(AND(_echfixe1t,A407&gt;0),ROUND(('Tableaux amortissement proj (2'!K398-'Tableaux amortissement proj (2'!B398)*A407/(1-((1+A407)^-'Tableaux amortissement proj (2'!C398)),_nbdeci1t),ROUND('Tableaux amortissement proj (2'!K398/'Tableaux amortissement proj (2'!C398,_nbdeci1t)),B406))</f>
        <v>606.91999999999996</v>
      </c>
      <c r="C407" s="10"/>
      <c r="D407" s="10"/>
      <c r="E407" s="10"/>
      <c r="F407" s="10"/>
      <c r="H407" s="29">
        <f>IF('Tableaux amortissement proj (2'!Q398&gt;0,IF(_tauxactuariel1t1,(('Tableaux amortissement proj (2'!Q398+1)^(1/_nebchan1t))-1,'Tableaux amortissement proj (2'!Q398/_nebchan1t),H406)</f>
        <v>8.3333333333333339E-4</v>
      </c>
      <c r="I407" s="28">
        <f>IF('Tableaux amortissement proj (2'!T398&gt;0,'Tableaux amortissement proj (2'!T398,IF('Tableaux amortissement proj (2'!S398&gt;0,IF(AND(_echfixe12,H407&gt;0),ROUND(('Tableaux amortissement proj (2'!AA398-'Tableaux amortissement proj (2'!R398)*H407/(1-((1+H407)^-'Tableaux amortissement proj (2'!S398)),_nbdeci1t1),ROUND('Tableaux amortissement proj (2'!AA398/'Tableaux amortissement proj (2'!S398,_nbdeci1t1)),I406))</f>
        <v>240200</v>
      </c>
      <c r="J407" s="10"/>
      <c r="K407" s="10"/>
      <c r="L407" s="10"/>
      <c r="M407" s="10"/>
      <c r="O407" s="186">
        <v>405</v>
      </c>
    </row>
    <row r="408" spans="1:15" x14ac:dyDescent="0.2">
      <c r="A408" s="29">
        <f>IF('Tableaux amortissement proj (2'!A399&gt;0,IF(_tauxactuariel1t,(('Tableaux amortissement proj (2'!A399+1)^(1/_nbechan1t))-1,'Tableaux amortissement proj (2'!A399/_nbechan1t),A407)</f>
        <v>1.5499999999999999E-3</v>
      </c>
      <c r="B408" s="28">
        <f>IF('Tableaux amortissement proj (2'!D399&gt;0,'Tableaux amortissement proj (2'!D399,IF('Tableaux amortissement proj (2'!C399&gt;0,IF(AND(_echfixe1t,A408&gt;0),ROUND(('Tableaux amortissement proj (2'!K399-'Tableaux amortissement proj (2'!B399)*A408/(1-((1+A408)^-'Tableaux amortissement proj (2'!C399)),_nbdeci1t),ROUND('Tableaux amortissement proj (2'!K399/'Tableaux amortissement proj (2'!C399,_nbdeci1t)),B407))</f>
        <v>606.91999999999996</v>
      </c>
      <c r="C408" s="10"/>
      <c r="D408" s="10"/>
      <c r="E408" s="10"/>
      <c r="F408" s="10"/>
      <c r="H408" s="29">
        <f>IF('Tableaux amortissement proj (2'!Q399&gt;0,IF(_tauxactuariel1t1,(('Tableaux amortissement proj (2'!Q399+1)^(1/_nebchan1t))-1,'Tableaux amortissement proj (2'!Q399/_nebchan1t),H407)</f>
        <v>8.3333333333333339E-4</v>
      </c>
      <c r="I408" s="28">
        <f>IF('Tableaux amortissement proj (2'!T399&gt;0,'Tableaux amortissement proj (2'!T399,IF('Tableaux amortissement proj (2'!S399&gt;0,IF(AND(_echfixe12,H408&gt;0),ROUND(('Tableaux amortissement proj (2'!AA399-'Tableaux amortissement proj (2'!R399)*H408/(1-((1+H408)^-'Tableaux amortissement proj (2'!S399)),_nbdeci1t1),ROUND('Tableaux amortissement proj (2'!AA399/'Tableaux amortissement proj (2'!S399,_nbdeci1t1)),I407))</f>
        <v>240200</v>
      </c>
      <c r="J408" s="10"/>
      <c r="K408" s="10"/>
      <c r="L408" s="10"/>
      <c r="M408" s="10"/>
      <c r="O408" s="186">
        <v>406</v>
      </c>
    </row>
    <row r="409" spans="1:15" x14ac:dyDescent="0.2">
      <c r="A409" s="29">
        <f>IF('Tableaux amortissement proj (2'!A400&gt;0,IF(_tauxactuariel1t,(('Tableaux amortissement proj (2'!A400+1)^(1/_nbechan1t))-1,'Tableaux amortissement proj (2'!A400/_nbechan1t),A408)</f>
        <v>1.5499999999999999E-3</v>
      </c>
      <c r="B409" s="28">
        <f>IF('Tableaux amortissement proj (2'!D400&gt;0,'Tableaux amortissement proj (2'!D400,IF('Tableaux amortissement proj (2'!C400&gt;0,IF(AND(_echfixe1t,A409&gt;0),ROUND(('Tableaux amortissement proj (2'!K400-'Tableaux amortissement proj (2'!B400)*A409/(1-((1+A409)^-'Tableaux amortissement proj (2'!C400)),_nbdeci1t),ROUND('Tableaux amortissement proj (2'!K400/'Tableaux amortissement proj (2'!C400,_nbdeci1t)),B408))</f>
        <v>606.91999999999996</v>
      </c>
      <c r="C409" s="10"/>
      <c r="D409" s="10"/>
      <c r="E409" s="10"/>
      <c r="F409" s="10"/>
      <c r="H409" s="29">
        <f>IF('Tableaux amortissement proj (2'!Q400&gt;0,IF(_tauxactuariel1t1,(('Tableaux amortissement proj (2'!Q400+1)^(1/_nebchan1t))-1,'Tableaux amortissement proj (2'!Q400/_nebchan1t),H408)</f>
        <v>8.3333333333333339E-4</v>
      </c>
      <c r="I409" s="28">
        <f>IF('Tableaux amortissement proj (2'!T400&gt;0,'Tableaux amortissement proj (2'!T400,IF('Tableaux amortissement proj (2'!S400&gt;0,IF(AND(_echfixe12,H409&gt;0),ROUND(('Tableaux amortissement proj (2'!AA400-'Tableaux amortissement proj (2'!R400)*H409/(1-((1+H409)^-'Tableaux amortissement proj (2'!S400)),_nbdeci1t1),ROUND('Tableaux amortissement proj (2'!AA400/'Tableaux amortissement proj (2'!S400,_nbdeci1t1)),I408))</f>
        <v>240200</v>
      </c>
      <c r="J409" s="10"/>
      <c r="K409" s="10"/>
      <c r="L409" s="10"/>
      <c r="M409" s="10"/>
      <c r="O409" s="186">
        <v>407</v>
      </c>
    </row>
    <row r="410" spans="1:15" x14ac:dyDescent="0.2">
      <c r="A410" s="29">
        <f>IF('Tableaux amortissement proj (2'!A401&gt;0,IF(_tauxactuariel1t,(('Tableaux amortissement proj (2'!A401+1)^(1/_nbechan1t))-1,'Tableaux amortissement proj (2'!A401/_nbechan1t),A409)</f>
        <v>1.5499999999999999E-3</v>
      </c>
      <c r="B410" s="28">
        <f>IF('Tableaux amortissement proj (2'!D401&gt;0,'Tableaux amortissement proj (2'!D401,IF('Tableaux amortissement proj (2'!C401&gt;0,IF(AND(_echfixe1t,A410&gt;0),ROUND(('Tableaux amortissement proj (2'!K401-'Tableaux amortissement proj (2'!B401)*A410/(1-((1+A410)^-'Tableaux amortissement proj (2'!C401)),_nbdeci1t),ROUND('Tableaux amortissement proj (2'!K401/'Tableaux amortissement proj (2'!C401,_nbdeci1t)),B409))</f>
        <v>606.91999999999996</v>
      </c>
      <c r="C410" s="10"/>
      <c r="D410" s="10"/>
      <c r="E410" s="10"/>
      <c r="F410" s="10"/>
      <c r="H410" s="29">
        <f>IF('Tableaux amortissement proj (2'!Q401&gt;0,IF(_tauxactuariel1t1,(('Tableaux amortissement proj (2'!Q401+1)^(1/_nebchan1t))-1,'Tableaux amortissement proj (2'!Q401/_nebchan1t),H409)</f>
        <v>8.3333333333333339E-4</v>
      </c>
      <c r="I410" s="28">
        <f>IF('Tableaux amortissement proj (2'!T401&gt;0,'Tableaux amortissement proj (2'!T401,IF('Tableaux amortissement proj (2'!S401&gt;0,IF(AND(_echfixe12,H410&gt;0),ROUND(('Tableaux amortissement proj (2'!AA401-'Tableaux amortissement proj (2'!R401)*H410/(1-((1+H410)^-'Tableaux amortissement proj (2'!S401)),_nbdeci1t1),ROUND('Tableaux amortissement proj (2'!AA401/'Tableaux amortissement proj (2'!S401,_nbdeci1t1)),I409))</f>
        <v>240200</v>
      </c>
      <c r="J410" s="10"/>
      <c r="K410" s="10"/>
      <c r="L410" s="10"/>
      <c r="M410" s="10"/>
      <c r="O410" s="186">
        <v>408</v>
      </c>
    </row>
    <row r="411" spans="1:15" x14ac:dyDescent="0.2">
      <c r="A411" s="29">
        <f>IF('Tableaux amortissement proj (2'!A402&gt;0,IF(_tauxactuariel1t,(('Tableaux amortissement proj (2'!A402+1)^(1/_nbechan1t))-1,'Tableaux amortissement proj (2'!A402/_nbechan1t),A410)</f>
        <v>1.5499999999999999E-3</v>
      </c>
      <c r="B411" s="28">
        <f>IF('Tableaux amortissement proj (2'!D402&gt;0,'Tableaux amortissement proj (2'!D402,IF('Tableaux amortissement proj (2'!C402&gt;0,IF(AND(_echfixe1t,A411&gt;0),ROUND(('Tableaux amortissement proj (2'!K402-'Tableaux amortissement proj (2'!B402)*A411/(1-((1+A411)^-'Tableaux amortissement proj (2'!C402)),_nbdeci1t),ROUND('Tableaux amortissement proj (2'!K402/'Tableaux amortissement proj (2'!C402,_nbdeci1t)),B410))</f>
        <v>606.91999999999996</v>
      </c>
      <c r="C411" s="10"/>
      <c r="D411" s="10"/>
      <c r="E411" s="10"/>
      <c r="F411" s="10"/>
      <c r="H411" s="29">
        <f>IF('Tableaux amortissement proj (2'!Q402&gt;0,IF(_tauxactuariel1t1,(('Tableaux amortissement proj (2'!Q402+1)^(1/_nebchan1t))-1,'Tableaux amortissement proj (2'!Q402/_nebchan1t),H410)</f>
        <v>8.3333333333333339E-4</v>
      </c>
      <c r="I411" s="28">
        <f>IF('Tableaux amortissement proj (2'!T402&gt;0,'Tableaux amortissement proj (2'!T402,IF('Tableaux amortissement proj (2'!S402&gt;0,IF(AND(_echfixe12,H411&gt;0),ROUND(('Tableaux amortissement proj (2'!AA402-'Tableaux amortissement proj (2'!R402)*H411/(1-((1+H411)^-'Tableaux amortissement proj (2'!S402)),_nbdeci1t1),ROUND('Tableaux amortissement proj (2'!AA402/'Tableaux amortissement proj (2'!S402,_nbdeci1t1)),I410))</f>
        <v>240200</v>
      </c>
      <c r="J411" s="10"/>
      <c r="K411" s="10"/>
      <c r="L411" s="10"/>
      <c r="M411" s="10"/>
      <c r="O411" s="186">
        <v>409</v>
      </c>
    </row>
    <row r="412" spans="1:15" x14ac:dyDescent="0.2">
      <c r="A412" s="29">
        <f>IF('Tableaux amortissement proj (2'!A403&gt;0,IF(_tauxactuariel1t,(('Tableaux amortissement proj (2'!A403+1)^(1/_nbechan1t))-1,'Tableaux amortissement proj (2'!A403/_nbechan1t),A411)</f>
        <v>1.5499999999999999E-3</v>
      </c>
      <c r="B412" s="28">
        <f>IF('Tableaux amortissement proj (2'!D403&gt;0,'Tableaux amortissement proj (2'!D403,IF('Tableaux amortissement proj (2'!C403&gt;0,IF(AND(_echfixe1t,A412&gt;0),ROUND(('Tableaux amortissement proj (2'!K403-'Tableaux amortissement proj (2'!B403)*A412/(1-((1+A412)^-'Tableaux amortissement proj (2'!C403)),_nbdeci1t),ROUND('Tableaux amortissement proj (2'!K403/'Tableaux amortissement proj (2'!C403,_nbdeci1t)),B411))</f>
        <v>606.91999999999996</v>
      </c>
      <c r="C412" s="10"/>
      <c r="D412" s="10"/>
      <c r="E412" s="10"/>
      <c r="F412" s="10"/>
      <c r="H412" s="29">
        <f>IF('Tableaux amortissement proj (2'!Q403&gt;0,IF(_tauxactuariel1t1,(('Tableaux amortissement proj (2'!Q403+1)^(1/_nebchan1t))-1,'Tableaux amortissement proj (2'!Q403/_nebchan1t),H411)</f>
        <v>8.3333333333333339E-4</v>
      </c>
      <c r="I412" s="28">
        <f>IF('Tableaux amortissement proj (2'!T403&gt;0,'Tableaux amortissement proj (2'!T403,IF('Tableaux amortissement proj (2'!S403&gt;0,IF(AND(_echfixe12,H412&gt;0),ROUND(('Tableaux amortissement proj (2'!AA403-'Tableaux amortissement proj (2'!R403)*H412/(1-((1+H412)^-'Tableaux amortissement proj (2'!S403)),_nbdeci1t1),ROUND('Tableaux amortissement proj (2'!AA403/'Tableaux amortissement proj (2'!S403,_nbdeci1t1)),I411))</f>
        <v>240200</v>
      </c>
      <c r="J412" s="10"/>
      <c r="K412" s="10"/>
      <c r="L412" s="10"/>
      <c r="M412" s="10"/>
      <c r="O412" s="186">
        <v>410</v>
      </c>
    </row>
    <row r="413" spans="1:15" x14ac:dyDescent="0.2">
      <c r="A413" s="29">
        <f>IF('Tableaux amortissement proj (2'!A404&gt;0,IF(_tauxactuariel1t,(('Tableaux amortissement proj (2'!A404+1)^(1/_nbechan1t))-1,'Tableaux amortissement proj (2'!A404/_nbechan1t),A412)</f>
        <v>1.5499999999999999E-3</v>
      </c>
      <c r="B413" s="28">
        <f>IF('Tableaux amortissement proj (2'!D404&gt;0,'Tableaux amortissement proj (2'!D404,IF('Tableaux amortissement proj (2'!C404&gt;0,IF(AND(_echfixe1t,A413&gt;0),ROUND(('Tableaux amortissement proj (2'!K404-'Tableaux amortissement proj (2'!B404)*A413/(1-((1+A413)^-'Tableaux amortissement proj (2'!C404)),_nbdeci1t),ROUND('Tableaux amortissement proj (2'!K404/'Tableaux amortissement proj (2'!C404,_nbdeci1t)),B412))</f>
        <v>606.91999999999996</v>
      </c>
      <c r="C413" s="10"/>
      <c r="D413" s="10"/>
      <c r="E413" s="10"/>
      <c r="F413" s="10"/>
      <c r="H413" s="29">
        <f>IF('Tableaux amortissement proj (2'!Q404&gt;0,IF(_tauxactuariel1t1,(('Tableaux amortissement proj (2'!Q404+1)^(1/_nebchan1t))-1,'Tableaux amortissement proj (2'!Q404/_nebchan1t),H412)</f>
        <v>8.3333333333333339E-4</v>
      </c>
      <c r="I413" s="28">
        <f>IF('Tableaux amortissement proj (2'!T404&gt;0,'Tableaux amortissement proj (2'!T404,IF('Tableaux amortissement proj (2'!S404&gt;0,IF(AND(_echfixe12,H413&gt;0),ROUND(('Tableaux amortissement proj (2'!AA404-'Tableaux amortissement proj (2'!R404)*H413/(1-((1+H413)^-'Tableaux amortissement proj (2'!S404)),_nbdeci1t1),ROUND('Tableaux amortissement proj (2'!AA404/'Tableaux amortissement proj (2'!S404,_nbdeci1t1)),I412))</f>
        <v>240200</v>
      </c>
      <c r="J413" s="10"/>
      <c r="K413" s="10"/>
      <c r="L413" s="10"/>
      <c r="M413" s="10"/>
      <c r="O413" s="186">
        <v>411</v>
      </c>
    </row>
    <row r="414" spans="1:15" x14ac:dyDescent="0.2">
      <c r="A414" s="29">
        <f>IF('Tableaux amortissement proj (2'!A405&gt;0,IF(_tauxactuariel1t,(('Tableaux amortissement proj (2'!A405+1)^(1/_nbechan1t))-1,'Tableaux amortissement proj (2'!A405/_nbechan1t),A413)</f>
        <v>1.5499999999999999E-3</v>
      </c>
      <c r="B414" s="28">
        <f>IF('Tableaux amortissement proj (2'!D405&gt;0,'Tableaux amortissement proj (2'!D405,IF('Tableaux amortissement proj (2'!C405&gt;0,IF(AND(_echfixe1t,A414&gt;0),ROUND(('Tableaux amortissement proj (2'!K405-'Tableaux amortissement proj (2'!B405)*A414/(1-((1+A414)^-'Tableaux amortissement proj (2'!C405)),_nbdeci1t),ROUND('Tableaux amortissement proj (2'!K405/'Tableaux amortissement proj (2'!C405,_nbdeci1t)),B413))</f>
        <v>606.91999999999996</v>
      </c>
      <c r="C414" s="10"/>
      <c r="D414" s="10"/>
      <c r="E414" s="10"/>
      <c r="F414" s="10"/>
      <c r="H414" s="29">
        <f>IF('Tableaux amortissement proj (2'!Q405&gt;0,IF(_tauxactuariel1t1,(('Tableaux amortissement proj (2'!Q405+1)^(1/_nebchan1t))-1,'Tableaux amortissement proj (2'!Q405/_nebchan1t),H413)</f>
        <v>8.3333333333333339E-4</v>
      </c>
      <c r="I414" s="28">
        <f>IF('Tableaux amortissement proj (2'!T405&gt;0,'Tableaux amortissement proj (2'!T405,IF('Tableaux amortissement proj (2'!S405&gt;0,IF(AND(_echfixe12,H414&gt;0),ROUND(('Tableaux amortissement proj (2'!AA405-'Tableaux amortissement proj (2'!R405)*H414/(1-((1+H414)^-'Tableaux amortissement proj (2'!S405)),_nbdeci1t1),ROUND('Tableaux amortissement proj (2'!AA405/'Tableaux amortissement proj (2'!S405,_nbdeci1t1)),I413))</f>
        <v>240200</v>
      </c>
      <c r="J414" s="10"/>
      <c r="K414" s="10"/>
      <c r="L414" s="10"/>
      <c r="M414" s="10"/>
      <c r="O414" s="186">
        <v>412</v>
      </c>
    </row>
    <row r="415" spans="1:15" x14ac:dyDescent="0.2">
      <c r="A415" s="29">
        <f>IF('Tableaux amortissement proj (2'!A406&gt;0,IF(_tauxactuariel1t,(('Tableaux amortissement proj (2'!A406+1)^(1/_nbechan1t))-1,'Tableaux amortissement proj (2'!A406/_nbechan1t),A414)</f>
        <v>1.5499999999999999E-3</v>
      </c>
      <c r="B415" s="28">
        <f>IF('Tableaux amortissement proj (2'!D406&gt;0,'Tableaux amortissement proj (2'!D406,IF('Tableaux amortissement proj (2'!C406&gt;0,IF(AND(_echfixe1t,A415&gt;0),ROUND(('Tableaux amortissement proj (2'!K406-'Tableaux amortissement proj (2'!B406)*A415/(1-((1+A415)^-'Tableaux amortissement proj (2'!C406)),_nbdeci1t),ROUND('Tableaux amortissement proj (2'!K406/'Tableaux amortissement proj (2'!C406,_nbdeci1t)),B414))</f>
        <v>606.91999999999996</v>
      </c>
      <c r="C415" s="10"/>
      <c r="D415" s="10"/>
      <c r="E415" s="10"/>
      <c r="F415" s="10"/>
      <c r="H415" s="29">
        <f>IF('Tableaux amortissement proj (2'!Q406&gt;0,IF(_tauxactuariel1t1,(('Tableaux amortissement proj (2'!Q406+1)^(1/_nebchan1t))-1,'Tableaux amortissement proj (2'!Q406/_nebchan1t),H414)</f>
        <v>8.3333333333333339E-4</v>
      </c>
      <c r="I415" s="28">
        <f>IF('Tableaux amortissement proj (2'!T406&gt;0,'Tableaux amortissement proj (2'!T406,IF('Tableaux amortissement proj (2'!S406&gt;0,IF(AND(_echfixe12,H415&gt;0),ROUND(('Tableaux amortissement proj (2'!AA406-'Tableaux amortissement proj (2'!R406)*H415/(1-((1+H415)^-'Tableaux amortissement proj (2'!S406)),_nbdeci1t1),ROUND('Tableaux amortissement proj (2'!AA406/'Tableaux amortissement proj (2'!S406,_nbdeci1t1)),I414))</f>
        <v>240200</v>
      </c>
      <c r="J415" s="10"/>
      <c r="K415" s="10"/>
      <c r="L415" s="10"/>
      <c r="M415" s="10"/>
      <c r="O415" s="186">
        <v>413</v>
      </c>
    </row>
    <row r="416" spans="1:15" x14ac:dyDescent="0.2">
      <c r="A416" s="29">
        <f>IF('Tableaux amortissement proj (2'!A407&gt;0,IF(_tauxactuariel1t,(('Tableaux amortissement proj (2'!A407+1)^(1/_nbechan1t))-1,'Tableaux amortissement proj (2'!A407/_nbechan1t),A415)</f>
        <v>1.5499999999999999E-3</v>
      </c>
      <c r="B416" s="28">
        <f>IF('Tableaux amortissement proj (2'!D407&gt;0,'Tableaux amortissement proj (2'!D407,IF('Tableaux amortissement proj (2'!C407&gt;0,IF(AND(_echfixe1t,A416&gt;0),ROUND(('Tableaux amortissement proj (2'!K407-'Tableaux amortissement proj (2'!B407)*A416/(1-((1+A416)^-'Tableaux amortissement proj (2'!C407)),_nbdeci1t),ROUND('Tableaux amortissement proj (2'!K407/'Tableaux amortissement proj (2'!C407,_nbdeci1t)),B415))</f>
        <v>606.91999999999996</v>
      </c>
      <c r="C416" s="10"/>
      <c r="D416" s="10"/>
      <c r="E416" s="10"/>
      <c r="F416" s="10"/>
      <c r="H416" s="29">
        <f>IF('Tableaux amortissement proj (2'!Q407&gt;0,IF(_tauxactuariel1t1,(('Tableaux amortissement proj (2'!Q407+1)^(1/_nebchan1t))-1,'Tableaux amortissement proj (2'!Q407/_nebchan1t),H415)</f>
        <v>8.3333333333333339E-4</v>
      </c>
      <c r="I416" s="28">
        <f>IF('Tableaux amortissement proj (2'!T407&gt;0,'Tableaux amortissement proj (2'!T407,IF('Tableaux amortissement proj (2'!S407&gt;0,IF(AND(_echfixe12,H416&gt;0),ROUND(('Tableaux amortissement proj (2'!AA407-'Tableaux amortissement proj (2'!R407)*H416/(1-((1+H416)^-'Tableaux amortissement proj (2'!S407)),_nbdeci1t1),ROUND('Tableaux amortissement proj (2'!AA407/'Tableaux amortissement proj (2'!S407,_nbdeci1t1)),I415))</f>
        <v>240200</v>
      </c>
      <c r="J416" s="10"/>
      <c r="K416" s="10"/>
      <c r="L416" s="10"/>
      <c r="M416" s="10"/>
      <c r="O416" s="186">
        <v>414</v>
      </c>
    </row>
    <row r="417" spans="1:15" x14ac:dyDescent="0.2">
      <c r="A417" s="29">
        <f>IF('Tableaux amortissement proj (2'!A408&gt;0,IF(_tauxactuariel1t,(('Tableaux amortissement proj (2'!A408+1)^(1/_nbechan1t))-1,'Tableaux amortissement proj (2'!A408/_nbechan1t),A416)</f>
        <v>1.5499999999999999E-3</v>
      </c>
      <c r="B417" s="28">
        <f>IF('Tableaux amortissement proj (2'!D408&gt;0,'Tableaux amortissement proj (2'!D408,IF('Tableaux amortissement proj (2'!C408&gt;0,IF(AND(_echfixe1t,A417&gt;0),ROUND(('Tableaux amortissement proj (2'!K408-'Tableaux amortissement proj (2'!B408)*A417/(1-((1+A417)^-'Tableaux amortissement proj (2'!C408)),_nbdeci1t),ROUND('Tableaux amortissement proj (2'!K408/'Tableaux amortissement proj (2'!C408,_nbdeci1t)),B416))</f>
        <v>606.91999999999996</v>
      </c>
      <c r="C417" s="10"/>
      <c r="D417" s="10"/>
      <c r="E417" s="10"/>
      <c r="F417" s="10"/>
      <c r="H417" s="29">
        <f>IF('Tableaux amortissement proj (2'!Q408&gt;0,IF(_tauxactuariel1t1,(('Tableaux amortissement proj (2'!Q408+1)^(1/_nebchan1t))-1,'Tableaux amortissement proj (2'!Q408/_nebchan1t),H416)</f>
        <v>8.3333333333333339E-4</v>
      </c>
      <c r="I417" s="28">
        <f>IF('Tableaux amortissement proj (2'!T408&gt;0,'Tableaux amortissement proj (2'!T408,IF('Tableaux amortissement proj (2'!S408&gt;0,IF(AND(_echfixe12,H417&gt;0),ROUND(('Tableaux amortissement proj (2'!AA408-'Tableaux amortissement proj (2'!R408)*H417/(1-((1+H417)^-'Tableaux amortissement proj (2'!S408)),_nbdeci1t1),ROUND('Tableaux amortissement proj (2'!AA408/'Tableaux amortissement proj (2'!S408,_nbdeci1t1)),I416))</f>
        <v>240200</v>
      </c>
      <c r="J417" s="10"/>
      <c r="K417" s="10"/>
      <c r="L417" s="10"/>
      <c r="M417" s="10"/>
      <c r="O417" s="186">
        <v>415</v>
      </c>
    </row>
    <row r="418" spans="1:15" x14ac:dyDescent="0.2">
      <c r="A418" s="29">
        <f>IF('Tableaux amortissement proj (2'!A409&gt;0,IF(_tauxactuariel1t,(('Tableaux amortissement proj (2'!A409+1)^(1/_nbechan1t))-1,'Tableaux amortissement proj (2'!A409/_nbechan1t),A417)</f>
        <v>1.5499999999999999E-3</v>
      </c>
      <c r="B418" s="28">
        <f>IF('Tableaux amortissement proj (2'!D409&gt;0,'Tableaux amortissement proj (2'!D409,IF('Tableaux amortissement proj (2'!C409&gt;0,IF(AND(_echfixe1t,A418&gt;0),ROUND(('Tableaux amortissement proj (2'!K409-'Tableaux amortissement proj (2'!B409)*A418/(1-((1+A418)^-'Tableaux amortissement proj (2'!C409)),_nbdeci1t),ROUND('Tableaux amortissement proj (2'!K409/'Tableaux amortissement proj (2'!C409,_nbdeci1t)),B417))</f>
        <v>606.91999999999996</v>
      </c>
      <c r="C418" s="10"/>
      <c r="D418" s="10"/>
      <c r="E418" s="10"/>
      <c r="F418" s="10"/>
      <c r="H418" s="29">
        <f>IF('Tableaux amortissement proj (2'!Q409&gt;0,IF(_tauxactuariel1t1,(('Tableaux amortissement proj (2'!Q409+1)^(1/_nebchan1t))-1,'Tableaux amortissement proj (2'!Q409/_nebchan1t),H417)</f>
        <v>8.3333333333333339E-4</v>
      </c>
      <c r="I418" s="28">
        <f>IF('Tableaux amortissement proj (2'!T409&gt;0,'Tableaux amortissement proj (2'!T409,IF('Tableaux amortissement proj (2'!S409&gt;0,IF(AND(_echfixe12,H418&gt;0),ROUND(('Tableaux amortissement proj (2'!AA409-'Tableaux amortissement proj (2'!R409)*H418/(1-((1+H418)^-'Tableaux amortissement proj (2'!S409)),_nbdeci1t1),ROUND('Tableaux amortissement proj (2'!AA409/'Tableaux amortissement proj (2'!S409,_nbdeci1t1)),I417))</f>
        <v>240200</v>
      </c>
      <c r="J418" s="10"/>
      <c r="K418" s="10"/>
      <c r="L418" s="10"/>
      <c r="M418" s="10"/>
      <c r="O418" s="186">
        <v>416</v>
      </c>
    </row>
    <row r="419" spans="1:15" x14ac:dyDescent="0.2">
      <c r="A419" s="29">
        <f>IF('Tableaux amortissement proj (2'!A410&gt;0,IF(_tauxactuariel1t,(('Tableaux amortissement proj (2'!A410+1)^(1/_nbechan1t))-1,'Tableaux amortissement proj (2'!A410/_nbechan1t),A418)</f>
        <v>1.5499999999999999E-3</v>
      </c>
      <c r="B419" s="28">
        <f>IF('Tableaux amortissement proj (2'!D410&gt;0,'Tableaux amortissement proj (2'!D410,IF('Tableaux amortissement proj (2'!C410&gt;0,IF(AND(_echfixe1t,A419&gt;0),ROUND(('Tableaux amortissement proj (2'!K410-'Tableaux amortissement proj (2'!B410)*A419/(1-((1+A419)^-'Tableaux amortissement proj (2'!C410)),_nbdeci1t),ROUND('Tableaux amortissement proj (2'!K410/'Tableaux amortissement proj (2'!C410,_nbdeci1t)),B418))</f>
        <v>606.91999999999996</v>
      </c>
      <c r="C419" s="10"/>
      <c r="D419" s="10"/>
      <c r="E419" s="10"/>
      <c r="F419" s="10"/>
      <c r="H419" s="29">
        <f>IF('Tableaux amortissement proj (2'!Q410&gt;0,IF(_tauxactuariel1t1,(('Tableaux amortissement proj (2'!Q410+1)^(1/_nebchan1t))-1,'Tableaux amortissement proj (2'!Q410/_nebchan1t),H418)</f>
        <v>8.3333333333333339E-4</v>
      </c>
      <c r="I419" s="28">
        <f>IF('Tableaux amortissement proj (2'!T410&gt;0,'Tableaux amortissement proj (2'!T410,IF('Tableaux amortissement proj (2'!S410&gt;0,IF(AND(_echfixe12,H419&gt;0),ROUND(('Tableaux amortissement proj (2'!AA410-'Tableaux amortissement proj (2'!R410)*H419/(1-((1+H419)^-'Tableaux amortissement proj (2'!S410)),_nbdeci1t1),ROUND('Tableaux amortissement proj (2'!AA410/'Tableaux amortissement proj (2'!S410,_nbdeci1t1)),I418))</f>
        <v>240200</v>
      </c>
      <c r="J419" s="10"/>
      <c r="K419" s="10"/>
      <c r="L419" s="10"/>
      <c r="M419" s="10"/>
      <c r="O419" s="186">
        <v>417</v>
      </c>
    </row>
    <row r="420" spans="1:15" x14ac:dyDescent="0.2">
      <c r="A420" s="29">
        <f>IF('Tableaux amortissement proj (2'!A411&gt;0,IF(_tauxactuariel1t,(('Tableaux amortissement proj (2'!A411+1)^(1/_nbechan1t))-1,'Tableaux amortissement proj (2'!A411/_nbechan1t),A419)</f>
        <v>1.5499999999999999E-3</v>
      </c>
      <c r="B420" s="28">
        <f>IF('Tableaux amortissement proj (2'!D411&gt;0,'Tableaux amortissement proj (2'!D411,IF('Tableaux amortissement proj (2'!C411&gt;0,IF(AND(_echfixe1t,A420&gt;0),ROUND(('Tableaux amortissement proj (2'!K411-'Tableaux amortissement proj (2'!B411)*A420/(1-((1+A420)^-'Tableaux amortissement proj (2'!C411)),_nbdeci1t),ROUND('Tableaux amortissement proj (2'!K411/'Tableaux amortissement proj (2'!C411,_nbdeci1t)),B419))</f>
        <v>606.91999999999996</v>
      </c>
      <c r="C420" s="10"/>
      <c r="D420" s="10"/>
      <c r="E420" s="10"/>
      <c r="F420" s="10"/>
      <c r="H420" s="29">
        <f>IF('Tableaux amortissement proj (2'!Q411&gt;0,IF(_tauxactuariel1t1,(('Tableaux amortissement proj (2'!Q411+1)^(1/_nebchan1t))-1,'Tableaux amortissement proj (2'!Q411/_nebchan1t),H419)</f>
        <v>8.3333333333333339E-4</v>
      </c>
      <c r="I420" s="28">
        <f>IF('Tableaux amortissement proj (2'!T411&gt;0,'Tableaux amortissement proj (2'!T411,IF('Tableaux amortissement proj (2'!S411&gt;0,IF(AND(_echfixe12,H420&gt;0),ROUND(('Tableaux amortissement proj (2'!AA411-'Tableaux amortissement proj (2'!R411)*H420/(1-((1+H420)^-'Tableaux amortissement proj (2'!S411)),_nbdeci1t1),ROUND('Tableaux amortissement proj (2'!AA411/'Tableaux amortissement proj (2'!S411,_nbdeci1t1)),I419))</f>
        <v>240200</v>
      </c>
      <c r="J420" s="10"/>
      <c r="K420" s="10"/>
      <c r="L420" s="10"/>
      <c r="M420" s="10"/>
      <c r="O420" s="186">
        <v>418</v>
      </c>
    </row>
    <row r="421" spans="1:15" x14ac:dyDescent="0.2">
      <c r="A421" s="29">
        <f>IF('Tableaux amortissement proj (2'!A412&gt;0,IF(_tauxactuariel1t,(('Tableaux amortissement proj (2'!A412+1)^(1/_nbechan1t))-1,'Tableaux amortissement proj (2'!A412/_nbechan1t),A420)</f>
        <v>1.5499999999999999E-3</v>
      </c>
      <c r="B421" s="28">
        <f>IF('Tableaux amortissement proj (2'!D412&gt;0,'Tableaux amortissement proj (2'!D412,IF('Tableaux amortissement proj (2'!C412&gt;0,IF(AND(_echfixe1t,A421&gt;0),ROUND(('Tableaux amortissement proj (2'!K412-'Tableaux amortissement proj (2'!B412)*A421/(1-((1+A421)^-'Tableaux amortissement proj (2'!C412)),_nbdeci1t),ROUND('Tableaux amortissement proj (2'!K412/'Tableaux amortissement proj (2'!C412,_nbdeci1t)),B420))</f>
        <v>606.91999999999996</v>
      </c>
      <c r="C421" s="10"/>
      <c r="D421" s="10"/>
      <c r="E421" s="10"/>
      <c r="F421" s="10"/>
      <c r="H421" s="29">
        <f>IF('Tableaux amortissement proj (2'!Q412&gt;0,IF(_tauxactuariel1t1,(('Tableaux amortissement proj (2'!Q412+1)^(1/_nebchan1t))-1,'Tableaux amortissement proj (2'!Q412/_nebchan1t),H420)</f>
        <v>8.3333333333333339E-4</v>
      </c>
      <c r="I421" s="28">
        <f>IF('Tableaux amortissement proj (2'!T412&gt;0,'Tableaux amortissement proj (2'!T412,IF('Tableaux amortissement proj (2'!S412&gt;0,IF(AND(_echfixe12,H421&gt;0),ROUND(('Tableaux amortissement proj (2'!AA412-'Tableaux amortissement proj (2'!R412)*H421/(1-((1+H421)^-'Tableaux amortissement proj (2'!S412)),_nbdeci1t1),ROUND('Tableaux amortissement proj (2'!AA412/'Tableaux amortissement proj (2'!S412,_nbdeci1t1)),I420))</f>
        <v>240200</v>
      </c>
      <c r="J421" s="10"/>
      <c r="K421" s="10"/>
      <c r="L421" s="10"/>
      <c r="M421" s="10"/>
      <c r="O421" s="186">
        <v>419</v>
      </c>
    </row>
    <row r="422" spans="1:15" x14ac:dyDescent="0.2">
      <c r="A422" s="29">
        <f>IF('Tableaux amortissement proj (2'!A413&gt;0,IF(_tauxactuariel1t,(('Tableaux amortissement proj (2'!A413+1)^(1/_nbechan1t))-1,'Tableaux amortissement proj (2'!A413/_nbechan1t),A421)</f>
        <v>1.5499999999999999E-3</v>
      </c>
      <c r="B422" s="28">
        <f>IF('Tableaux amortissement proj (2'!D413&gt;0,'Tableaux amortissement proj (2'!D413,IF('Tableaux amortissement proj (2'!C413&gt;0,IF(AND(_echfixe1t,A422&gt;0),ROUND(('Tableaux amortissement proj (2'!K413-'Tableaux amortissement proj (2'!B413)*A422/(1-((1+A422)^-'Tableaux amortissement proj (2'!C413)),_nbdeci1t),ROUND('Tableaux amortissement proj (2'!K413/'Tableaux amortissement proj (2'!C413,_nbdeci1t)),B421))</f>
        <v>606.91999999999996</v>
      </c>
      <c r="C422" s="10"/>
      <c r="D422" s="10"/>
      <c r="E422" s="10"/>
      <c r="F422" s="10"/>
      <c r="H422" s="29">
        <f>IF('Tableaux amortissement proj (2'!Q413&gt;0,IF(_tauxactuariel1t1,(('Tableaux amortissement proj (2'!Q413+1)^(1/_nebchan1t))-1,'Tableaux amortissement proj (2'!Q413/_nebchan1t),H421)</f>
        <v>8.3333333333333339E-4</v>
      </c>
      <c r="I422" s="28">
        <f>IF('Tableaux amortissement proj (2'!T413&gt;0,'Tableaux amortissement proj (2'!T413,IF('Tableaux amortissement proj (2'!S413&gt;0,IF(AND(_echfixe12,H422&gt;0),ROUND(('Tableaux amortissement proj (2'!AA413-'Tableaux amortissement proj (2'!R413)*H422/(1-((1+H422)^-'Tableaux amortissement proj (2'!S413)),_nbdeci1t1),ROUND('Tableaux amortissement proj (2'!AA413/'Tableaux amortissement proj (2'!S413,_nbdeci1t1)),I421))</f>
        <v>240200</v>
      </c>
      <c r="J422" s="10"/>
      <c r="K422" s="10"/>
      <c r="L422" s="10"/>
      <c r="M422" s="10"/>
      <c r="O422" s="186">
        <v>420</v>
      </c>
    </row>
    <row r="423" spans="1:15" x14ac:dyDescent="0.2">
      <c r="A423" s="29">
        <f>IF('Tableaux amortissement proj (2'!A414&gt;0,IF(_tauxactuariel1t,(('Tableaux amortissement proj (2'!A414+1)^(1/_nbechan1t))-1,'Tableaux amortissement proj (2'!A414/_nbechan1t),A422)</f>
        <v>1.5499999999999999E-3</v>
      </c>
      <c r="B423" s="28">
        <f>IF('Tableaux amortissement proj (2'!D414&gt;0,'Tableaux amortissement proj (2'!D414,IF('Tableaux amortissement proj (2'!C414&gt;0,IF(AND(_echfixe1t,A423&gt;0),ROUND(('Tableaux amortissement proj (2'!K414-'Tableaux amortissement proj (2'!B414)*A423/(1-((1+A423)^-'Tableaux amortissement proj (2'!C414)),_nbdeci1t),ROUND('Tableaux amortissement proj (2'!K414/'Tableaux amortissement proj (2'!C414,_nbdeci1t)),B422))</f>
        <v>606.91999999999996</v>
      </c>
      <c r="C423" s="10"/>
      <c r="D423" s="10"/>
      <c r="E423" s="10"/>
      <c r="F423" s="10"/>
      <c r="H423" s="29">
        <f>IF('Tableaux amortissement proj (2'!Q414&gt;0,IF(_tauxactuariel1t1,(('Tableaux amortissement proj (2'!Q414+1)^(1/_nebchan1t))-1,'Tableaux amortissement proj (2'!Q414/_nebchan1t),H422)</f>
        <v>8.3333333333333339E-4</v>
      </c>
      <c r="I423" s="28">
        <f>IF('Tableaux amortissement proj (2'!T414&gt;0,'Tableaux amortissement proj (2'!T414,IF('Tableaux amortissement proj (2'!S414&gt;0,IF(AND(_echfixe12,H423&gt;0),ROUND(('Tableaux amortissement proj (2'!AA414-'Tableaux amortissement proj (2'!R414)*H423/(1-((1+H423)^-'Tableaux amortissement proj (2'!S414)),_nbdeci1t1),ROUND('Tableaux amortissement proj (2'!AA414/'Tableaux amortissement proj (2'!S414,_nbdeci1t1)),I422))</f>
        <v>240200</v>
      </c>
      <c r="J423" s="10"/>
      <c r="K423" s="10"/>
      <c r="L423" s="10"/>
      <c r="M423" s="10"/>
      <c r="O423" s="186">
        <v>421</v>
      </c>
    </row>
    <row r="424" spans="1:15" x14ac:dyDescent="0.2">
      <c r="A424" s="29">
        <f>IF('Tableaux amortissement proj (2'!A415&gt;0,IF(_tauxactuariel1t,(('Tableaux amortissement proj (2'!A415+1)^(1/_nbechan1t))-1,'Tableaux amortissement proj (2'!A415/_nbechan1t),A423)</f>
        <v>1.5499999999999999E-3</v>
      </c>
      <c r="B424" s="28">
        <f>IF('Tableaux amortissement proj (2'!D415&gt;0,'Tableaux amortissement proj (2'!D415,IF('Tableaux amortissement proj (2'!C415&gt;0,IF(AND(_echfixe1t,A424&gt;0),ROUND(('Tableaux amortissement proj (2'!K415-'Tableaux amortissement proj (2'!B415)*A424/(1-((1+A424)^-'Tableaux amortissement proj (2'!C415)),_nbdeci1t),ROUND('Tableaux amortissement proj (2'!K415/'Tableaux amortissement proj (2'!C415,_nbdeci1t)),B423))</f>
        <v>606.91999999999996</v>
      </c>
      <c r="C424" s="10"/>
      <c r="D424" s="10"/>
      <c r="E424" s="10"/>
      <c r="F424" s="10"/>
      <c r="H424" s="29">
        <f>IF('Tableaux amortissement proj (2'!Q415&gt;0,IF(_tauxactuariel1t1,(('Tableaux amortissement proj (2'!Q415+1)^(1/_nebchan1t))-1,'Tableaux amortissement proj (2'!Q415/_nebchan1t),H423)</f>
        <v>8.3333333333333339E-4</v>
      </c>
      <c r="I424" s="28">
        <f>IF('Tableaux amortissement proj (2'!T415&gt;0,'Tableaux amortissement proj (2'!T415,IF('Tableaux amortissement proj (2'!S415&gt;0,IF(AND(_echfixe12,H424&gt;0),ROUND(('Tableaux amortissement proj (2'!AA415-'Tableaux amortissement proj (2'!R415)*H424/(1-((1+H424)^-'Tableaux amortissement proj (2'!S415)),_nbdeci1t1),ROUND('Tableaux amortissement proj (2'!AA415/'Tableaux amortissement proj (2'!S415,_nbdeci1t1)),I423))</f>
        <v>240200</v>
      </c>
      <c r="J424" s="10"/>
      <c r="K424" s="10"/>
      <c r="L424" s="10"/>
      <c r="M424" s="10"/>
      <c r="O424" s="186">
        <v>422</v>
      </c>
    </row>
    <row r="425" spans="1:15" x14ac:dyDescent="0.2">
      <c r="A425" s="29">
        <f>IF('Tableaux amortissement proj (2'!A416&gt;0,IF(_tauxactuariel1t,(('Tableaux amortissement proj (2'!A416+1)^(1/_nbechan1t))-1,'Tableaux amortissement proj (2'!A416/_nbechan1t),A424)</f>
        <v>1.5499999999999999E-3</v>
      </c>
      <c r="B425" s="28">
        <f>IF('Tableaux amortissement proj (2'!D416&gt;0,'Tableaux amortissement proj (2'!D416,IF('Tableaux amortissement proj (2'!C416&gt;0,IF(AND(_echfixe1t,A425&gt;0),ROUND(('Tableaux amortissement proj (2'!K416-'Tableaux amortissement proj (2'!B416)*A425/(1-((1+A425)^-'Tableaux amortissement proj (2'!C416)),_nbdeci1t),ROUND('Tableaux amortissement proj (2'!K416/'Tableaux amortissement proj (2'!C416,_nbdeci1t)),B424))</f>
        <v>606.91999999999996</v>
      </c>
      <c r="C425" s="10"/>
      <c r="D425" s="10"/>
      <c r="E425" s="10"/>
      <c r="F425" s="10"/>
      <c r="H425" s="29">
        <f>IF('Tableaux amortissement proj (2'!Q416&gt;0,IF(_tauxactuariel1t1,(('Tableaux amortissement proj (2'!Q416+1)^(1/_nebchan1t))-1,'Tableaux amortissement proj (2'!Q416/_nebchan1t),H424)</f>
        <v>8.3333333333333339E-4</v>
      </c>
      <c r="I425" s="28">
        <f>IF('Tableaux amortissement proj (2'!T416&gt;0,'Tableaux amortissement proj (2'!T416,IF('Tableaux amortissement proj (2'!S416&gt;0,IF(AND(_echfixe12,H425&gt;0),ROUND(('Tableaux amortissement proj (2'!AA416-'Tableaux amortissement proj (2'!R416)*H425/(1-((1+H425)^-'Tableaux amortissement proj (2'!S416)),_nbdeci1t1),ROUND('Tableaux amortissement proj (2'!AA416/'Tableaux amortissement proj (2'!S416,_nbdeci1t1)),I424))</f>
        <v>240200</v>
      </c>
      <c r="J425" s="10"/>
      <c r="K425" s="10"/>
      <c r="L425" s="10"/>
      <c r="M425" s="10"/>
      <c r="O425" s="186">
        <v>423</v>
      </c>
    </row>
    <row r="426" spans="1:15" x14ac:dyDescent="0.2">
      <c r="A426" s="29">
        <f>IF('Tableaux amortissement proj (2'!A417&gt;0,IF(_tauxactuariel1t,(('Tableaux amortissement proj (2'!A417+1)^(1/_nbechan1t))-1,'Tableaux amortissement proj (2'!A417/_nbechan1t),A425)</f>
        <v>1.5499999999999999E-3</v>
      </c>
      <c r="B426" s="28">
        <f>IF('Tableaux amortissement proj (2'!D417&gt;0,'Tableaux amortissement proj (2'!D417,IF('Tableaux amortissement proj (2'!C417&gt;0,IF(AND(_echfixe1t,A426&gt;0),ROUND(('Tableaux amortissement proj (2'!K417-'Tableaux amortissement proj (2'!B417)*A426/(1-((1+A426)^-'Tableaux amortissement proj (2'!C417)),_nbdeci1t),ROUND('Tableaux amortissement proj (2'!K417/'Tableaux amortissement proj (2'!C417,_nbdeci1t)),B425))</f>
        <v>606.91999999999996</v>
      </c>
      <c r="C426" s="10"/>
      <c r="D426" s="10"/>
      <c r="E426" s="10"/>
      <c r="F426" s="10"/>
      <c r="H426" s="29">
        <f>IF('Tableaux amortissement proj (2'!Q417&gt;0,IF(_tauxactuariel1t1,(('Tableaux amortissement proj (2'!Q417+1)^(1/_nebchan1t))-1,'Tableaux amortissement proj (2'!Q417/_nebchan1t),H425)</f>
        <v>8.3333333333333339E-4</v>
      </c>
      <c r="I426" s="28">
        <f>IF('Tableaux amortissement proj (2'!T417&gt;0,'Tableaux amortissement proj (2'!T417,IF('Tableaux amortissement proj (2'!S417&gt;0,IF(AND(_echfixe12,H426&gt;0),ROUND(('Tableaux amortissement proj (2'!AA417-'Tableaux amortissement proj (2'!R417)*H426/(1-((1+H426)^-'Tableaux amortissement proj (2'!S417)),_nbdeci1t1),ROUND('Tableaux amortissement proj (2'!AA417/'Tableaux amortissement proj (2'!S417,_nbdeci1t1)),I425))</f>
        <v>240200</v>
      </c>
      <c r="J426" s="10"/>
      <c r="K426" s="10"/>
      <c r="L426" s="10"/>
      <c r="M426" s="10"/>
      <c r="O426" s="186">
        <v>424</v>
      </c>
    </row>
    <row r="427" spans="1:15" x14ac:dyDescent="0.2">
      <c r="A427" s="29">
        <f>IF('Tableaux amortissement proj (2'!A418&gt;0,IF(_tauxactuariel1t,(('Tableaux amortissement proj (2'!A418+1)^(1/_nbechan1t))-1,'Tableaux amortissement proj (2'!A418/_nbechan1t),A426)</f>
        <v>1.5499999999999999E-3</v>
      </c>
      <c r="B427" s="28">
        <f>IF('Tableaux amortissement proj (2'!D418&gt;0,'Tableaux amortissement proj (2'!D418,IF('Tableaux amortissement proj (2'!C418&gt;0,IF(AND(_echfixe1t,A427&gt;0),ROUND(('Tableaux amortissement proj (2'!K418-'Tableaux amortissement proj (2'!B418)*A427/(1-((1+A427)^-'Tableaux amortissement proj (2'!C418)),_nbdeci1t),ROUND('Tableaux amortissement proj (2'!K418/'Tableaux amortissement proj (2'!C418,_nbdeci1t)),B426))</f>
        <v>606.91999999999996</v>
      </c>
      <c r="C427" s="10"/>
      <c r="D427" s="10"/>
      <c r="E427" s="10"/>
      <c r="F427" s="10"/>
      <c r="H427" s="29">
        <f>IF('Tableaux amortissement proj (2'!Q418&gt;0,IF(_tauxactuariel1t1,(('Tableaux amortissement proj (2'!Q418+1)^(1/_nebchan1t))-1,'Tableaux amortissement proj (2'!Q418/_nebchan1t),H426)</f>
        <v>8.3333333333333339E-4</v>
      </c>
      <c r="I427" s="28">
        <f>IF('Tableaux amortissement proj (2'!T418&gt;0,'Tableaux amortissement proj (2'!T418,IF('Tableaux amortissement proj (2'!S418&gt;0,IF(AND(_echfixe12,H427&gt;0),ROUND(('Tableaux amortissement proj (2'!AA418-'Tableaux amortissement proj (2'!R418)*H427/(1-((1+H427)^-'Tableaux amortissement proj (2'!S418)),_nbdeci1t1),ROUND('Tableaux amortissement proj (2'!AA418/'Tableaux amortissement proj (2'!S418,_nbdeci1t1)),I426))</f>
        <v>240200</v>
      </c>
      <c r="J427" s="10"/>
      <c r="K427" s="10"/>
      <c r="L427" s="10"/>
      <c r="M427" s="10"/>
      <c r="O427" s="186">
        <v>425</v>
      </c>
    </row>
    <row r="428" spans="1:15" x14ac:dyDescent="0.2">
      <c r="A428" s="29">
        <f>IF('Tableaux amortissement proj (2'!A419&gt;0,IF(_tauxactuariel1t,(('Tableaux amortissement proj (2'!A419+1)^(1/_nbechan1t))-1,'Tableaux amortissement proj (2'!A419/_nbechan1t),A427)</f>
        <v>1.5499999999999999E-3</v>
      </c>
      <c r="B428" s="28">
        <f>IF('Tableaux amortissement proj (2'!D419&gt;0,'Tableaux amortissement proj (2'!D419,IF('Tableaux amortissement proj (2'!C419&gt;0,IF(AND(_echfixe1t,A428&gt;0),ROUND(('Tableaux amortissement proj (2'!K419-'Tableaux amortissement proj (2'!B419)*A428/(1-((1+A428)^-'Tableaux amortissement proj (2'!C419)),_nbdeci1t),ROUND('Tableaux amortissement proj (2'!K419/'Tableaux amortissement proj (2'!C419,_nbdeci1t)),B427))</f>
        <v>606.91999999999996</v>
      </c>
      <c r="C428" s="10"/>
      <c r="D428" s="10"/>
      <c r="E428" s="10"/>
      <c r="F428" s="10"/>
      <c r="H428" s="29">
        <f>IF('Tableaux amortissement proj (2'!Q419&gt;0,IF(_tauxactuariel1t1,(('Tableaux amortissement proj (2'!Q419+1)^(1/_nebchan1t))-1,'Tableaux amortissement proj (2'!Q419/_nebchan1t),H427)</f>
        <v>8.3333333333333339E-4</v>
      </c>
      <c r="I428" s="28">
        <f>IF('Tableaux amortissement proj (2'!T419&gt;0,'Tableaux amortissement proj (2'!T419,IF('Tableaux amortissement proj (2'!S419&gt;0,IF(AND(_echfixe12,H428&gt;0),ROUND(('Tableaux amortissement proj (2'!AA419-'Tableaux amortissement proj (2'!R419)*H428/(1-((1+H428)^-'Tableaux amortissement proj (2'!S419)),_nbdeci1t1),ROUND('Tableaux amortissement proj (2'!AA419/'Tableaux amortissement proj (2'!S419,_nbdeci1t1)),I427))</f>
        <v>240200</v>
      </c>
      <c r="J428" s="10"/>
      <c r="K428" s="10"/>
      <c r="L428" s="10"/>
      <c r="M428" s="10"/>
      <c r="O428" s="186">
        <v>426</v>
      </c>
    </row>
    <row r="429" spans="1:15" x14ac:dyDescent="0.2">
      <c r="A429" s="29">
        <f>IF('Tableaux amortissement proj (2'!A420&gt;0,IF(_tauxactuariel1t,(('Tableaux amortissement proj (2'!A420+1)^(1/_nbechan1t))-1,'Tableaux amortissement proj (2'!A420/_nbechan1t),A428)</f>
        <v>1.5499999999999999E-3</v>
      </c>
      <c r="B429" s="28">
        <f>IF('Tableaux amortissement proj (2'!D420&gt;0,'Tableaux amortissement proj (2'!D420,IF('Tableaux amortissement proj (2'!C420&gt;0,IF(AND(_echfixe1t,A429&gt;0),ROUND(('Tableaux amortissement proj (2'!K420-'Tableaux amortissement proj (2'!B420)*A429/(1-((1+A429)^-'Tableaux amortissement proj (2'!C420)),_nbdeci1t),ROUND('Tableaux amortissement proj (2'!K420/'Tableaux amortissement proj (2'!C420,_nbdeci1t)),B428))</f>
        <v>606.91999999999996</v>
      </c>
      <c r="C429" s="10"/>
      <c r="D429" s="10"/>
      <c r="E429" s="10"/>
      <c r="F429" s="10"/>
      <c r="H429" s="29">
        <f>IF('Tableaux amortissement proj (2'!Q420&gt;0,IF(_tauxactuariel1t1,(('Tableaux amortissement proj (2'!Q420+1)^(1/_nebchan1t))-1,'Tableaux amortissement proj (2'!Q420/_nebchan1t),H428)</f>
        <v>8.3333333333333339E-4</v>
      </c>
      <c r="I429" s="28">
        <f>IF('Tableaux amortissement proj (2'!T420&gt;0,'Tableaux amortissement proj (2'!T420,IF('Tableaux amortissement proj (2'!S420&gt;0,IF(AND(_echfixe12,H429&gt;0),ROUND(('Tableaux amortissement proj (2'!AA420-'Tableaux amortissement proj (2'!R420)*H429/(1-((1+H429)^-'Tableaux amortissement proj (2'!S420)),_nbdeci1t1),ROUND('Tableaux amortissement proj (2'!AA420/'Tableaux amortissement proj (2'!S420,_nbdeci1t1)),I428))</f>
        <v>240200</v>
      </c>
      <c r="J429" s="10"/>
      <c r="K429" s="10"/>
      <c r="L429" s="10"/>
      <c r="M429" s="10"/>
      <c r="O429" s="186">
        <v>427</v>
      </c>
    </row>
    <row r="430" spans="1:15" x14ac:dyDescent="0.2">
      <c r="A430" s="29">
        <f>IF('Tableaux amortissement proj (2'!A421&gt;0,IF(_tauxactuariel1t,(('Tableaux amortissement proj (2'!A421+1)^(1/_nbechan1t))-1,'Tableaux amortissement proj (2'!A421/_nbechan1t),A429)</f>
        <v>1.5499999999999999E-3</v>
      </c>
      <c r="B430" s="28">
        <f>IF('Tableaux amortissement proj (2'!D421&gt;0,'Tableaux amortissement proj (2'!D421,IF('Tableaux amortissement proj (2'!C421&gt;0,IF(AND(_echfixe1t,A430&gt;0),ROUND(('Tableaux amortissement proj (2'!K421-'Tableaux amortissement proj (2'!B421)*A430/(1-((1+A430)^-'Tableaux amortissement proj (2'!C421)),_nbdeci1t),ROUND('Tableaux amortissement proj (2'!K421/'Tableaux amortissement proj (2'!C421,_nbdeci1t)),B429))</f>
        <v>606.91999999999996</v>
      </c>
      <c r="C430" s="10"/>
      <c r="D430" s="10"/>
      <c r="E430" s="10"/>
      <c r="F430" s="10"/>
      <c r="H430" s="29">
        <f>IF('Tableaux amortissement proj (2'!Q421&gt;0,IF(_tauxactuariel1t1,(('Tableaux amortissement proj (2'!Q421+1)^(1/_nebchan1t))-1,'Tableaux amortissement proj (2'!Q421/_nebchan1t),H429)</f>
        <v>8.3333333333333339E-4</v>
      </c>
      <c r="I430" s="28">
        <f>IF('Tableaux amortissement proj (2'!T421&gt;0,'Tableaux amortissement proj (2'!T421,IF('Tableaux amortissement proj (2'!S421&gt;0,IF(AND(_echfixe12,H430&gt;0),ROUND(('Tableaux amortissement proj (2'!AA421-'Tableaux amortissement proj (2'!R421)*H430/(1-((1+H430)^-'Tableaux amortissement proj (2'!S421)),_nbdeci1t1),ROUND('Tableaux amortissement proj (2'!AA421/'Tableaux amortissement proj (2'!S421,_nbdeci1t1)),I429))</f>
        <v>240200</v>
      </c>
      <c r="J430" s="10"/>
      <c r="K430" s="10"/>
      <c r="L430" s="10"/>
      <c r="M430" s="10"/>
      <c r="O430" s="186">
        <v>428</v>
      </c>
    </row>
    <row r="431" spans="1:15" x14ac:dyDescent="0.2">
      <c r="A431" s="29">
        <f>IF('Tableaux amortissement proj (2'!A422&gt;0,IF(_tauxactuariel1t,(('Tableaux amortissement proj (2'!A422+1)^(1/_nbechan1t))-1,'Tableaux amortissement proj (2'!A422/_nbechan1t),A430)</f>
        <v>1.5499999999999999E-3</v>
      </c>
      <c r="B431" s="28">
        <f>IF('Tableaux amortissement proj (2'!D422&gt;0,'Tableaux amortissement proj (2'!D422,IF('Tableaux amortissement proj (2'!C422&gt;0,IF(AND(_echfixe1t,A431&gt;0),ROUND(('Tableaux amortissement proj (2'!K422-'Tableaux amortissement proj (2'!B422)*A431/(1-((1+A431)^-'Tableaux amortissement proj (2'!C422)),_nbdeci1t),ROUND('Tableaux amortissement proj (2'!K422/'Tableaux amortissement proj (2'!C422,_nbdeci1t)),B430))</f>
        <v>606.91999999999996</v>
      </c>
      <c r="C431" s="10"/>
      <c r="D431" s="10"/>
      <c r="E431" s="10"/>
      <c r="F431" s="10"/>
      <c r="H431" s="29">
        <f>IF('Tableaux amortissement proj (2'!Q422&gt;0,IF(_tauxactuariel1t1,(('Tableaux amortissement proj (2'!Q422+1)^(1/_nebchan1t))-1,'Tableaux amortissement proj (2'!Q422/_nebchan1t),H430)</f>
        <v>8.3333333333333339E-4</v>
      </c>
      <c r="I431" s="28">
        <f>IF('Tableaux amortissement proj (2'!T422&gt;0,'Tableaux amortissement proj (2'!T422,IF('Tableaux amortissement proj (2'!S422&gt;0,IF(AND(_echfixe12,H431&gt;0),ROUND(('Tableaux amortissement proj (2'!AA422-'Tableaux amortissement proj (2'!R422)*H431/(1-((1+H431)^-'Tableaux amortissement proj (2'!S422)),_nbdeci1t1),ROUND('Tableaux amortissement proj (2'!AA422/'Tableaux amortissement proj (2'!S422,_nbdeci1t1)),I430))</f>
        <v>240200</v>
      </c>
      <c r="J431" s="10"/>
      <c r="K431" s="10"/>
      <c r="L431" s="10"/>
      <c r="M431" s="10"/>
      <c r="O431" s="186">
        <v>429</v>
      </c>
    </row>
    <row r="432" spans="1:15" x14ac:dyDescent="0.2">
      <c r="A432" s="29">
        <f>IF('Tableaux amortissement proj (2'!A423&gt;0,IF(_tauxactuariel1t,(('Tableaux amortissement proj (2'!A423+1)^(1/_nbechan1t))-1,'Tableaux amortissement proj (2'!A423/_nbechan1t),A431)</f>
        <v>1.5499999999999999E-3</v>
      </c>
      <c r="B432" s="28">
        <f>IF('Tableaux amortissement proj (2'!D423&gt;0,'Tableaux amortissement proj (2'!D423,IF('Tableaux amortissement proj (2'!C423&gt;0,IF(AND(_echfixe1t,A432&gt;0),ROUND(('Tableaux amortissement proj (2'!K423-'Tableaux amortissement proj (2'!B423)*A432/(1-((1+A432)^-'Tableaux amortissement proj (2'!C423)),_nbdeci1t),ROUND('Tableaux amortissement proj (2'!K423/'Tableaux amortissement proj (2'!C423,_nbdeci1t)),B431))</f>
        <v>606.91999999999996</v>
      </c>
      <c r="C432" s="10"/>
      <c r="D432" s="10"/>
      <c r="E432" s="10"/>
      <c r="F432" s="10"/>
      <c r="H432" s="29">
        <f>IF('Tableaux amortissement proj (2'!Q423&gt;0,IF(_tauxactuariel1t1,(('Tableaux amortissement proj (2'!Q423+1)^(1/_nebchan1t))-1,'Tableaux amortissement proj (2'!Q423/_nebchan1t),H431)</f>
        <v>8.3333333333333339E-4</v>
      </c>
      <c r="I432" s="28">
        <f>IF('Tableaux amortissement proj (2'!T423&gt;0,'Tableaux amortissement proj (2'!T423,IF('Tableaux amortissement proj (2'!S423&gt;0,IF(AND(_echfixe12,H432&gt;0),ROUND(('Tableaux amortissement proj (2'!AA423-'Tableaux amortissement proj (2'!R423)*H432/(1-((1+H432)^-'Tableaux amortissement proj (2'!S423)),_nbdeci1t1),ROUND('Tableaux amortissement proj (2'!AA423/'Tableaux amortissement proj (2'!S423,_nbdeci1t1)),I431))</f>
        <v>240200</v>
      </c>
      <c r="J432" s="10"/>
      <c r="K432" s="10"/>
      <c r="L432" s="10"/>
      <c r="M432" s="10"/>
      <c r="O432" s="186">
        <v>430</v>
      </c>
    </row>
    <row r="433" spans="1:15" x14ac:dyDescent="0.2">
      <c r="A433" s="29">
        <f>IF('Tableaux amortissement proj (2'!A424&gt;0,IF(_tauxactuariel1t,(('Tableaux amortissement proj (2'!A424+1)^(1/_nbechan1t))-1,'Tableaux amortissement proj (2'!A424/_nbechan1t),A432)</f>
        <v>1.5499999999999999E-3</v>
      </c>
      <c r="B433" s="28">
        <f>IF('Tableaux amortissement proj (2'!D424&gt;0,'Tableaux amortissement proj (2'!D424,IF('Tableaux amortissement proj (2'!C424&gt;0,IF(AND(_echfixe1t,A433&gt;0),ROUND(('Tableaux amortissement proj (2'!K424-'Tableaux amortissement proj (2'!B424)*A433/(1-((1+A433)^-'Tableaux amortissement proj (2'!C424)),_nbdeci1t),ROUND('Tableaux amortissement proj (2'!K424/'Tableaux amortissement proj (2'!C424,_nbdeci1t)),B432))</f>
        <v>606.91999999999996</v>
      </c>
      <c r="C433" s="10"/>
      <c r="D433" s="10"/>
      <c r="E433" s="10"/>
      <c r="F433" s="10"/>
      <c r="H433" s="29">
        <f>IF('Tableaux amortissement proj (2'!Q424&gt;0,IF(_tauxactuariel1t1,(('Tableaux amortissement proj (2'!Q424+1)^(1/_nebchan1t))-1,'Tableaux amortissement proj (2'!Q424/_nebchan1t),H432)</f>
        <v>8.3333333333333339E-4</v>
      </c>
      <c r="I433" s="28">
        <f>IF('Tableaux amortissement proj (2'!T424&gt;0,'Tableaux amortissement proj (2'!T424,IF('Tableaux amortissement proj (2'!S424&gt;0,IF(AND(_echfixe12,H433&gt;0),ROUND(('Tableaux amortissement proj (2'!AA424-'Tableaux amortissement proj (2'!R424)*H433/(1-((1+H433)^-'Tableaux amortissement proj (2'!S424)),_nbdeci1t1),ROUND('Tableaux amortissement proj (2'!AA424/'Tableaux amortissement proj (2'!S424,_nbdeci1t1)),I432))</f>
        <v>240200</v>
      </c>
      <c r="J433" s="10"/>
      <c r="K433" s="10"/>
      <c r="L433" s="10"/>
      <c r="M433" s="10"/>
      <c r="O433" s="186">
        <v>431</v>
      </c>
    </row>
    <row r="434" spans="1:15" x14ac:dyDescent="0.2">
      <c r="A434" s="29">
        <f>IF('Tableaux amortissement proj (2'!A425&gt;0,IF(_tauxactuariel1t,(('Tableaux amortissement proj (2'!A425+1)^(1/_nbechan1t))-1,'Tableaux amortissement proj (2'!A425/_nbechan1t),A433)</f>
        <v>1.5499999999999999E-3</v>
      </c>
      <c r="B434" s="28">
        <f>IF('Tableaux amortissement proj (2'!D425&gt;0,'Tableaux amortissement proj (2'!D425,IF('Tableaux amortissement proj (2'!C425&gt;0,IF(AND(_echfixe1t,A434&gt;0),ROUND(('Tableaux amortissement proj (2'!K425-'Tableaux amortissement proj (2'!B425)*A434/(1-((1+A434)^-'Tableaux amortissement proj (2'!C425)),_nbdeci1t),ROUND('Tableaux amortissement proj (2'!K425/'Tableaux amortissement proj (2'!C425,_nbdeci1t)),B433))</f>
        <v>606.91999999999996</v>
      </c>
      <c r="C434" s="10"/>
      <c r="D434" s="10"/>
      <c r="E434" s="10"/>
      <c r="F434" s="10"/>
      <c r="H434" s="29">
        <f>IF('Tableaux amortissement proj (2'!Q425&gt;0,IF(_tauxactuariel1t1,(('Tableaux amortissement proj (2'!Q425+1)^(1/_nebchan1t))-1,'Tableaux amortissement proj (2'!Q425/_nebchan1t),H433)</f>
        <v>8.3333333333333339E-4</v>
      </c>
      <c r="I434" s="28">
        <f>IF('Tableaux amortissement proj (2'!T425&gt;0,'Tableaux amortissement proj (2'!T425,IF('Tableaux amortissement proj (2'!S425&gt;0,IF(AND(_echfixe12,H434&gt;0),ROUND(('Tableaux amortissement proj (2'!AA425-'Tableaux amortissement proj (2'!R425)*H434/(1-((1+H434)^-'Tableaux amortissement proj (2'!S425)),_nbdeci1t1),ROUND('Tableaux amortissement proj (2'!AA425/'Tableaux amortissement proj (2'!S425,_nbdeci1t1)),I433))</f>
        <v>240200</v>
      </c>
      <c r="J434" s="10"/>
      <c r="K434" s="10"/>
      <c r="L434" s="10"/>
      <c r="M434" s="10"/>
      <c r="O434" s="186">
        <v>432</v>
      </c>
    </row>
    <row r="435" spans="1:15" x14ac:dyDescent="0.2">
      <c r="A435" s="29">
        <f>IF('Tableaux amortissement proj (2'!A426&gt;0,IF(_tauxactuariel1t,(('Tableaux amortissement proj (2'!A426+1)^(1/_nbechan1t))-1,'Tableaux amortissement proj (2'!A426/_nbechan1t),A434)</f>
        <v>1.5499999999999999E-3</v>
      </c>
      <c r="B435" s="28">
        <f>IF('Tableaux amortissement proj (2'!D426&gt;0,'Tableaux amortissement proj (2'!D426,IF('Tableaux amortissement proj (2'!C426&gt;0,IF(AND(_echfixe1t,A435&gt;0),ROUND(('Tableaux amortissement proj (2'!K426-'Tableaux amortissement proj (2'!B426)*A435/(1-((1+A435)^-'Tableaux amortissement proj (2'!C426)),_nbdeci1t),ROUND('Tableaux amortissement proj (2'!K426/'Tableaux amortissement proj (2'!C426,_nbdeci1t)),B434))</f>
        <v>606.91999999999996</v>
      </c>
      <c r="C435" s="10"/>
      <c r="D435" s="10"/>
      <c r="E435" s="10"/>
      <c r="F435" s="10"/>
      <c r="H435" s="29">
        <f>IF('Tableaux amortissement proj (2'!Q426&gt;0,IF(_tauxactuariel1t1,(('Tableaux amortissement proj (2'!Q426+1)^(1/_nebchan1t))-1,'Tableaux amortissement proj (2'!Q426/_nebchan1t),H434)</f>
        <v>8.3333333333333339E-4</v>
      </c>
      <c r="I435" s="28">
        <f>IF('Tableaux amortissement proj (2'!T426&gt;0,'Tableaux amortissement proj (2'!T426,IF('Tableaux amortissement proj (2'!S426&gt;0,IF(AND(_echfixe12,H435&gt;0),ROUND(('Tableaux amortissement proj (2'!AA426-'Tableaux amortissement proj (2'!R426)*H435/(1-((1+H435)^-'Tableaux amortissement proj (2'!S426)),_nbdeci1t1),ROUND('Tableaux amortissement proj (2'!AA426/'Tableaux amortissement proj (2'!S426,_nbdeci1t1)),I434))</f>
        <v>240200</v>
      </c>
      <c r="J435" s="10"/>
      <c r="K435" s="10"/>
      <c r="L435" s="10"/>
      <c r="M435" s="10"/>
      <c r="O435" s="186">
        <v>433</v>
      </c>
    </row>
    <row r="436" spans="1:15" x14ac:dyDescent="0.2">
      <c r="A436" s="29">
        <f>IF('Tableaux amortissement proj (2'!A427&gt;0,IF(_tauxactuariel1t,(('Tableaux amortissement proj (2'!A427+1)^(1/_nbechan1t))-1,'Tableaux amortissement proj (2'!A427/_nbechan1t),A435)</f>
        <v>1.5499999999999999E-3</v>
      </c>
      <c r="B436" s="28">
        <f>IF('Tableaux amortissement proj (2'!D427&gt;0,'Tableaux amortissement proj (2'!D427,IF('Tableaux amortissement proj (2'!C427&gt;0,IF(AND(_echfixe1t,A436&gt;0),ROUND(('Tableaux amortissement proj (2'!K427-'Tableaux amortissement proj (2'!B427)*A436/(1-((1+A436)^-'Tableaux amortissement proj (2'!C427)),_nbdeci1t),ROUND('Tableaux amortissement proj (2'!K427/'Tableaux amortissement proj (2'!C427,_nbdeci1t)),B435))</f>
        <v>606.91999999999996</v>
      </c>
      <c r="C436" s="10"/>
      <c r="D436" s="10"/>
      <c r="E436" s="10"/>
      <c r="F436" s="10"/>
      <c r="H436" s="29">
        <f>IF('Tableaux amortissement proj (2'!Q427&gt;0,IF(_tauxactuariel1t1,(('Tableaux amortissement proj (2'!Q427+1)^(1/_nebchan1t))-1,'Tableaux amortissement proj (2'!Q427/_nebchan1t),H435)</f>
        <v>8.3333333333333339E-4</v>
      </c>
      <c r="I436" s="28">
        <f>IF('Tableaux amortissement proj (2'!T427&gt;0,'Tableaux amortissement proj (2'!T427,IF('Tableaux amortissement proj (2'!S427&gt;0,IF(AND(_echfixe12,H436&gt;0),ROUND(('Tableaux amortissement proj (2'!AA427-'Tableaux amortissement proj (2'!R427)*H436/(1-((1+H436)^-'Tableaux amortissement proj (2'!S427)),_nbdeci1t1),ROUND('Tableaux amortissement proj (2'!AA427/'Tableaux amortissement proj (2'!S427,_nbdeci1t1)),I435))</f>
        <v>240200</v>
      </c>
      <c r="J436" s="10"/>
      <c r="K436" s="10"/>
      <c r="L436" s="10"/>
      <c r="M436" s="10"/>
      <c r="O436" s="186">
        <v>434</v>
      </c>
    </row>
    <row r="437" spans="1:15" x14ac:dyDescent="0.2">
      <c r="A437" s="29">
        <f>IF('Tableaux amortissement proj (2'!A428&gt;0,IF(_tauxactuariel1t,(('Tableaux amortissement proj (2'!A428+1)^(1/_nbechan1t))-1,'Tableaux amortissement proj (2'!A428/_nbechan1t),A436)</f>
        <v>1.5499999999999999E-3</v>
      </c>
      <c r="B437" s="28">
        <f>IF('Tableaux amortissement proj (2'!D428&gt;0,'Tableaux amortissement proj (2'!D428,IF('Tableaux amortissement proj (2'!C428&gt;0,IF(AND(_echfixe1t,A437&gt;0),ROUND(('Tableaux amortissement proj (2'!K428-'Tableaux amortissement proj (2'!B428)*A437/(1-((1+A437)^-'Tableaux amortissement proj (2'!C428)),_nbdeci1t),ROUND('Tableaux amortissement proj (2'!K428/'Tableaux amortissement proj (2'!C428,_nbdeci1t)),B436))</f>
        <v>606.91999999999996</v>
      </c>
      <c r="C437" s="10"/>
      <c r="D437" s="10"/>
      <c r="E437" s="10"/>
      <c r="F437" s="10"/>
      <c r="H437" s="29">
        <f>IF('Tableaux amortissement proj (2'!Q428&gt;0,IF(_tauxactuariel1t1,(('Tableaux amortissement proj (2'!Q428+1)^(1/_nebchan1t))-1,'Tableaux amortissement proj (2'!Q428/_nebchan1t),H436)</f>
        <v>8.3333333333333339E-4</v>
      </c>
      <c r="I437" s="28">
        <f>IF('Tableaux amortissement proj (2'!T428&gt;0,'Tableaux amortissement proj (2'!T428,IF('Tableaux amortissement proj (2'!S428&gt;0,IF(AND(_echfixe12,H437&gt;0),ROUND(('Tableaux amortissement proj (2'!AA428-'Tableaux amortissement proj (2'!R428)*H437/(1-((1+H437)^-'Tableaux amortissement proj (2'!S428)),_nbdeci1t1),ROUND('Tableaux amortissement proj (2'!AA428/'Tableaux amortissement proj (2'!S428,_nbdeci1t1)),I436))</f>
        <v>240200</v>
      </c>
      <c r="J437" s="10"/>
      <c r="K437" s="10"/>
      <c r="L437" s="10"/>
      <c r="M437" s="10"/>
      <c r="O437" s="186">
        <v>435</v>
      </c>
    </row>
    <row r="438" spans="1:15" x14ac:dyDescent="0.2">
      <c r="A438" s="29">
        <f>IF('Tableaux amortissement proj (2'!A429&gt;0,IF(_tauxactuariel1t,(('Tableaux amortissement proj (2'!A429+1)^(1/_nbechan1t))-1,'Tableaux amortissement proj (2'!A429/_nbechan1t),A437)</f>
        <v>1.5499999999999999E-3</v>
      </c>
      <c r="B438" s="28">
        <f>IF('Tableaux amortissement proj (2'!D429&gt;0,'Tableaux amortissement proj (2'!D429,IF('Tableaux amortissement proj (2'!C429&gt;0,IF(AND(_echfixe1t,A438&gt;0),ROUND(('Tableaux amortissement proj (2'!K429-'Tableaux amortissement proj (2'!B429)*A438/(1-((1+A438)^-'Tableaux amortissement proj (2'!C429)),_nbdeci1t),ROUND('Tableaux amortissement proj (2'!K429/'Tableaux amortissement proj (2'!C429,_nbdeci1t)),B437))</f>
        <v>606.91999999999996</v>
      </c>
      <c r="C438" s="10"/>
      <c r="D438" s="10"/>
      <c r="E438" s="10"/>
      <c r="F438" s="10"/>
      <c r="H438" s="29">
        <f>IF('Tableaux amortissement proj (2'!Q429&gt;0,IF(_tauxactuariel1t1,(('Tableaux amortissement proj (2'!Q429+1)^(1/_nebchan1t))-1,'Tableaux amortissement proj (2'!Q429/_nebchan1t),H437)</f>
        <v>8.3333333333333339E-4</v>
      </c>
      <c r="I438" s="28">
        <f>IF('Tableaux amortissement proj (2'!T429&gt;0,'Tableaux amortissement proj (2'!T429,IF('Tableaux amortissement proj (2'!S429&gt;0,IF(AND(_echfixe12,H438&gt;0),ROUND(('Tableaux amortissement proj (2'!AA429-'Tableaux amortissement proj (2'!R429)*H438/(1-((1+H438)^-'Tableaux amortissement proj (2'!S429)),_nbdeci1t1),ROUND('Tableaux amortissement proj (2'!AA429/'Tableaux amortissement proj (2'!S429,_nbdeci1t1)),I437))</f>
        <v>240200</v>
      </c>
      <c r="J438" s="10"/>
      <c r="K438" s="10"/>
      <c r="L438" s="10"/>
      <c r="M438" s="10"/>
      <c r="O438" s="186">
        <v>436</v>
      </c>
    </row>
    <row r="439" spans="1:15" x14ac:dyDescent="0.2">
      <c r="A439" s="29">
        <f>IF('Tableaux amortissement proj (2'!A430&gt;0,IF(_tauxactuariel1t,(('Tableaux amortissement proj (2'!A430+1)^(1/_nbechan1t))-1,'Tableaux amortissement proj (2'!A430/_nbechan1t),A438)</f>
        <v>1.5499999999999999E-3</v>
      </c>
      <c r="B439" s="28">
        <f>IF('Tableaux amortissement proj (2'!D430&gt;0,'Tableaux amortissement proj (2'!D430,IF('Tableaux amortissement proj (2'!C430&gt;0,IF(AND(_echfixe1t,A439&gt;0),ROUND(('Tableaux amortissement proj (2'!K430-'Tableaux amortissement proj (2'!B430)*A439/(1-((1+A439)^-'Tableaux amortissement proj (2'!C430)),_nbdeci1t),ROUND('Tableaux amortissement proj (2'!K430/'Tableaux amortissement proj (2'!C430,_nbdeci1t)),B438))</f>
        <v>606.91999999999996</v>
      </c>
      <c r="C439" s="10"/>
      <c r="D439" s="10"/>
      <c r="E439" s="10"/>
      <c r="F439" s="10"/>
      <c r="H439" s="29">
        <f>IF('Tableaux amortissement proj (2'!Q430&gt;0,IF(_tauxactuariel1t1,(('Tableaux amortissement proj (2'!Q430+1)^(1/_nebchan1t))-1,'Tableaux amortissement proj (2'!Q430/_nebchan1t),H438)</f>
        <v>8.3333333333333339E-4</v>
      </c>
      <c r="I439" s="28">
        <f>IF('Tableaux amortissement proj (2'!T430&gt;0,'Tableaux amortissement proj (2'!T430,IF('Tableaux amortissement proj (2'!S430&gt;0,IF(AND(_echfixe12,H439&gt;0),ROUND(('Tableaux amortissement proj (2'!AA430-'Tableaux amortissement proj (2'!R430)*H439/(1-((1+H439)^-'Tableaux amortissement proj (2'!S430)),_nbdeci1t1),ROUND('Tableaux amortissement proj (2'!AA430/'Tableaux amortissement proj (2'!S430,_nbdeci1t1)),I438))</f>
        <v>240200</v>
      </c>
      <c r="J439" s="10"/>
      <c r="K439" s="10"/>
      <c r="L439" s="10"/>
      <c r="M439" s="10"/>
      <c r="O439" s="186">
        <v>437</v>
      </c>
    </row>
    <row r="440" spans="1:15" x14ac:dyDescent="0.2">
      <c r="A440" s="29">
        <f>IF('Tableaux amortissement proj (2'!A431&gt;0,IF(_tauxactuariel1t,(('Tableaux amortissement proj (2'!A431+1)^(1/_nbechan1t))-1,'Tableaux amortissement proj (2'!A431/_nbechan1t),A439)</f>
        <v>1.5499999999999999E-3</v>
      </c>
      <c r="B440" s="28">
        <f>IF('Tableaux amortissement proj (2'!D431&gt;0,'Tableaux amortissement proj (2'!D431,IF('Tableaux amortissement proj (2'!C431&gt;0,IF(AND(_echfixe1t,A440&gt;0),ROUND(('Tableaux amortissement proj (2'!K431-'Tableaux amortissement proj (2'!B431)*A440/(1-((1+A440)^-'Tableaux amortissement proj (2'!C431)),_nbdeci1t),ROUND('Tableaux amortissement proj (2'!K431/'Tableaux amortissement proj (2'!C431,_nbdeci1t)),B439))</f>
        <v>606.91999999999996</v>
      </c>
      <c r="C440" s="10"/>
      <c r="D440" s="10"/>
      <c r="E440" s="10"/>
      <c r="F440" s="10"/>
      <c r="H440" s="29">
        <f>IF('Tableaux amortissement proj (2'!Q431&gt;0,IF(_tauxactuariel1t1,(('Tableaux amortissement proj (2'!Q431+1)^(1/_nebchan1t))-1,'Tableaux amortissement proj (2'!Q431/_nebchan1t),H439)</f>
        <v>8.3333333333333339E-4</v>
      </c>
      <c r="I440" s="28">
        <f>IF('Tableaux amortissement proj (2'!T431&gt;0,'Tableaux amortissement proj (2'!T431,IF('Tableaux amortissement proj (2'!S431&gt;0,IF(AND(_echfixe12,H440&gt;0),ROUND(('Tableaux amortissement proj (2'!AA431-'Tableaux amortissement proj (2'!R431)*H440/(1-((1+H440)^-'Tableaux amortissement proj (2'!S431)),_nbdeci1t1),ROUND('Tableaux amortissement proj (2'!AA431/'Tableaux amortissement proj (2'!S431,_nbdeci1t1)),I439))</f>
        <v>240200</v>
      </c>
      <c r="J440" s="10"/>
      <c r="K440" s="10"/>
      <c r="L440" s="10"/>
      <c r="M440" s="10"/>
      <c r="O440" s="186">
        <v>438</v>
      </c>
    </row>
    <row r="441" spans="1:15" x14ac:dyDescent="0.2">
      <c r="A441" s="29">
        <f>IF('Tableaux amortissement proj (2'!A432&gt;0,IF(_tauxactuariel1t,(('Tableaux amortissement proj (2'!A432+1)^(1/_nbechan1t))-1,'Tableaux amortissement proj (2'!A432/_nbechan1t),A440)</f>
        <v>1.5499999999999999E-3</v>
      </c>
      <c r="B441" s="28">
        <f>IF('Tableaux amortissement proj (2'!D432&gt;0,'Tableaux amortissement proj (2'!D432,IF('Tableaux amortissement proj (2'!C432&gt;0,IF(AND(_echfixe1t,A441&gt;0),ROUND(('Tableaux amortissement proj (2'!K432-'Tableaux amortissement proj (2'!B432)*A441/(1-((1+A441)^-'Tableaux amortissement proj (2'!C432)),_nbdeci1t),ROUND('Tableaux amortissement proj (2'!K432/'Tableaux amortissement proj (2'!C432,_nbdeci1t)),B440))</f>
        <v>606.91999999999996</v>
      </c>
      <c r="C441" s="10"/>
      <c r="D441" s="10"/>
      <c r="E441" s="10"/>
      <c r="F441" s="10"/>
      <c r="H441" s="29">
        <f>IF('Tableaux amortissement proj (2'!Q432&gt;0,IF(_tauxactuariel1t1,(('Tableaux amortissement proj (2'!Q432+1)^(1/_nebchan1t))-1,'Tableaux amortissement proj (2'!Q432/_nebchan1t),H440)</f>
        <v>8.3333333333333339E-4</v>
      </c>
      <c r="I441" s="28">
        <f>IF('Tableaux amortissement proj (2'!T432&gt;0,'Tableaux amortissement proj (2'!T432,IF('Tableaux amortissement proj (2'!S432&gt;0,IF(AND(_echfixe12,H441&gt;0),ROUND(('Tableaux amortissement proj (2'!AA432-'Tableaux amortissement proj (2'!R432)*H441/(1-((1+H441)^-'Tableaux amortissement proj (2'!S432)),_nbdeci1t1),ROUND('Tableaux amortissement proj (2'!AA432/'Tableaux amortissement proj (2'!S432,_nbdeci1t1)),I440))</f>
        <v>240200</v>
      </c>
      <c r="J441" s="10"/>
      <c r="K441" s="10"/>
      <c r="L441" s="10"/>
      <c r="M441" s="10"/>
      <c r="O441" s="186">
        <v>439</v>
      </c>
    </row>
    <row r="442" spans="1:15" x14ac:dyDescent="0.2">
      <c r="A442" s="29">
        <f>IF('Tableaux amortissement proj (2'!A433&gt;0,IF(_tauxactuariel1t,(('Tableaux amortissement proj (2'!A433+1)^(1/_nbechan1t))-1,'Tableaux amortissement proj (2'!A433/_nbechan1t),A441)</f>
        <v>1.5499999999999999E-3</v>
      </c>
      <c r="B442" s="28">
        <f>IF('Tableaux amortissement proj (2'!D433&gt;0,'Tableaux amortissement proj (2'!D433,IF('Tableaux amortissement proj (2'!C433&gt;0,IF(AND(_echfixe1t,A442&gt;0),ROUND(('Tableaux amortissement proj (2'!K433-'Tableaux amortissement proj (2'!B433)*A442/(1-((1+A442)^-'Tableaux amortissement proj (2'!C433)),_nbdeci1t),ROUND('Tableaux amortissement proj (2'!K433/'Tableaux amortissement proj (2'!C433,_nbdeci1t)),B441))</f>
        <v>606.91999999999996</v>
      </c>
      <c r="C442" s="10"/>
      <c r="D442" s="10"/>
      <c r="E442" s="10"/>
      <c r="F442" s="10"/>
      <c r="H442" s="29">
        <f>IF('Tableaux amortissement proj (2'!Q433&gt;0,IF(_tauxactuariel1t1,(('Tableaux amortissement proj (2'!Q433+1)^(1/_nebchan1t))-1,'Tableaux amortissement proj (2'!Q433/_nebchan1t),H441)</f>
        <v>8.3333333333333339E-4</v>
      </c>
      <c r="I442" s="28">
        <f>IF('Tableaux amortissement proj (2'!T433&gt;0,'Tableaux amortissement proj (2'!T433,IF('Tableaux amortissement proj (2'!S433&gt;0,IF(AND(_echfixe12,H442&gt;0),ROUND(('Tableaux amortissement proj (2'!AA433-'Tableaux amortissement proj (2'!R433)*H442/(1-((1+H442)^-'Tableaux amortissement proj (2'!S433)),_nbdeci1t1),ROUND('Tableaux amortissement proj (2'!AA433/'Tableaux amortissement proj (2'!S433,_nbdeci1t1)),I441))</f>
        <v>240200</v>
      </c>
      <c r="J442" s="10"/>
      <c r="K442" s="10"/>
      <c r="L442" s="10"/>
      <c r="M442" s="10"/>
      <c r="O442" s="186">
        <v>440</v>
      </c>
    </row>
    <row r="443" spans="1:15" x14ac:dyDescent="0.2">
      <c r="A443" s="29">
        <f>IF('Tableaux amortissement proj (2'!A434&gt;0,IF(_tauxactuariel1t,(('Tableaux amortissement proj (2'!A434+1)^(1/_nbechan1t))-1,'Tableaux amortissement proj (2'!A434/_nbechan1t),A442)</f>
        <v>1.5499999999999999E-3</v>
      </c>
      <c r="B443" s="28">
        <f>IF('Tableaux amortissement proj (2'!D434&gt;0,'Tableaux amortissement proj (2'!D434,IF('Tableaux amortissement proj (2'!C434&gt;0,IF(AND(_echfixe1t,A443&gt;0),ROUND(('Tableaux amortissement proj (2'!K434-'Tableaux amortissement proj (2'!B434)*A443/(1-((1+A443)^-'Tableaux amortissement proj (2'!C434)),_nbdeci1t),ROUND('Tableaux amortissement proj (2'!K434/'Tableaux amortissement proj (2'!C434,_nbdeci1t)),B442))</f>
        <v>606.91999999999996</v>
      </c>
      <c r="C443" s="10"/>
      <c r="D443" s="10"/>
      <c r="E443" s="10"/>
      <c r="F443" s="10"/>
      <c r="H443" s="29">
        <f>IF('Tableaux amortissement proj (2'!Q434&gt;0,IF(_tauxactuariel1t1,(('Tableaux amortissement proj (2'!Q434+1)^(1/_nebchan1t))-1,'Tableaux amortissement proj (2'!Q434/_nebchan1t),H442)</f>
        <v>8.3333333333333339E-4</v>
      </c>
      <c r="I443" s="28">
        <f>IF('Tableaux amortissement proj (2'!T434&gt;0,'Tableaux amortissement proj (2'!T434,IF('Tableaux amortissement proj (2'!S434&gt;0,IF(AND(_echfixe12,H443&gt;0),ROUND(('Tableaux amortissement proj (2'!AA434-'Tableaux amortissement proj (2'!R434)*H443/(1-((1+H443)^-'Tableaux amortissement proj (2'!S434)),_nbdeci1t1),ROUND('Tableaux amortissement proj (2'!AA434/'Tableaux amortissement proj (2'!S434,_nbdeci1t1)),I442))</f>
        <v>240200</v>
      </c>
      <c r="J443" s="10"/>
      <c r="K443" s="10"/>
      <c r="L443" s="10"/>
      <c r="M443" s="10"/>
      <c r="O443" s="186">
        <v>441</v>
      </c>
    </row>
    <row r="444" spans="1:15" x14ac:dyDescent="0.2">
      <c r="A444" s="29">
        <f>IF('Tableaux amortissement proj (2'!A435&gt;0,IF(_tauxactuariel1t,(('Tableaux amortissement proj (2'!A435+1)^(1/_nbechan1t))-1,'Tableaux amortissement proj (2'!A435/_nbechan1t),A443)</f>
        <v>1.5499999999999999E-3</v>
      </c>
      <c r="B444" s="28">
        <f>IF('Tableaux amortissement proj (2'!D435&gt;0,'Tableaux amortissement proj (2'!D435,IF('Tableaux amortissement proj (2'!C435&gt;0,IF(AND(_echfixe1t,A444&gt;0),ROUND(('Tableaux amortissement proj (2'!K435-'Tableaux amortissement proj (2'!B435)*A444/(1-((1+A444)^-'Tableaux amortissement proj (2'!C435)),_nbdeci1t),ROUND('Tableaux amortissement proj (2'!K435/'Tableaux amortissement proj (2'!C435,_nbdeci1t)),B443))</f>
        <v>606.91999999999996</v>
      </c>
      <c r="C444" s="10"/>
      <c r="D444" s="10"/>
      <c r="E444" s="10"/>
      <c r="F444" s="10"/>
      <c r="H444" s="29">
        <f>IF('Tableaux amortissement proj (2'!Q435&gt;0,IF(_tauxactuariel1t1,(('Tableaux amortissement proj (2'!Q435+1)^(1/_nebchan1t))-1,'Tableaux amortissement proj (2'!Q435/_nebchan1t),H443)</f>
        <v>8.3333333333333339E-4</v>
      </c>
      <c r="I444" s="28">
        <f>IF('Tableaux amortissement proj (2'!T435&gt;0,'Tableaux amortissement proj (2'!T435,IF('Tableaux amortissement proj (2'!S435&gt;0,IF(AND(_echfixe12,H444&gt;0),ROUND(('Tableaux amortissement proj (2'!AA435-'Tableaux amortissement proj (2'!R435)*H444/(1-((1+H444)^-'Tableaux amortissement proj (2'!S435)),_nbdeci1t1),ROUND('Tableaux amortissement proj (2'!AA435/'Tableaux amortissement proj (2'!S435,_nbdeci1t1)),I443))</f>
        <v>240200</v>
      </c>
      <c r="J444" s="10"/>
      <c r="K444" s="10"/>
      <c r="L444" s="10"/>
      <c r="M444" s="10"/>
      <c r="O444" s="186">
        <v>442</v>
      </c>
    </row>
    <row r="445" spans="1:15" x14ac:dyDescent="0.2">
      <c r="A445" s="29">
        <f>IF('Tableaux amortissement proj (2'!A436&gt;0,IF(_tauxactuariel1t,(('Tableaux amortissement proj (2'!A436+1)^(1/_nbechan1t))-1,'Tableaux amortissement proj (2'!A436/_nbechan1t),A444)</f>
        <v>1.5499999999999999E-3</v>
      </c>
      <c r="B445" s="28">
        <f>IF('Tableaux amortissement proj (2'!D436&gt;0,'Tableaux amortissement proj (2'!D436,IF('Tableaux amortissement proj (2'!C436&gt;0,IF(AND(_echfixe1t,A445&gt;0),ROUND(('Tableaux amortissement proj (2'!K436-'Tableaux amortissement proj (2'!B436)*A445/(1-((1+A445)^-'Tableaux amortissement proj (2'!C436)),_nbdeci1t),ROUND('Tableaux amortissement proj (2'!K436/'Tableaux amortissement proj (2'!C436,_nbdeci1t)),B444))</f>
        <v>606.91999999999996</v>
      </c>
      <c r="C445" s="10"/>
      <c r="D445" s="10"/>
      <c r="E445" s="10"/>
      <c r="F445" s="10"/>
      <c r="H445" s="29">
        <f>IF('Tableaux amortissement proj (2'!Q436&gt;0,IF(_tauxactuariel1t1,(('Tableaux amortissement proj (2'!Q436+1)^(1/_nebchan1t))-1,'Tableaux amortissement proj (2'!Q436/_nebchan1t),H444)</f>
        <v>8.3333333333333339E-4</v>
      </c>
      <c r="I445" s="28">
        <f>IF('Tableaux amortissement proj (2'!T436&gt;0,'Tableaux amortissement proj (2'!T436,IF('Tableaux amortissement proj (2'!S436&gt;0,IF(AND(_echfixe12,H445&gt;0),ROUND(('Tableaux amortissement proj (2'!AA436-'Tableaux amortissement proj (2'!R436)*H445/(1-((1+H445)^-'Tableaux amortissement proj (2'!S436)),_nbdeci1t1),ROUND('Tableaux amortissement proj (2'!AA436/'Tableaux amortissement proj (2'!S436,_nbdeci1t1)),I444))</f>
        <v>240200</v>
      </c>
      <c r="J445" s="10"/>
      <c r="K445" s="10"/>
      <c r="L445" s="10"/>
      <c r="M445" s="10"/>
      <c r="O445" s="186">
        <v>443</v>
      </c>
    </row>
    <row r="446" spans="1:15" x14ac:dyDescent="0.2">
      <c r="A446" s="29">
        <f>IF('Tableaux amortissement proj (2'!A437&gt;0,IF(_tauxactuariel1t,(('Tableaux amortissement proj (2'!A437+1)^(1/_nbechan1t))-1,'Tableaux amortissement proj (2'!A437/_nbechan1t),A445)</f>
        <v>1.5499999999999999E-3</v>
      </c>
      <c r="B446" s="28">
        <f>IF('Tableaux amortissement proj (2'!D437&gt;0,'Tableaux amortissement proj (2'!D437,IF('Tableaux amortissement proj (2'!C437&gt;0,IF(AND(_echfixe1t,A446&gt;0),ROUND(('Tableaux amortissement proj (2'!K437-'Tableaux amortissement proj (2'!B437)*A446/(1-((1+A446)^-'Tableaux amortissement proj (2'!C437)),_nbdeci1t),ROUND('Tableaux amortissement proj (2'!K437/'Tableaux amortissement proj (2'!C437,_nbdeci1t)),B445))</f>
        <v>606.91999999999996</v>
      </c>
      <c r="C446" s="10"/>
      <c r="D446" s="10"/>
      <c r="E446" s="10"/>
      <c r="F446" s="10"/>
      <c r="H446" s="29">
        <f>IF('Tableaux amortissement proj (2'!Q437&gt;0,IF(_tauxactuariel1t1,(('Tableaux amortissement proj (2'!Q437+1)^(1/_nebchan1t))-1,'Tableaux amortissement proj (2'!Q437/_nebchan1t),H445)</f>
        <v>8.3333333333333339E-4</v>
      </c>
      <c r="I446" s="28">
        <f>IF('Tableaux amortissement proj (2'!T437&gt;0,'Tableaux amortissement proj (2'!T437,IF('Tableaux amortissement proj (2'!S437&gt;0,IF(AND(_echfixe12,H446&gt;0),ROUND(('Tableaux amortissement proj (2'!AA437-'Tableaux amortissement proj (2'!R437)*H446/(1-((1+H446)^-'Tableaux amortissement proj (2'!S437)),_nbdeci1t1),ROUND('Tableaux amortissement proj (2'!AA437/'Tableaux amortissement proj (2'!S437,_nbdeci1t1)),I445))</f>
        <v>240200</v>
      </c>
      <c r="J446" s="10"/>
      <c r="K446" s="10"/>
      <c r="L446" s="10"/>
      <c r="M446" s="10"/>
      <c r="O446" s="186">
        <v>444</v>
      </c>
    </row>
    <row r="447" spans="1:15" x14ac:dyDescent="0.2">
      <c r="A447" s="29">
        <f>IF('Tableaux amortissement proj (2'!A438&gt;0,IF(_tauxactuariel1t,(('Tableaux amortissement proj (2'!A438+1)^(1/_nbechan1t))-1,'Tableaux amortissement proj (2'!A438/_nbechan1t),A446)</f>
        <v>1.5499999999999999E-3</v>
      </c>
      <c r="B447" s="28">
        <f>IF('Tableaux amortissement proj (2'!D438&gt;0,'Tableaux amortissement proj (2'!D438,IF('Tableaux amortissement proj (2'!C438&gt;0,IF(AND(_echfixe1t,A447&gt;0),ROUND(('Tableaux amortissement proj (2'!K438-'Tableaux amortissement proj (2'!B438)*A447/(1-((1+A447)^-'Tableaux amortissement proj (2'!C438)),_nbdeci1t),ROUND('Tableaux amortissement proj (2'!K438/'Tableaux amortissement proj (2'!C438,_nbdeci1t)),B446))</f>
        <v>606.91999999999996</v>
      </c>
      <c r="C447" s="10"/>
      <c r="D447" s="10"/>
      <c r="E447" s="10"/>
      <c r="F447" s="10"/>
      <c r="H447" s="29">
        <f>IF('Tableaux amortissement proj (2'!Q438&gt;0,IF(_tauxactuariel1t1,(('Tableaux amortissement proj (2'!Q438+1)^(1/_nebchan1t))-1,'Tableaux amortissement proj (2'!Q438/_nebchan1t),H446)</f>
        <v>8.3333333333333339E-4</v>
      </c>
      <c r="I447" s="28">
        <f>IF('Tableaux amortissement proj (2'!T438&gt;0,'Tableaux amortissement proj (2'!T438,IF('Tableaux amortissement proj (2'!S438&gt;0,IF(AND(_echfixe12,H447&gt;0),ROUND(('Tableaux amortissement proj (2'!AA438-'Tableaux amortissement proj (2'!R438)*H447/(1-((1+H447)^-'Tableaux amortissement proj (2'!S438)),_nbdeci1t1),ROUND('Tableaux amortissement proj (2'!AA438/'Tableaux amortissement proj (2'!S438,_nbdeci1t1)),I446))</f>
        <v>240200</v>
      </c>
      <c r="J447" s="10"/>
      <c r="K447" s="10"/>
      <c r="L447" s="10"/>
      <c r="M447" s="10"/>
      <c r="O447" s="186">
        <v>445</v>
      </c>
    </row>
    <row r="448" spans="1:15" x14ac:dyDescent="0.2">
      <c r="A448" s="29">
        <f>IF('Tableaux amortissement proj (2'!A439&gt;0,IF(_tauxactuariel1t,(('Tableaux amortissement proj (2'!A439+1)^(1/_nbechan1t))-1,'Tableaux amortissement proj (2'!A439/_nbechan1t),A447)</f>
        <v>1.5499999999999999E-3</v>
      </c>
      <c r="B448" s="28">
        <f>IF('Tableaux amortissement proj (2'!D439&gt;0,'Tableaux amortissement proj (2'!D439,IF('Tableaux amortissement proj (2'!C439&gt;0,IF(AND(_echfixe1t,A448&gt;0),ROUND(('Tableaux amortissement proj (2'!K439-'Tableaux amortissement proj (2'!B439)*A448/(1-((1+A448)^-'Tableaux amortissement proj (2'!C439)),_nbdeci1t),ROUND('Tableaux amortissement proj (2'!K439/'Tableaux amortissement proj (2'!C439,_nbdeci1t)),B447))</f>
        <v>606.91999999999996</v>
      </c>
      <c r="C448" s="10"/>
      <c r="D448" s="10"/>
      <c r="E448" s="10"/>
      <c r="F448" s="10"/>
      <c r="H448" s="29">
        <f>IF('Tableaux amortissement proj (2'!Q439&gt;0,IF(_tauxactuariel1t1,(('Tableaux amortissement proj (2'!Q439+1)^(1/_nebchan1t))-1,'Tableaux amortissement proj (2'!Q439/_nebchan1t),H447)</f>
        <v>8.3333333333333339E-4</v>
      </c>
      <c r="I448" s="28">
        <f>IF('Tableaux amortissement proj (2'!T439&gt;0,'Tableaux amortissement proj (2'!T439,IF('Tableaux amortissement proj (2'!S439&gt;0,IF(AND(_echfixe12,H448&gt;0),ROUND(('Tableaux amortissement proj (2'!AA439-'Tableaux amortissement proj (2'!R439)*H448/(1-((1+H448)^-'Tableaux amortissement proj (2'!S439)),_nbdeci1t1),ROUND('Tableaux amortissement proj (2'!AA439/'Tableaux amortissement proj (2'!S439,_nbdeci1t1)),I447))</f>
        <v>240200</v>
      </c>
      <c r="J448" s="10"/>
      <c r="K448" s="10"/>
      <c r="L448" s="10"/>
      <c r="M448" s="10"/>
      <c r="O448" s="186">
        <v>446</v>
      </c>
    </row>
    <row r="449" spans="15:15" x14ac:dyDescent="0.2">
      <c r="O449" s="186">
        <v>447</v>
      </c>
    </row>
  </sheetData>
  <mergeCells count="8">
    <mergeCell ref="A1:F1"/>
    <mergeCell ref="H1:M1"/>
    <mergeCell ref="A11:B11"/>
    <mergeCell ref="H11:I11"/>
    <mergeCell ref="A12:A14"/>
    <mergeCell ref="B12:B14"/>
    <mergeCell ref="H12:H14"/>
    <mergeCell ref="I12:I14"/>
  </mergeCells>
  <pageMargins left="0.7" right="0.7" top="0.75" bottom="0.75" header="0.3" footer="0.3"/>
  <legacy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>
    <tabColor indexed="22"/>
  </sheetPr>
  <dimension ref="A1:AE441"/>
  <sheetViews>
    <sheetView topLeftCell="M1" workbookViewId="0">
      <selection activeCell="D12" sqref="D12:D13"/>
    </sheetView>
  </sheetViews>
  <sheetFormatPr baseColWidth="10" defaultRowHeight="12.75" x14ac:dyDescent="0.2"/>
  <sheetData>
    <row r="1" spans="1:31" ht="13.5" thickBot="1" x14ac:dyDescent="0.25">
      <c r="A1" s="323" t="s">
        <v>325</v>
      </c>
    </row>
    <row r="2" spans="1:31" ht="13.5" thickBot="1" x14ac:dyDescent="0.25">
      <c r="A2" s="598" t="s">
        <v>9</v>
      </c>
      <c r="B2" s="599"/>
      <c r="C2" s="599"/>
      <c r="D2" s="599"/>
      <c r="E2" s="600"/>
      <c r="F2" s="10"/>
      <c r="G2" s="601" t="s">
        <v>6</v>
      </c>
      <c r="H2" s="602"/>
      <c r="I2" s="602"/>
      <c r="J2" s="602"/>
      <c r="K2" s="602"/>
      <c r="L2" s="602"/>
      <c r="M2" s="602"/>
      <c r="N2" s="602"/>
      <c r="O2" s="603"/>
      <c r="Q2" s="598" t="s">
        <v>9</v>
      </c>
      <c r="R2" s="599"/>
      <c r="S2" s="599"/>
      <c r="T2" s="599"/>
      <c r="U2" s="600"/>
      <c r="V2" s="10"/>
      <c r="W2" s="601" t="s">
        <v>6</v>
      </c>
      <c r="X2" s="602"/>
      <c r="Y2" s="602"/>
      <c r="Z2" s="602"/>
      <c r="AA2" s="602"/>
      <c r="AB2" s="602"/>
      <c r="AC2" s="602"/>
      <c r="AD2" s="602"/>
      <c r="AE2" s="603"/>
    </row>
    <row r="3" spans="1:31" x14ac:dyDescent="0.2">
      <c r="A3" s="35">
        <f>COUNTIF(A7:A439,"&gt;0")</f>
        <v>0</v>
      </c>
      <c r="B3" s="36">
        <f>COUNTIF(B7:B439,"&gt;0")+COUNTIF(B7:B439,"&lt;0")</f>
        <v>0</v>
      </c>
      <c r="C3" s="36">
        <f>COUNTIF(C7:C439,"&gt;0")</f>
        <v>0</v>
      </c>
      <c r="D3" s="36">
        <f>COUNTIF(D7:D439,"&gt;0")</f>
        <v>0</v>
      </c>
      <c r="E3" s="37">
        <f>COUNTIF(E6:E439,"&gt;0")</f>
        <v>0</v>
      </c>
      <c r="F3" s="10"/>
      <c r="G3" s="92"/>
      <c r="H3" s="612" t="s">
        <v>22</v>
      </c>
      <c r="I3" s="114"/>
      <c r="J3" s="615" t="s">
        <v>12</v>
      </c>
      <c r="K3" s="624" t="s">
        <v>7</v>
      </c>
      <c r="L3" s="618" t="s">
        <v>11</v>
      </c>
      <c r="M3" s="615" t="s">
        <v>8</v>
      </c>
      <c r="N3" s="615" t="s">
        <v>13</v>
      </c>
      <c r="O3" s="621" t="s">
        <v>23</v>
      </c>
      <c r="Q3" s="35">
        <f>COUNTIF(Q7:Q439,"&gt;0")</f>
        <v>0</v>
      </c>
      <c r="R3" s="36">
        <f>COUNTIF(R7:R439,"&gt;0")+COUNTIF(R7:R439,"&lt;0")</f>
        <v>0</v>
      </c>
      <c r="S3" s="36">
        <f>COUNTIF(S7:S439,"&gt;0")</f>
        <v>0</v>
      </c>
      <c r="T3" s="36">
        <f>COUNTIF(T7:T439,"&gt;0")</f>
        <v>0</v>
      </c>
      <c r="U3" s="37">
        <f>COUNTIF(U6:U439,"&gt;0")</f>
        <v>0</v>
      </c>
      <c r="V3" s="10"/>
      <c r="W3" s="92"/>
      <c r="X3" s="612" t="s">
        <v>22</v>
      </c>
      <c r="Y3" s="114"/>
      <c r="Z3" s="615" t="s">
        <v>12</v>
      </c>
      <c r="AA3" s="624" t="s">
        <v>7</v>
      </c>
      <c r="AB3" s="618" t="s">
        <v>11</v>
      </c>
      <c r="AC3" s="615" t="s">
        <v>8</v>
      </c>
      <c r="AD3" s="615" t="s">
        <v>13</v>
      </c>
      <c r="AE3" s="621" t="s">
        <v>23</v>
      </c>
    </row>
    <row r="4" spans="1:31" x14ac:dyDescent="0.2">
      <c r="A4" s="604" t="s">
        <v>10</v>
      </c>
      <c r="B4" s="606" t="s">
        <v>14</v>
      </c>
      <c r="C4" s="608" t="s">
        <v>27</v>
      </c>
      <c r="D4" s="606" t="s">
        <v>26</v>
      </c>
      <c r="E4" s="610" t="s">
        <v>25</v>
      </c>
      <c r="F4" s="17"/>
      <c r="G4" s="93" t="s">
        <v>78</v>
      </c>
      <c r="H4" s="613"/>
      <c r="I4" s="386" t="s">
        <v>77</v>
      </c>
      <c r="J4" s="616"/>
      <c r="K4" s="625"/>
      <c r="L4" s="619"/>
      <c r="M4" s="627"/>
      <c r="N4" s="627"/>
      <c r="O4" s="622"/>
      <c r="Q4" s="604" t="s">
        <v>10</v>
      </c>
      <c r="R4" s="606" t="s">
        <v>14</v>
      </c>
      <c r="S4" s="608" t="s">
        <v>27</v>
      </c>
      <c r="T4" s="606" t="s">
        <v>26</v>
      </c>
      <c r="U4" s="610" t="s">
        <v>25</v>
      </c>
      <c r="V4" s="17"/>
      <c r="W4" s="93" t="s">
        <v>78</v>
      </c>
      <c r="X4" s="613"/>
      <c r="Y4" s="386" t="s">
        <v>77</v>
      </c>
      <c r="Z4" s="616"/>
      <c r="AA4" s="625"/>
      <c r="AB4" s="619"/>
      <c r="AC4" s="627"/>
      <c r="AD4" s="627"/>
      <c r="AE4" s="622"/>
    </row>
    <row r="5" spans="1:31" ht="13.5" thickBot="1" x14ac:dyDescent="0.25">
      <c r="A5" s="605"/>
      <c r="B5" s="607"/>
      <c r="C5" s="609"/>
      <c r="D5" s="607"/>
      <c r="E5" s="611"/>
      <c r="F5" s="17"/>
      <c r="G5" s="94" t="s">
        <v>79</v>
      </c>
      <c r="H5" s="614"/>
      <c r="I5" s="116"/>
      <c r="J5" s="617"/>
      <c r="K5" s="626"/>
      <c r="L5" s="620"/>
      <c r="M5" s="628"/>
      <c r="N5" s="628"/>
      <c r="O5" s="623"/>
      <c r="Q5" s="605"/>
      <c r="R5" s="607"/>
      <c r="S5" s="609"/>
      <c r="T5" s="607"/>
      <c r="U5" s="611"/>
      <c r="V5" s="17"/>
      <c r="W5" s="94" t="s">
        <v>79</v>
      </c>
      <c r="X5" s="614"/>
      <c r="Y5" s="116"/>
      <c r="Z5" s="617"/>
      <c r="AA5" s="626"/>
      <c r="AB5" s="620"/>
      <c r="AC5" s="628"/>
      <c r="AD5" s="628"/>
      <c r="AE5" s="623"/>
    </row>
    <row r="6" spans="1:31" ht="13.5" thickBot="1" x14ac:dyDescent="0.25">
      <c r="A6" s="41"/>
      <c r="B6" s="162">
        <f>IF('TAM Projet 1 (2)'!W8&gt;0,-'TAM Projet 1 (2)'!W8,-'TAM Projet 1 (2)'!N3)</f>
        <v>-187250</v>
      </c>
      <c r="C6" s="597" t="s">
        <v>32</v>
      </c>
      <c r="D6" s="597"/>
      <c r="E6" s="147"/>
      <c r="F6" s="42"/>
      <c r="G6" s="38">
        <v>0</v>
      </c>
      <c r="H6" s="112"/>
      <c r="I6" s="113">
        <f t="shared" ref="I6:I69" si="0">IF(ISNUMBER(J6),YEAR(J6),"")</f>
        <v>2008</v>
      </c>
      <c r="J6" s="39">
        <f>_datdb12</f>
        <v>39783</v>
      </c>
      <c r="K6" s="149">
        <v>0</v>
      </c>
      <c r="L6" s="150"/>
      <c r="M6" s="149">
        <f>B6</f>
        <v>-187250</v>
      </c>
      <c r="N6" s="149">
        <f>E6</f>
        <v>0</v>
      </c>
      <c r="O6" s="151">
        <f t="shared" ref="O6:O69" si="1">SUM(L6:N6)</f>
        <v>-187250</v>
      </c>
      <c r="Q6" s="41"/>
      <c r="R6" s="162">
        <f>IF('TAM Projet 1 (2)'!W16&gt;0,-'TAM Projet 1 (2)'!W16,-'TAM Projet 1 (2)'!N11)</f>
        <v>-240000</v>
      </c>
      <c r="S6" s="597" t="s">
        <v>32</v>
      </c>
      <c r="T6" s="597"/>
      <c r="U6" s="147"/>
      <c r="V6" s="42"/>
      <c r="W6" s="38">
        <v>0</v>
      </c>
      <c r="X6" s="112"/>
      <c r="Y6" s="113">
        <f t="shared" ref="Y6:Y69" si="2">IF(ISNUMBER(Z6),YEAR(Z6),"")</f>
        <v>2008</v>
      </c>
      <c r="Z6" s="39">
        <f>_datdb123</f>
        <v>39783</v>
      </c>
      <c r="AA6" s="149">
        <v>0</v>
      </c>
      <c r="AB6" s="150"/>
      <c r="AC6" s="149">
        <f>R6</f>
        <v>-240000</v>
      </c>
      <c r="AD6" s="149">
        <f>U6</f>
        <v>0</v>
      </c>
      <c r="AE6" s="151">
        <f t="shared" ref="AE6:AE69" si="3">SUM(AB6:AD6)</f>
        <v>-240000</v>
      </c>
    </row>
    <row r="7" spans="1:31" x14ac:dyDescent="0.2">
      <c r="A7" s="18"/>
      <c r="B7" s="163"/>
      <c r="C7" s="20"/>
      <c r="D7" s="19"/>
      <c r="E7" s="148"/>
      <c r="F7" s="10"/>
      <c r="G7" s="5">
        <f t="shared" ref="G7:G70" si="4">IF(K7=0,"",G6+1)</f>
        <v>1</v>
      </c>
      <c r="H7" s="7">
        <f t="shared" ref="H7:H70" si="5">IF(K7&gt;0,_nbech123+_differe1t+1-G7,"")</f>
        <v>420</v>
      </c>
      <c r="I7" s="7">
        <f t="shared" si="0"/>
        <v>2009</v>
      </c>
      <c r="J7" s="30">
        <f>DATE(YEAR(_debamort12),MONTH(_debamort12),DAY(_debamort12))</f>
        <v>39814</v>
      </c>
      <c r="K7" s="152">
        <f t="shared" ref="K7:K70" si="6">K6-M6</f>
        <v>187250</v>
      </c>
      <c r="L7" s="153">
        <f>_int1e1t</f>
        <v>290.24</v>
      </c>
      <c r="M7" s="152">
        <f>_cap1e12+B7</f>
        <v>316.67999999999995</v>
      </c>
      <c r="N7" s="154">
        <f t="shared" ref="N7:N70" si="7">IF(OR(K7=0,G7&gt;_noeechmaxi1),0,ROUND(_fraisf12+_fraisv12*K7,_nbdeci1t))+E7</f>
        <v>15.6</v>
      </c>
      <c r="O7" s="155">
        <f t="shared" si="1"/>
        <v>622.52</v>
      </c>
      <c r="Q7" s="18"/>
      <c r="R7" s="163"/>
      <c r="S7" s="20"/>
      <c r="T7" s="19"/>
      <c r="U7" s="148"/>
      <c r="V7" s="10"/>
      <c r="W7" s="5">
        <f t="shared" ref="W7:W70" si="8">IF(AA7=0,"",W6+1)</f>
        <v>1</v>
      </c>
      <c r="X7" s="7">
        <f t="shared" ref="X7:X70" si="9">IF(AA7&gt;0,_nbech1234+_differe1t1t+1-W7,"")</f>
        <v>144</v>
      </c>
      <c r="Y7" s="7">
        <f t="shared" si="2"/>
        <v>2009</v>
      </c>
      <c r="Z7" s="30">
        <f>DATE(YEAR(_debamort122),MONTH(_debamort122),DAY(_debamort122))</f>
        <v>39814</v>
      </c>
      <c r="AA7" s="152">
        <f t="shared" ref="AA7:AA70" si="10">AA6-AC6</f>
        <v>240000</v>
      </c>
      <c r="AB7" s="153">
        <f>_int1e12</f>
        <v>200</v>
      </c>
      <c r="AC7" s="152">
        <f>_cap1e123+R7</f>
        <v>0</v>
      </c>
      <c r="AD7" s="154">
        <f t="shared" ref="AD7:AD70" si="11">IF(OR(AA7=0,W7&gt;_noechmaxi1t),0,ROUND(_fraisf123+_fraisv123*AA7,_nbdeci1t1))+U7</f>
        <v>20</v>
      </c>
      <c r="AE7" s="155">
        <f t="shared" si="3"/>
        <v>220</v>
      </c>
    </row>
    <row r="8" spans="1:31" x14ac:dyDescent="0.2">
      <c r="A8" s="3"/>
      <c r="B8" s="164"/>
      <c r="C8" s="22"/>
      <c r="D8" s="21"/>
      <c r="E8" s="23"/>
      <c r="F8" s="10"/>
      <c r="G8" s="5">
        <f t="shared" si="4"/>
        <v>2</v>
      </c>
      <c r="H8" s="7">
        <f t="shared" si="5"/>
        <v>419</v>
      </c>
      <c r="I8" s="8">
        <f t="shared" si="0"/>
        <v>2009</v>
      </c>
      <c r="J8" s="31">
        <f>IF(K8=0,"",IF(_ijour12=0,MIN(DATE(YEAR(_debamort12),MONTH(_debamort12)+_MoisD+(G8-1)*_imois12,_jour212),DATE(YEAR(_debamort12),MONTH(_debamort12)+_MoisD+1+(G8-1)*_imois12,0)),DATE(YEAR(_debamort12),MONTH(_debamort12),_jour12+(G8-1)*_ijour12)))</f>
        <v>39845</v>
      </c>
      <c r="K8" s="156">
        <f t="shared" si="6"/>
        <v>186933.32</v>
      </c>
      <c r="L8" s="153">
        <f>IF(G8&lt;=_noeechmaxi1,ROUND(K8*'Données Projet 1 (2)'!A17,_nbdeci1t),0)</f>
        <v>289.75</v>
      </c>
      <c r="M8" s="152">
        <f>IF(OR(G8&lt;=_differe1t,G8&gt;_noeechmaxi1),IF(_difftotal1t,-L8,0),IF(G8&gt;=_noechremb1t,K8,IF('Données Projet 1 (2)'!B17-(L8*_echfixe1t)&gt;K8-2,K8,'Données Projet 1 (2)'!B17-(L8*_echfixe1t))))+B8</f>
        <v>317.16999999999996</v>
      </c>
      <c r="N8" s="154">
        <f t="shared" si="7"/>
        <v>15.6</v>
      </c>
      <c r="O8" s="157">
        <f t="shared" si="1"/>
        <v>622.52</v>
      </c>
      <c r="Q8" s="3"/>
      <c r="R8" s="164"/>
      <c r="S8" s="22"/>
      <c r="T8" s="21"/>
      <c r="U8" s="23"/>
      <c r="V8" s="10"/>
      <c r="W8" s="5">
        <f t="shared" si="8"/>
        <v>2</v>
      </c>
      <c r="X8" s="7">
        <f t="shared" si="9"/>
        <v>143</v>
      </c>
      <c r="Y8" s="8">
        <f t="shared" si="2"/>
        <v>2009</v>
      </c>
      <c r="Z8" s="31">
        <f>IF(AA8=0,"",IF(_ijour122=0,MIN(DATE(YEAR(_debamort122),MONTH(_debamort122)+_moisd12+(W8-1)*_imois122,__jou21),DATE(YEAR(_debamort122),MONTH(_debamort122)+_moisd12+1+(W8-1)*_imois122,0)),DATE(YEAR(_debamort122),MONTH(_debamort122),__jou123+(W8-1)*_ijour122)))</f>
        <v>39845</v>
      </c>
      <c r="AA8" s="156">
        <f t="shared" si="10"/>
        <v>240000</v>
      </c>
      <c r="AB8" s="153">
        <f>IF(W8&lt;=_noechmaxi1t,ROUND(AA8*'Données Projet 1 (2)'!H17,_nbdeci1t1),0)</f>
        <v>200</v>
      </c>
      <c r="AC8" s="152">
        <f>IF(OR(W8&lt;=_differe1t1t,W8&gt;_noechmaxi1t),IF(_difftotal1t1t,-AB8,0),IF(W8&gt;=_noechremb12,AA8,IF('Données Projet 1 (2)'!I17-(AB8*_echfixe12)&gt;AA8-2,AA8,'Données Projet 1 (2)'!I17-(AB8*_echfixe12))))+R8</f>
        <v>0</v>
      </c>
      <c r="AD8" s="154">
        <f t="shared" si="11"/>
        <v>20</v>
      </c>
      <c r="AE8" s="157">
        <f t="shared" si="3"/>
        <v>220</v>
      </c>
    </row>
    <row r="9" spans="1:31" x14ac:dyDescent="0.2">
      <c r="A9" s="3"/>
      <c r="B9" s="164"/>
      <c r="C9" s="22"/>
      <c r="D9" s="21"/>
      <c r="E9" s="23"/>
      <c r="F9" s="10"/>
      <c r="G9" s="5">
        <f t="shared" si="4"/>
        <v>3</v>
      </c>
      <c r="H9" s="7">
        <f t="shared" si="5"/>
        <v>418</v>
      </c>
      <c r="I9" s="8">
        <f t="shared" si="0"/>
        <v>2009</v>
      </c>
      <c r="J9" s="31">
        <f>IF(K9=0,"",IF(_ijour12=0,MIN(DATE(YEAR(_debamort12),MONTH(_debamort12)+(G9-1)*_imois12,_jour12),DATE(YEAR(_debamort12),MONTH(_debamort12)+1+(G9-1)*_imois12,0)),DATE(YEAR(_debamort12),MONTH(_debamort12),_jour12+(G9-1)*_ijour12)))</f>
        <v>39873</v>
      </c>
      <c r="K9" s="156">
        <f t="shared" si="6"/>
        <v>186616.15</v>
      </c>
      <c r="L9" s="153">
        <f>IF(G9&lt;=_noeechmaxi1,ROUND(K9*'Données Projet 1 (2)'!A18,_nbdeci1t),0)</f>
        <v>289.26</v>
      </c>
      <c r="M9" s="152">
        <f>IF(OR(G9&lt;=_differe1t,G9&gt;_noeechmaxi1),IF(_difftotal1t,-L9,0),IF(G9&gt;=_noechremb1t,K9,IF('Données Projet 1 (2)'!B18-(L9*_echfixe1t)&gt;K9-2,K9,'Données Projet 1 (2)'!B18-(L9*_echfixe1t))))+B9</f>
        <v>317.65999999999997</v>
      </c>
      <c r="N9" s="154">
        <f t="shared" si="7"/>
        <v>15.6</v>
      </c>
      <c r="O9" s="157">
        <f t="shared" si="1"/>
        <v>622.52</v>
      </c>
      <c r="Q9" s="3"/>
      <c r="R9" s="164"/>
      <c r="S9" s="22"/>
      <c r="T9" s="21"/>
      <c r="U9" s="23"/>
      <c r="V9" s="10"/>
      <c r="W9" s="5">
        <f t="shared" si="8"/>
        <v>3</v>
      </c>
      <c r="X9" s="7">
        <f t="shared" si="9"/>
        <v>142</v>
      </c>
      <c r="Y9" s="8">
        <f t="shared" si="2"/>
        <v>2009</v>
      </c>
      <c r="Z9" s="31">
        <f>IF(AA9=0,"",IF(_ijour122=0,MIN(DATE(YEAR(_debamort122),MONTH(_debamort122)+(W9-1)*_imois122,__jou123),DATE(YEAR(_debamort122),MONTH(_debamort122)+1+(W9-1)*_imois122,0)),DATE(YEAR(_debamort122),MONTH(_debamort122),__jou123+(W9-1)*_ijour122)))</f>
        <v>39873</v>
      </c>
      <c r="AA9" s="156">
        <f t="shared" si="10"/>
        <v>240000</v>
      </c>
      <c r="AB9" s="153">
        <f>IF(W9&lt;=_noechmaxi1t,ROUND(AA9*'Données Projet 1 (2)'!H18,_nbdeci1t1),0)</f>
        <v>200</v>
      </c>
      <c r="AC9" s="152">
        <f>IF(OR(W9&lt;=_differe1t1t,W9&gt;_noechmaxi1t),IF(_difftotal1t1t,-AB9,0),IF(W9&gt;=_noechremb12,AA9,IF('Données Projet 1 (2)'!I18-(AB9*_echfixe12)&gt;AA9-2,AA9,'Données Projet 1 (2)'!I18-(AB9*_echfixe12))))+R9</f>
        <v>0</v>
      </c>
      <c r="AD9" s="154">
        <f t="shared" si="11"/>
        <v>20</v>
      </c>
      <c r="AE9" s="157">
        <f t="shared" si="3"/>
        <v>220</v>
      </c>
    </row>
    <row r="10" spans="1:31" x14ac:dyDescent="0.2">
      <c r="A10" s="3"/>
      <c r="B10" s="164"/>
      <c r="C10" s="22"/>
      <c r="D10" s="21"/>
      <c r="E10" s="23"/>
      <c r="F10" s="10"/>
      <c r="G10" s="5">
        <f t="shared" si="4"/>
        <v>4</v>
      </c>
      <c r="H10" s="7">
        <f t="shared" si="5"/>
        <v>417</v>
      </c>
      <c r="I10" s="8">
        <f t="shared" si="0"/>
        <v>2009</v>
      </c>
      <c r="J10" s="31">
        <f>IF(K10=0,"",IF(_ijour12=0,MIN(DATE(YEAR(_debamort12),MONTH(_debamort12)+_MoisD+(G10-1)*_imois12,_jour212),DATE(YEAR(_debamort12),MONTH(_debamort12)+_MoisD+1+(G10-1)*_imois12,0)),DATE(YEAR(_debamort12),MONTH(_debamort12),_jour12+(G10-1)*_ijour12)))</f>
        <v>39904</v>
      </c>
      <c r="K10" s="156">
        <f t="shared" si="6"/>
        <v>186298.49</v>
      </c>
      <c r="L10" s="153">
        <f>IF(G10&lt;=_noeechmaxi1,ROUND(K10*'Données Projet 1 (2)'!A19,_nbdeci1t),0)</f>
        <v>288.76</v>
      </c>
      <c r="M10" s="152">
        <f>IF(OR(G10&lt;=_differe1t,G10&gt;_noeechmaxi1),IF(_difftotal1t,-L10,0),IF(G10&gt;=_noechremb1t,K10,IF('Données Projet 1 (2)'!B19-(L10*_echfixe1t)&gt;K10-2,K10,'Données Projet 1 (2)'!B19-(L10*_echfixe1t))))+B10</f>
        <v>318.15999999999997</v>
      </c>
      <c r="N10" s="154">
        <f t="shared" si="7"/>
        <v>15.6</v>
      </c>
      <c r="O10" s="157">
        <f t="shared" si="1"/>
        <v>622.52</v>
      </c>
      <c r="Q10" s="3"/>
      <c r="R10" s="164"/>
      <c r="S10" s="22"/>
      <c r="T10" s="21"/>
      <c r="U10" s="23"/>
      <c r="V10" s="10"/>
      <c r="W10" s="5">
        <f t="shared" si="8"/>
        <v>4</v>
      </c>
      <c r="X10" s="7">
        <f t="shared" si="9"/>
        <v>141</v>
      </c>
      <c r="Y10" s="8">
        <f t="shared" si="2"/>
        <v>2009</v>
      </c>
      <c r="Z10" s="31">
        <f>IF(AA10=0,"",IF(_ijour122=0,MIN(DATE(YEAR(_debamort122),MONTH(_debamort122)+_moisd12+(W10-1)*_imois122,__jou21),DATE(YEAR(_debamort122),MONTH(_debamort122)+_moisd12+1+(W10-1)*_imois122,0)),DATE(YEAR(_debamort122),MONTH(_debamort122),__jou123+(W10-1)*_ijour122)))</f>
        <v>39904</v>
      </c>
      <c r="AA10" s="156">
        <f t="shared" si="10"/>
        <v>240000</v>
      </c>
      <c r="AB10" s="153">
        <f>IF(W10&lt;=_noechmaxi1t,ROUND(AA10*'Données Projet 1 (2)'!H19,_nbdeci1t1),0)</f>
        <v>200</v>
      </c>
      <c r="AC10" s="152">
        <f>IF(OR(W10&lt;=_differe1t1t,W10&gt;_noechmaxi1t),IF(_difftotal1t1t,-AB10,0),IF(W10&gt;=_noechremb12,AA10,IF('Données Projet 1 (2)'!I19-(AB10*_echfixe12)&gt;AA10-2,AA10,'Données Projet 1 (2)'!I19-(AB10*_echfixe12))))+R10</f>
        <v>0</v>
      </c>
      <c r="AD10" s="154">
        <f t="shared" si="11"/>
        <v>20</v>
      </c>
      <c r="AE10" s="157">
        <f t="shared" si="3"/>
        <v>220</v>
      </c>
    </row>
    <row r="11" spans="1:31" x14ac:dyDescent="0.2">
      <c r="A11" s="3"/>
      <c r="B11" s="164"/>
      <c r="C11" s="22"/>
      <c r="D11" s="21"/>
      <c r="E11" s="23"/>
      <c r="F11" s="10"/>
      <c r="G11" s="5">
        <f t="shared" si="4"/>
        <v>5</v>
      </c>
      <c r="H11" s="7">
        <f t="shared" si="5"/>
        <v>416</v>
      </c>
      <c r="I11" s="8">
        <f t="shared" si="0"/>
        <v>2009</v>
      </c>
      <c r="J11" s="31">
        <f>IF(K11=0,"",IF(_ijour12=0,MIN(DATE(YEAR(_debamort12),MONTH(_debamort12)+(G11-1)*_imois12,_jour12),DATE(YEAR(_debamort12),MONTH(_debamort12)+1+(G11-1)*_imois12,0)),DATE(YEAR(_debamort12),MONTH(_debamort12),_jour12+(G11-1)*_ijour12)))</f>
        <v>39934</v>
      </c>
      <c r="K11" s="156">
        <f t="shared" si="6"/>
        <v>185980.33</v>
      </c>
      <c r="L11" s="153">
        <f>IF(G11&lt;=_noeechmaxi1,ROUND(K11*'Données Projet 1 (2)'!A20,_nbdeci1t),0)</f>
        <v>288.27</v>
      </c>
      <c r="M11" s="152">
        <f>IF(OR(G11&lt;=_differe1t,G11&gt;_noeechmaxi1),IF(_difftotal1t,-L11,0),IF(G11&gt;=_noechremb1t,K11,IF('Données Projet 1 (2)'!B20-(L11*_echfixe1t)&gt;K11-2,K11,'Données Projet 1 (2)'!B20-(L11*_echfixe1t))))+B11</f>
        <v>318.64999999999998</v>
      </c>
      <c r="N11" s="154">
        <f t="shared" si="7"/>
        <v>15.6</v>
      </c>
      <c r="O11" s="157">
        <f t="shared" si="1"/>
        <v>622.52</v>
      </c>
      <c r="Q11" s="3"/>
      <c r="R11" s="164"/>
      <c r="S11" s="22"/>
      <c r="T11" s="21"/>
      <c r="U11" s="23"/>
      <c r="V11" s="10"/>
      <c r="W11" s="5">
        <f t="shared" si="8"/>
        <v>5</v>
      </c>
      <c r="X11" s="7">
        <f t="shared" si="9"/>
        <v>140</v>
      </c>
      <c r="Y11" s="8">
        <f t="shared" si="2"/>
        <v>2009</v>
      </c>
      <c r="Z11" s="31">
        <f>IF(AA11=0,"",IF(_ijour122=0,MIN(DATE(YEAR(_debamort122),MONTH(_debamort122)+(W11-1)*_imois122,__jou123),DATE(YEAR(_debamort122),MONTH(_debamort122)+1+(W11-1)*_imois122,0)),DATE(YEAR(_debamort122),MONTH(_debamort122),__jou123+(W11-1)*_ijour122)))</f>
        <v>39934</v>
      </c>
      <c r="AA11" s="156">
        <f t="shared" si="10"/>
        <v>240000</v>
      </c>
      <c r="AB11" s="153">
        <f>IF(W11&lt;=_noechmaxi1t,ROUND(AA11*'Données Projet 1 (2)'!H20,_nbdeci1t1),0)</f>
        <v>200</v>
      </c>
      <c r="AC11" s="152">
        <f>IF(OR(W11&lt;=_differe1t1t,W11&gt;_noechmaxi1t),IF(_difftotal1t1t,-AB11,0),IF(W11&gt;=_noechremb12,AA11,IF('Données Projet 1 (2)'!I20-(AB11*_echfixe12)&gt;AA11-2,AA11,'Données Projet 1 (2)'!I20-(AB11*_echfixe12))))+R11</f>
        <v>0</v>
      </c>
      <c r="AD11" s="154">
        <f t="shared" si="11"/>
        <v>20</v>
      </c>
      <c r="AE11" s="157">
        <f t="shared" si="3"/>
        <v>220</v>
      </c>
    </row>
    <row r="12" spans="1:31" x14ac:dyDescent="0.2">
      <c r="A12" s="3"/>
      <c r="B12" s="164"/>
      <c r="C12" s="22"/>
      <c r="D12" s="21"/>
      <c r="E12" s="23"/>
      <c r="F12" s="10"/>
      <c r="G12" s="5">
        <f t="shared" si="4"/>
        <v>6</v>
      </c>
      <c r="H12" s="7">
        <f t="shared" si="5"/>
        <v>415</v>
      </c>
      <c r="I12" s="8">
        <f t="shared" si="0"/>
        <v>2009</v>
      </c>
      <c r="J12" s="31">
        <f>IF(K12=0,"",IF(_ijour12=0,MIN(DATE(YEAR(_debamort12),MONTH(_debamort12)+_MoisD+(G12-1)*_imois12,_jour212),DATE(YEAR(_debamort12),MONTH(_debamort12)+_MoisD+1+(G12-1)*_imois12,0)),DATE(YEAR(_debamort12),MONTH(_debamort12),_jour12+(G12-1)*_ijour12)))</f>
        <v>39965</v>
      </c>
      <c r="K12" s="156">
        <f t="shared" si="6"/>
        <v>185661.68</v>
      </c>
      <c r="L12" s="153">
        <f>IF(G12&lt;=_noeechmaxi1,ROUND(K12*'Données Projet 1 (2)'!A21,_nbdeci1t),0)</f>
        <v>287.77999999999997</v>
      </c>
      <c r="M12" s="152">
        <f>IF(OR(G12&lt;=_differe1t,G12&gt;_noeechmaxi1),IF(_difftotal1t,-L12,0),IF(G12&gt;=_noechremb1t,K12,IF('Données Projet 1 (2)'!B21-(L12*_echfixe1t)&gt;K12-2,K12,'Données Projet 1 (2)'!B21-(L12*_echfixe1t))))+B12</f>
        <v>319.14</v>
      </c>
      <c r="N12" s="154">
        <f t="shared" si="7"/>
        <v>15.6</v>
      </c>
      <c r="O12" s="157">
        <f t="shared" si="1"/>
        <v>622.52</v>
      </c>
      <c r="Q12" s="3"/>
      <c r="R12" s="164"/>
      <c r="S12" s="22"/>
      <c r="T12" s="21"/>
      <c r="U12" s="23"/>
      <c r="V12" s="10"/>
      <c r="W12" s="5">
        <f t="shared" si="8"/>
        <v>6</v>
      </c>
      <c r="X12" s="7">
        <f t="shared" si="9"/>
        <v>139</v>
      </c>
      <c r="Y12" s="8">
        <f t="shared" si="2"/>
        <v>2009</v>
      </c>
      <c r="Z12" s="31">
        <f>IF(AA12=0,"",IF(_ijour122=0,MIN(DATE(YEAR(_debamort122),MONTH(_debamort122)+_moisd12+(W12-1)*_imois122,__jou21),DATE(YEAR(_debamort122),MONTH(_debamort122)+_moisd12+1+(W12-1)*_imois122,0)),DATE(YEAR(_debamort122),MONTH(_debamort122),__jou123+(W12-1)*_ijour122)))</f>
        <v>39965</v>
      </c>
      <c r="AA12" s="156">
        <f t="shared" si="10"/>
        <v>240000</v>
      </c>
      <c r="AB12" s="153">
        <f>IF(W12&lt;=_noechmaxi1t,ROUND(AA12*'Données Projet 1 (2)'!H21,_nbdeci1t1),0)</f>
        <v>200</v>
      </c>
      <c r="AC12" s="152">
        <f>IF(OR(W12&lt;=_differe1t1t,W12&gt;_noechmaxi1t),IF(_difftotal1t1t,-AB12,0),IF(W12&gt;=_noechremb12,AA12,IF('Données Projet 1 (2)'!I21-(AB12*_echfixe12)&gt;AA12-2,AA12,'Données Projet 1 (2)'!I21-(AB12*_echfixe12))))+R12</f>
        <v>0</v>
      </c>
      <c r="AD12" s="154">
        <f t="shared" si="11"/>
        <v>20</v>
      </c>
      <c r="AE12" s="157">
        <f t="shared" si="3"/>
        <v>220</v>
      </c>
    </row>
    <row r="13" spans="1:31" x14ac:dyDescent="0.2">
      <c r="A13" s="3"/>
      <c r="B13" s="164"/>
      <c r="C13" s="22"/>
      <c r="D13" s="21"/>
      <c r="E13" s="23"/>
      <c r="F13" s="10"/>
      <c r="G13" s="5">
        <f t="shared" si="4"/>
        <v>7</v>
      </c>
      <c r="H13" s="7">
        <f t="shared" si="5"/>
        <v>414</v>
      </c>
      <c r="I13" s="8">
        <f t="shared" si="0"/>
        <v>2009</v>
      </c>
      <c r="J13" s="31">
        <f>IF(K13=0,"",IF(_ijour12=0,MIN(DATE(YEAR(_debamort12),MONTH(_debamort12)+(G13-1)*_imois12,_jour12),DATE(YEAR(_debamort12),MONTH(_debamort12)+1+(G13-1)*_imois12,0)),DATE(YEAR(_debamort12),MONTH(_debamort12),_jour12+(G13-1)*_ijour12)))</f>
        <v>39995</v>
      </c>
      <c r="K13" s="156">
        <f t="shared" si="6"/>
        <v>185342.53999999998</v>
      </c>
      <c r="L13" s="153">
        <f>IF(G13&lt;=_noeechmaxi1,ROUND(K13*'Données Projet 1 (2)'!A22,_nbdeci1t),0)</f>
        <v>287.27999999999997</v>
      </c>
      <c r="M13" s="152">
        <f>IF(OR(G13&lt;=_differe1t,G13&gt;_noeechmaxi1),IF(_difftotal1t,-L13,0),IF(G13&gt;=_noechremb1t,K13,IF('Données Projet 1 (2)'!B22-(L13*_echfixe1t)&gt;K13-2,K13,'Données Projet 1 (2)'!B22-(L13*_echfixe1t))))+B13</f>
        <v>319.64</v>
      </c>
      <c r="N13" s="154">
        <f t="shared" si="7"/>
        <v>15.6</v>
      </c>
      <c r="O13" s="157">
        <f t="shared" si="1"/>
        <v>622.52</v>
      </c>
      <c r="Q13" s="3"/>
      <c r="R13" s="164"/>
      <c r="S13" s="22"/>
      <c r="T13" s="21"/>
      <c r="U13" s="23"/>
      <c r="V13" s="10"/>
      <c r="W13" s="5">
        <f t="shared" si="8"/>
        <v>7</v>
      </c>
      <c r="X13" s="7">
        <f t="shared" si="9"/>
        <v>138</v>
      </c>
      <c r="Y13" s="8">
        <f t="shared" si="2"/>
        <v>2009</v>
      </c>
      <c r="Z13" s="31">
        <f>IF(AA13=0,"",IF(_ijour122=0,MIN(DATE(YEAR(_debamort122),MONTH(_debamort122)+(W13-1)*_imois122,__jou123),DATE(YEAR(_debamort122),MONTH(_debamort122)+1+(W13-1)*_imois122,0)),DATE(YEAR(_debamort122),MONTH(_debamort122),__jou123+(W13-1)*_ijour122)))</f>
        <v>39995</v>
      </c>
      <c r="AA13" s="156">
        <f t="shared" si="10"/>
        <v>240000</v>
      </c>
      <c r="AB13" s="153">
        <f>IF(W13&lt;=_noechmaxi1t,ROUND(AA13*'Données Projet 1 (2)'!H22,_nbdeci1t1),0)</f>
        <v>200</v>
      </c>
      <c r="AC13" s="152">
        <f>IF(OR(W13&lt;=_differe1t1t,W13&gt;_noechmaxi1t),IF(_difftotal1t1t,-AB13,0),IF(W13&gt;=_noechremb12,AA13,IF('Données Projet 1 (2)'!I22-(AB13*_echfixe12)&gt;AA13-2,AA13,'Données Projet 1 (2)'!I22-(AB13*_echfixe12))))+R13</f>
        <v>0</v>
      </c>
      <c r="AD13" s="154">
        <f t="shared" si="11"/>
        <v>20</v>
      </c>
      <c r="AE13" s="157">
        <f t="shared" si="3"/>
        <v>220</v>
      </c>
    </row>
    <row r="14" spans="1:31" x14ac:dyDescent="0.2">
      <c r="A14" s="3"/>
      <c r="B14" s="164"/>
      <c r="C14" s="22"/>
      <c r="D14" s="21"/>
      <c r="E14" s="23"/>
      <c r="F14" s="10"/>
      <c r="G14" s="5">
        <f t="shared" si="4"/>
        <v>8</v>
      </c>
      <c r="H14" s="7">
        <f t="shared" si="5"/>
        <v>413</v>
      </c>
      <c r="I14" s="8">
        <f t="shared" si="0"/>
        <v>2009</v>
      </c>
      <c r="J14" s="31">
        <f>IF(K14=0,"",IF(_ijour12=0,MIN(DATE(YEAR(_debamort12),MONTH(_debamort12)+_MoisD+(G14-1)*_imois12,_jour212),DATE(YEAR(_debamort12),MONTH(_debamort12)+_MoisD+1+(G14-1)*_imois12,0)),DATE(YEAR(_debamort12),MONTH(_debamort12),_jour12+(G14-1)*_ijour12)))</f>
        <v>40026</v>
      </c>
      <c r="K14" s="156">
        <f t="shared" si="6"/>
        <v>185022.89999999997</v>
      </c>
      <c r="L14" s="153">
        <f>IF(G14&lt;=_noeechmaxi1,ROUND(K14*'Données Projet 1 (2)'!A23,_nbdeci1t),0)</f>
        <v>286.79000000000002</v>
      </c>
      <c r="M14" s="152">
        <f>IF(OR(G14&lt;=_differe1t,G14&gt;_noeechmaxi1),IF(_difftotal1t,-L14,0),IF(G14&gt;=_noechremb1t,K14,IF('Données Projet 1 (2)'!B23-(L14*_echfixe1t)&gt;K14-2,K14,'Données Projet 1 (2)'!B23-(L14*_echfixe1t))))+B14</f>
        <v>320.12999999999994</v>
      </c>
      <c r="N14" s="154">
        <f t="shared" si="7"/>
        <v>15.6</v>
      </c>
      <c r="O14" s="157">
        <f t="shared" si="1"/>
        <v>622.52</v>
      </c>
      <c r="Q14" s="3"/>
      <c r="R14" s="164"/>
      <c r="S14" s="22"/>
      <c r="T14" s="21"/>
      <c r="U14" s="23"/>
      <c r="V14" s="10"/>
      <c r="W14" s="5">
        <f t="shared" si="8"/>
        <v>8</v>
      </c>
      <c r="X14" s="7">
        <f t="shared" si="9"/>
        <v>137</v>
      </c>
      <c r="Y14" s="8">
        <f t="shared" si="2"/>
        <v>2009</v>
      </c>
      <c r="Z14" s="31">
        <f>IF(AA14=0,"",IF(_ijour122=0,MIN(DATE(YEAR(_debamort122),MONTH(_debamort122)+_moisd12+(W14-1)*_imois122,__jou21),DATE(YEAR(_debamort122),MONTH(_debamort122)+_moisd12+1+(W14-1)*_imois122,0)),DATE(YEAR(_debamort122),MONTH(_debamort122),__jou123+(W14-1)*_ijour122)))</f>
        <v>40026</v>
      </c>
      <c r="AA14" s="156">
        <f t="shared" si="10"/>
        <v>240000</v>
      </c>
      <c r="AB14" s="153">
        <f>IF(W14&lt;=_noechmaxi1t,ROUND(AA14*'Données Projet 1 (2)'!H23,_nbdeci1t1),0)</f>
        <v>200</v>
      </c>
      <c r="AC14" s="152">
        <f>IF(OR(W14&lt;=_differe1t1t,W14&gt;_noechmaxi1t),IF(_difftotal1t1t,-AB14,0),IF(W14&gt;=_noechremb12,AA14,IF('Données Projet 1 (2)'!I23-(AB14*_echfixe12)&gt;AA14-2,AA14,'Données Projet 1 (2)'!I23-(AB14*_echfixe12))))+R14</f>
        <v>0</v>
      </c>
      <c r="AD14" s="154">
        <f t="shared" si="11"/>
        <v>20</v>
      </c>
      <c r="AE14" s="157">
        <f t="shared" si="3"/>
        <v>220</v>
      </c>
    </row>
    <row r="15" spans="1:31" x14ac:dyDescent="0.2">
      <c r="A15" s="3"/>
      <c r="B15" s="164"/>
      <c r="C15" s="22"/>
      <c r="D15" s="21"/>
      <c r="E15" s="23"/>
      <c r="F15" s="10"/>
      <c r="G15" s="5">
        <f t="shared" si="4"/>
        <v>9</v>
      </c>
      <c r="H15" s="7">
        <f t="shared" si="5"/>
        <v>412</v>
      </c>
      <c r="I15" s="8">
        <f t="shared" si="0"/>
        <v>2009</v>
      </c>
      <c r="J15" s="31">
        <f>IF(K15=0,"",IF(_ijour12=0,MIN(DATE(YEAR(_debamort12),MONTH(_debamort12)+(G15-1)*_imois12,_jour12),DATE(YEAR(_debamort12),MONTH(_debamort12)+1+(G15-1)*_imois12,0)),DATE(YEAR(_debamort12),MONTH(_debamort12),_jour12+(G15-1)*_ijour12)))</f>
        <v>40057</v>
      </c>
      <c r="K15" s="156">
        <f t="shared" si="6"/>
        <v>184702.76999999996</v>
      </c>
      <c r="L15" s="153">
        <f>IF(G15&lt;=_noeechmaxi1,ROUND(K15*'Données Projet 1 (2)'!A24,_nbdeci1t),0)</f>
        <v>286.29000000000002</v>
      </c>
      <c r="M15" s="152">
        <f>IF(OR(G15&lt;=_differe1t,G15&gt;_noeechmaxi1),IF(_difftotal1t,-L15,0),IF(G15&gt;=_noechremb1t,K15,IF('Données Projet 1 (2)'!B24-(L15*_echfixe1t)&gt;K15-2,K15,'Données Projet 1 (2)'!B24-(L15*_echfixe1t))))+B15</f>
        <v>320.62999999999994</v>
      </c>
      <c r="N15" s="154">
        <f t="shared" si="7"/>
        <v>15.6</v>
      </c>
      <c r="O15" s="157">
        <f t="shared" si="1"/>
        <v>622.52</v>
      </c>
      <c r="Q15" s="3"/>
      <c r="R15" s="164"/>
      <c r="S15" s="22"/>
      <c r="T15" s="21"/>
      <c r="U15" s="23"/>
      <c r="V15" s="10"/>
      <c r="W15" s="5">
        <f t="shared" si="8"/>
        <v>9</v>
      </c>
      <c r="X15" s="7">
        <f t="shared" si="9"/>
        <v>136</v>
      </c>
      <c r="Y15" s="8">
        <f t="shared" si="2"/>
        <v>2009</v>
      </c>
      <c r="Z15" s="31">
        <f>IF(AA15=0,"",IF(_ijour122=0,MIN(DATE(YEAR(_debamort122),MONTH(_debamort122)+(W15-1)*_imois122,__jou123),DATE(YEAR(_debamort122),MONTH(_debamort122)+1+(W15-1)*_imois122,0)),DATE(YEAR(_debamort122),MONTH(_debamort122),__jou123+(W15-1)*_ijour122)))</f>
        <v>40057</v>
      </c>
      <c r="AA15" s="156">
        <f t="shared" si="10"/>
        <v>240000</v>
      </c>
      <c r="AB15" s="153">
        <f>IF(W15&lt;=_noechmaxi1t,ROUND(AA15*'Données Projet 1 (2)'!H24,_nbdeci1t1),0)</f>
        <v>200</v>
      </c>
      <c r="AC15" s="152">
        <f>IF(OR(W15&lt;=_differe1t1t,W15&gt;_noechmaxi1t),IF(_difftotal1t1t,-AB15,0),IF(W15&gt;=_noechremb12,AA15,IF('Données Projet 1 (2)'!I24-(AB15*_echfixe12)&gt;AA15-2,AA15,'Données Projet 1 (2)'!I24-(AB15*_echfixe12))))+R15</f>
        <v>0</v>
      </c>
      <c r="AD15" s="154">
        <f t="shared" si="11"/>
        <v>20</v>
      </c>
      <c r="AE15" s="157">
        <f t="shared" si="3"/>
        <v>220</v>
      </c>
    </row>
    <row r="16" spans="1:31" x14ac:dyDescent="0.2">
      <c r="A16" s="3"/>
      <c r="B16" s="164"/>
      <c r="C16" s="22"/>
      <c r="D16" s="21"/>
      <c r="E16" s="23"/>
      <c r="F16" s="10"/>
      <c r="G16" s="5">
        <f t="shared" si="4"/>
        <v>10</v>
      </c>
      <c r="H16" s="7">
        <f t="shared" si="5"/>
        <v>411</v>
      </c>
      <c r="I16" s="8">
        <f t="shared" si="0"/>
        <v>2009</v>
      </c>
      <c r="J16" s="31">
        <f>IF(K16=0,"",IF(_ijour12=0,MIN(DATE(YEAR(_debamort12),MONTH(_debamort12)+_MoisD+(G16-1)*_imois12,_jour212),DATE(YEAR(_debamort12),MONTH(_debamort12)+_MoisD+1+(G16-1)*_imois12,0)),DATE(YEAR(_debamort12),MONTH(_debamort12),_jour12+(G16-1)*_ijour12)))</f>
        <v>40087</v>
      </c>
      <c r="K16" s="156">
        <f t="shared" si="6"/>
        <v>184382.13999999996</v>
      </c>
      <c r="L16" s="153">
        <f>IF(G16&lt;=_noeechmaxi1,ROUND(K16*'Données Projet 1 (2)'!A25,_nbdeci1t),0)</f>
        <v>285.79000000000002</v>
      </c>
      <c r="M16" s="152">
        <f>IF(OR(G16&lt;=_differe1t,G16&gt;_noeechmaxi1),IF(_difftotal1t,-L16,0),IF(G16&gt;=_noechremb1t,K16,IF('Données Projet 1 (2)'!B25-(L16*_echfixe1t)&gt;K16-2,K16,'Données Projet 1 (2)'!B25-(L16*_echfixe1t))))+B16</f>
        <v>321.12999999999994</v>
      </c>
      <c r="N16" s="154">
        <f t="shared" si="7"/>
        <v>15.6</v>
      </c>
      <c r="O16" s="157">
        <f t="shared" si="1"/>
        <v>622.52</v>
      </c>
      <c r="Q16" s="3"/>
      <c r="R16" s="164"/>
      <c r="S16" s="22"/>
      <c r="T16" s="21"/>
      <c r="U16" s="23"/>
      <c r="V16" s="10"/>
      <c r="W16" s="5">
        <f t="shared" si="8"/>
        <v>10</v>
      </c>
      <c r="X16" s="7">
        <f t="shared" si="9"/>
        <v>135</v>
      </c>
      <c r="Y16" s="8">
        <f t="shared" si="2"/>
        <v>2009</v>
      </c>
      <c r="Z16" s="31">
        <f>IF(AA16=0,"",IF(_ijour122=0,MIN(DATE(YEAR(_debamort122),MONTH(_debamort122)+_moisd12+(W16-1)*_imois122,__jou21),DATE(YEAR(_debamort122),MONTH(_debamort122)+_moisd12+1+(W16-1)*_imois122,0)),DATE(YEAR(_debamort122),MONTH(_debamort122),__jou123+(W16-1)*_ijour122)))</f>
        <v>40087</v>
      </c>
      <c r="AA16" s="156">
        <f t="shared" si="10"/>
        <v>240000</v>
      </c>
      <c r="AB16" s="153">
        <f>IF(W16&lt;=_noechmaxi1t,ROUND(AA16*'Données Projet 1 (2)'!H25,_nbdeci1t1),0)</f>
        <v>200</v>
      </c>
      <c r="AC16" s="152">
        <f>IF(OR(W16&lt;=_differe1t1t,W16&gt;_noechmaxi1t),IF(_difftotal1t1t,-AB16,0),IF(W16&gt;=_noechremb12,AA16,IF('Données Projet 1 (2)'!I25-(AB16*_echfixe12)&gt;AA16-2,AA16,'Données Projet 1 (2)'!I25-(AB16*_echfixe12))))+R16</f>
        <v>0</v>
      </c>
      <c r="AD16" s="154">
        <f t="shared" si="11"/>
        <v>20</v>
      </c>
      <c r="AE16" s="157">
        <f t="shared" si="3"/>
        <v>220</v>
      </c>
    </row>
    <row r="17" spans="1:31" x14ac:dyDescent="0.2">
      <c r="A17" s="3"/>
      <c r="B17" s="164"/>
      <c r="C17" s="22"/>
      <c r="D17" s="21"/>
      <c r="E17" s="23"/>
      <c r="F17" s="10"/>
      <c r="G17" s="5">
        <f t="shared" si="4"/>
        <v>11</v>
      </c>
      <c r="H17" s="7">
        <f t="shared" si="5"/>
        <v>410</v>
      </c>
      <c r="I17" s="8">
        <f t="shared" si="0"/>
        <v>2009</v>
      </c>
      <c r="J17" s="31">
        <f>IF(K17=0,"",IF(_ijour12=0,MIN(DATE(YEAR(_debamort12),MONTH(_debamort12)+(G17-1)*_imois12,_jour12),DATE(YEAR(_debamort12),MONTH(_debamort12)+1+(G17-1)*_imois12,0)),DATE(YEAR(_debamort12),MONTH(_debamort12),_jour12+(G17-1)*_ijour12)))</f>
        <v>40118</v>
      </c>
      <c r="K17" s="156">
        <f t="shared" si="6"/>
        <v>184061.00999999995</v>
      </c>
      <c r="L17" s="153">
        <f>IF(G17&lt;=_noeechmaxi1,ROUND(K17*'Données Projet 1 (2)'!A26,_nbdeci1t),0)</f>
        <v>285.29000000000002</v>
      </c>
      <c r="M17" s="152">
        <f>IF(OR(G17&lt;=_differe1t,G17&gt;_noeechmaxi1),IF(_difftotal1t,-L17,0),IF(G17&gt;=_noechremb1t,K17,IF('Données Projet 1 (2)'!B26-(L17*_echfixe1t)&gt;K17-2,K17,'Données Projet 1 (2)'!B26-(L17*_echfixe1t))))+B17</f>
        <v>321.62999999999994</v>
      </c>
      <c r="N17" s="154">
        <f t="shared" si="7"/>
        <v>15.6</v>
      </c>
      <c r="O17" s="157">
        <f t="shared" si="1"/>
        <v>622.52</v>
      </c>
      <c r="Q17" s="3"/>
      <c r="R17" s="164"/>
      <c r="S17" s="22"/>
      <c r="T17" s="21"/>
      <c r="U17" s="23"/>
      <c r="V17" s="10"/>
      <c r="W17" s="5">
        <f t="shared" si="8"/>
        <v>11</v>
      </c>
      <c r="X17" s="7">
        <f t="shared" si="9"/>
        <v>134</v>
      </c>
      <c r="Y17" s="8">
        <f t="shared" si="2"/>
        <v>2009</v>
      </c>
      <c r="Z17" s="31">
        <f>IF(AA17=0,"",IF(_ijour122=0,MIN(DATE(YEAR(_debamort122),MONTH(_debamort122)+(W17-1)*_imois122,__jou123),DATE(YEAR(_debamort122),MONTH(_debamort122)+1+(W17-1)*_imois122,0)),DATE(YEAR(_debamort122),MONTH(_debamort122),__jou123+(W17-1)*_ijour122)))</f>
        <v>40118</v>
      </c>
      <c r="AA17" s="156">
        <f t="shared" si="10"/>
        <v>240000</v>
      </c>
      <c r="AB17" s="153">
        <f>IF(W17&lt;=_noechmaxi1t,ROUND(AA17*'Données Projet 1 (2)'!H26,_nbdeci1t1),0)</f>
        <v>200</v>
      </c>
      <c r="AC17" s="152">
        <f>IF(OR(W17&lt;=_differe1t1t,W17&gt;_noechmaxi1t),IF(_difftotal1t1t,-AB17,0),IF(W17&gt;=_noechremb12,AA17,IF('Données Projet 1 (2)'!I26-(AB17*_echfixe12)&gt;AA17-2,AA17,'Données Projet 1 (2)'!I26-(AB17*_echfixe12))))+R17</f>
        <v>0</v>
      </c>
      <c r="AD17" s="154">
        <f t="shared" si="11"/>
        <v>20</v>
      </c>
      <c r="AE17" s="157">
        <f t="shared" si="3"/>
        <v>220</v>
      </c>
    </row>
    <row r="18" spans="1:31" x14ac:dyDescent="0.2">
      <c r="A18" s="3"/>
      <c r="B18" s="164"/>
      <c r="C18" s="22"/>
      <c r="D18" s="21"/>
      <c r="E18" s="23"/>
      <c r="F18" s="10"/>
      <c r="G18" s="5">
        <f t="shared" si="4"/>
        <v>12</v>
      </c>
      <c r="H18" s="7">
        <f t="shared" si="5"/>
        <v>409</v>
      </c>
      <c r="I18" s="8">
        <f t="shared" si="0"/>
        <v>2009</v>
      </c>
      <c r="J18" s="31">
        <f>IF(K18=0,"",IF(_ijour12=0,MIN(DATE(YEAR(_debamort12),MONTH(_debamort12)+_MoisD+(G18-1)*_imois12,_jour212),DATE(YEAR(_debamort12),MONTH(_debamort12)+_MoisD+1+(G18-1)*_imois12,0)),DATE(YEAR(_debamort12),MONTH(_debamort12),_jour12+(G18-1)*_ijour12)))</f>
        <v>40148</v>
      </c>
      <c r="K18" s="156">
        <f t="shared" si="6"/>
        <v>183739.37999999995</v>
      </c>
      <c r="L18" s="153">
        <f>IF(G18&lt;=_noeechmaxi1,ROUND(K18*'Données Projet 1 (2)'!A27,_nbdeci1t),0)</f>
        <v>284.8</v>
      </c>
      <c r="M18" s="152">
        <f>IF(OR(G18&lt;=_differe1t,G18&gt;_noeechmaxi1),IF(_difftotal1t,-L18,0),IF(G18&gt;=_noechremb1t,K18,IF('Données Projet 1 (2)'!B27-(L18*_echfixe1t)&gt;K18-2,K18,'Données Projet 1 (2)'!B27-(L18*_echfixe1t))))+B18</f>
        <v>322.11999999999995</v>
      </c>
      <c r="N18" s="154">
        <f t="shared" si="7"/>
        <v>15.6</v>
      </c>
      <c r="O18" s="157">
        <f t="shared" si="1"/>
        <v>622.52</v>
      </c>
      <c r="Q18" s="3"/>
      <c r="R18" s="164"/>
      <c r="S18" s="22"/>
      <c r="T18" s="21"/>
      <c r="U18" s="23"/>
      <c r="V18" s="10"/>
      <c r="W18" s="5">
        <f t="shared" si="8"/>
        <v>12</v>
      </c>
      <c r="X18" s="7">
        <f t="shared" si="9"/>
        <v>133</v>
      </c>
      <c r="Y18" s="8">
        <f t="shared" si="2"/>
        <v>2009</v>
      </c>
      <c r="Z18" s="31">
        <f>IF(AA18=0,"",IF(_ijour122=0,MIN(DATE(YEAR(_debamort122),MONTH(_debamort122)+_moisd12+(W18-1)*_imois122,__jou21),DATE(YEAR(_debamort122),MONTH(_debamort122)+_moisd12+1+(W18-1)*_imois122,0)),DATE(YEAR(_debamort122),MONTH(_debamort122),__jou123+(W18-1)*_ijour122)))</f>
        <v>40148</v>
      </c>
      <c r="AA18" s="156">
        <f t="shared" si="10"/>
        <v>240000</v>
      </c>
      <c r="AB18" s="153">
        <f>IF(W18&lt;=_noechmaxi1t,ROUND(AA18*'Données Projet 1 (2)'!H27,_nbdeci1t1),0)</f>
        <v>200</v>
      </c>
      <c r="AC18" s="152">
        <f>IF(OR(W18&lt;=_differe1t1t,W18&gt;_noechmaxi1t),IF(_difftotal1t1t,-AB18,0),IF(W18&gt;=_noechremb12,AA18,IF('Données Projet 1 (2)'!I27-(AB18*_echfixe12)&gt;AA18-2,AA18,'Données Projet 1 (2)'!I27-(AB18*_echfixe12))))+R18</f>
        <v>0</v>
      </c>
      <c r="AD18" s="154">
        <f t="shared" si="11"/>
        <v>20</v>
      </c>
      <c r="AE18" s="157">
        <f t="shared" si="3"/>
        <v>220</v>
      </c>
    </row>
    <row r="19" spans="1:31" x14ac:dyDescent="0.2">
      <c r="A19" s="3"/>
      <c r="B19" s="164"/>
      <c r="C19" s="22"/>
      <c r="D19" s="21"/>
      <c r="E19" s="23"/>
      <c r="F19" s="10"/>
      <c r="G19" s="5">
        <f t="shared" si="4"/>
        <v>13</v>
      </c>
      <c r="H19" s="7">
        <f t="shared" si="5"/>
        <v>408</v>
      </c>
      <c r="I19" s="8">
        <f t="shared" si="0"/>
        <v>2010</v>
      </c>
      <c r="J19" s="31">
        <f>IF(K19=0,"",IF(_ijour12=0,MIN(DATE(YEAR(_debamort12),MONTH(_debamort12)+(G19-1)*_imois12,_jour12),DATE(YEAR(_debamort12),MONTH(_debamort12)+1+(G19-1)*_imois12,0)),DATE(YEAR(_debamort12),MONTH(_debamort12),_jour12+(G19-1)*_ijour12)))</f>
        <v>40179</v>
      </c>
      <c r="K19" s="156">
        <f t="shared" si="6"/>
        <v>183417.25999999995</v>
      </c>
      <c r="L19" s="153">
        <f>IF(G19&lt;=_noeechmaxi1,ROUND(K19*'Données Projet 1 (2)'!A28,_nbdeci1t),0)</f>
        <v>284.3</v>
      </c>
      <c r="M19" s="152">
        <f>IF(OR(G19&lt;=_differe1t,G19&gt;_noeechmaxi1),IF(_difftotal1t,-L19,0),IF(G19&gt;=_noechremb1t,K19,IF('Données Projet 1 (2)'!B28-(L19*_echfixe1t)&gt;K19-2,K19,'Données Projet 1 (2)'!B28-(L19*_echfixe1t))))+B19</f>
        <v>322.61999999999995</v>
      </c>
      <c r="N19" s="154">
        <f t="shared" si="7"/>
        <v>15.6</v>
      </c>
      <c r="O19" s="157">
        <f t="shared" si="1"/>
        <v>622.52</v>
      </c>
      <c r="Q19" s="3"/>
      <c r="R19" s="164"/>
      <c r="S19" s="22"/>
      <c r="T19" s="21"/>
      <c r="U19" s="23"/>
      <c r="V19" s="10"/>
      <c r="W19" s="5">
        <f t="shared" si="8"/>
        <v>13</v>
      </c>
      <c r="X19" s="7">
        <f t="shared" si="9"/>
        <v>132</v>
      </c>
      <c r="Y19" s="8">
        <f t="shared" si="2"/>
        <v>2010</v>
      </c>
      <c r="Z19" s="31">
        <f>IF(AA19=0,"",IF(_ijour122=0,MIN(DATE(YEAR(_debamort122),MONTH(_debamort122)+(W19-1)*_imois122,__jou123),DATE(YEAR(_debamort122),MONTH(_debamort122)+1+(W19-1)*_imois122,0)),DATE(YEAR(_debamort122),MONTH(_debamort122),__jou123+(W19-1)*_ijour122)))</f>
        <v>40179</v>
      </c>
      <c r="AA19" s="156">
        <f t="shared" si="10"/>
        <v>240000</v>
      </c>
      <c r="AB19" s="153">
        <f>IF(W19&lt;=_noechmaxi1t,ROUND(AA19*'Données Projet 1 (2)'!H28,_nbdeci1t1),0)</f>
        <v>200</v>
      </c>
      <c r="AC19" s="152">
        <f>IF(OR(W19&lt;=_differe1t1t,W19&gt;_noechmaxi1t),IF(_difftotal1t1t,-AB19,0),IF(W19&gt;=_noechremb12,AA19,IF('Données Projet 1 (2)'!I28-(AB19*_echfixe12)&gt;AA19-2,AA19,'Données Projet 1 (2)'!I28-(AB19*_echfixe12))))+R19</f>
        <v>0</v>
      </c>
      <c r="AD19" s="154">
        <f t="shared" si="11"/>
        <v>20</v>
      </c>
      <c r="AE19" s="157">
        <f t="shared" si="3"/>
        <v>220</v>
      </c>
    </row>
    <row r="20" spans="1:31" x14ac:dyDescent="0.2">
      <c r="A20" s="3"/>
      <c r="B20" s="164"/>
      <c r="C20" s="22"/>
      <c r="D20" s="21"/>
      <c r="E20" s="23"/>
      <c r="F20" s="10"/>
      <c r="G20" s="5">
        <f t="shared" si="4"/>
        <v>14</v>
      </c>
      <c r="H20" s="7">
        <f t="shared" si="5"/>
        <v>407</v>
      </c>
      <c r="I20" s="8">
        <f t="shared" si="0"/>
        <v>2010</v>
      </c>
      <c r="J20" s="31">
        <f>IF(K20=0,"",IF(_ijour12=0,MIN(DATE(YEAR(_debamort12),MONTH(_debamort12)+_MoisD+(G20-1)*_imois12,_jour212),DATE(YEAR(_debamort12),MONTH(_debamort12)+_MoisD+1+(G20-1)*_imois12,0)),DATE(YEAR(_debamort12),MONTH(_debamort12),_jour12+(G20-1)*_ijour12)))</f>
        <v>40210</v>
      </c>
      <c r="K20" s="156">
        <f t="shared" si="6"/>
        <v>183094.63999999996</v>
      </c>
      <c r="L20" s="153">
        <f>IF(G20&lt;=_noeechmaxi1,ROUND(K20*'Données Projet 1 (2)'!A29,_nbdeci1t),0)</f>
        <v>283.8</v>
      </c>
      <c r="M20" s="152">
        <f>IF(OR(G20&lt;=_differe1t,G20&gt;_noeechmaxi1),IF(_difftotal1t,-L20,0),IF(G20&gt;=_noechremb1t,K20,IF('Données Projet 1 (2)'!B29-(L20*_echfixe1t)&gt;K20-2,K20,'Données Projet 1 (2)'!B29-(L20*_echfixe1t))))+B20</f>
        <v>323.11999999999995</v>
      </c>
      <c r="N20" s="154">
        <f t="shared" si="7"/>
        <v>15.6</v>
      </c>
      <c r="O20" s="157">
        <f t="shared" si="1"/>
        <v>622.52</v>
      </c>
      <c r="Q20" s="3"/>
      <c r="R20" s="164"/>
      <c r="S20" s="22"/>
      <c r="T20" s="21"/>
      <c r="U20" s="23"/>
      <c r="V20" s="10"/>
      <c r="W20" s="5">
        <f t="shared" si="8"/>
        <v>14</v>
      </c>
      <c r="X20" s="7">
        <f t="shared" si="9"/>
        <v>131</v>
      </c>
      <c r="Y20" s="8">
        <f t="shared" si="2"/>
        <v>2010</v>
      </c>
      <c r="Z20" s="31">
        <f>IF(AA20=0,"",IF(_ijour122=0,MIN(DATE(YEAR(_debamort122),MONTH(_debamort122)+_moisd12+(W20-1)*_imois122,__jou21),DATE(YEAR(_debamort122),MONTH(_debamort122)+_moisd12+1+(W20-1)*_imois122,0)),DATE(YEAR(_debamort122),MONTH(_debamort122),__jou123+(W20-1)*_ijour122)))</f>
        <v>40210</v>
      </c>
      <c r="AA20" s="156">
        <f t="shared" si="10"/>
        <v>240000</v>
      </c>
      <c r="AB20" s="153">
        <f>IF(W20&lt;=_noechmaxi1t,ROUND(AA20*'Données Projet 1 (2)'!H29,_nbdeci1t1),0)</f>
        <v>200</v>
      </c>
      <c r="AC20" s="152">
        <f>IF(OR(W20&lt;=_differe1t1t,W20&gt;_noechmaxi1t),IF(_difftotal1t1t,-AB20,0),IF(W20&gt;=_noechremb12,AA20,IF('Données Projet 1 (2)'!I29-(AB20*_echfixe12)&gt;AA20-2,AA20,'Données Projet 1 (2)'!I29-(AB20*_echfixe12))))+R20</f>
        <v>0</v>
      </c>
      <c r="AD20" s="154">
        <f t="shared" si="11"/>
        <v>20</v>
      </c>
      <c r="AE20" s="157">
        <f t="shared" si="3"/>
        <v>220</v>
      </c>
    </row>
    <row r="21" spans="1:31" x14ac:dyDescent="0.2">
      <c r="A21" s="3"/>
      <c r="B21" s="164"/>
      <c r="C21" s="22"/>
      <c r="D21" s="21"/>
      <c r="E21" s="23"/>
      <c r="F21" s="10"/>
      <c r="G21" s="5">
        <f t="shared" si="4"/>
        <v>15</v>
      </c>
      <c r="H21" s="7">
        <f t="shared" si="5"/>
        <v>406</v>
      </c>
      <c r="I21" s="8">
        <f t="shared" si="0"/>
        <v>2010</v>
      </c>
      <c r="J21" s="31">
        <f>IF(K21=0,"",IF(_ijour12=0,MIN(DATE(YEAR(_debamort12),MONTH(_debamort12)+(G21-1)*_imois12,_jour12),DATE(YEAR(_debamort12),MONTH(_debamort12)+1+(G21-1)*_imois12,0)),DATE(YEAR(_debamort12),MONTH(_debamort12),_jour12+(G21-1)*_ijour12)))</f>
        <v>40238</v>
      </c>
      <c r="K21" s="156">
        <f t="shared" si="6"/>
        <v>182771.51999999996</v>
      </c>
      <c r="L21" s="153">
        <f>IF(G21&lt;=_noeechmaxi1,ROUND(K21*'Données Projet 1 (2)'!A30,_nbdeci1t),0)</f>
        <v>283.3</v>
      </c>
      <c r="M21" s="152">
        <f>IF(OR(G21&lt;=_differe1t,G21&gt;_noeechmaxi1),IF(_difftotal1t,-L21,0),IF(G21&gt;=_noechremb1t,K21,IF('Données Projet 1 (2)'!B30-(L21*_echfixe1t)&gt;K21-2,K21,'Données Projet 1 (2)'!B30-(L21*_echfixe1t))))+B21</f>
        <v>323.61999999999995</v>
      </c>
      <c r="N21" s="154">
        <f t="shared" si="7"/>
        <v>15.6</v>
      </c>
      <c r="O21" s="157">
        <f t="shared" si="1"/>
        <v>622.52</v>
      </c>
      <c r="Q21" s="3"/>
      <c r="R21" s="164"/>
      <c r="S21" s="22"/>
      <c r="T21" s="21"/>
      <c r="U21" s="23"/>
      <c r="V21" s="10"/>
      <c r="W21" s="5">
        <f t="shared" si="8"/>
        <v>15</v>
      </c>
      <c r="X21" s="7">
        <f t="shared" si="9"/>
        <v>130</v>
      </c>
      <c r="Y21" s="8">
        <f t="shared" si="2"/>
        <v>2010</v>
      </c>
      <c r="Z21" s="31">
        <f>IF(AA21=0,"",IF(_ijour122=0,MIN(DATE(YEAR(_debamort122),MONTH(_debamort122)+(W21-1)*_imois122,__jou123),DATE(YEAR(_debamort122),MONTH(_debamort122)+1+(W21-1)*_imois122,0)),DATE(YEAR(_debamort122),MONTH(_debamort122),__jou123+(W21-1)*_ijour122)))</f>
        <v>40238</v>
      </c>
      <c r="AA21" s="156">
        <f t="shared" si="10"/>
        <v>240000</v>
      </c>
      <c r="AB21" s="153">
        <f>IF(W21&lt;=_noechmaxi1t,ROUND(AA21*'Données Projet 1 (2)'!H30,_nbdeci1t1),0)</f>
        <v>200</v>
      </c>
      <c r="AC21" s="152">
        <f>IF(OR(W21&lt;=_differe1t1t,W21&gt;_noechmaxi1t),IF(_difftotal1t1t,-AB21,0),IF(W21&gt;=_noechremb12,AA21,IF('Données Projet 1 (2)'!I30-(AB21*_echfixe12)&gt;AA21-2,AA21,'Données Projet 1 (2)'!I30-(AB21*_echfixe12))))+R21</f>
        <v>0</v>
      </c>
      <c r="AD21" s="154">
        <f t="shared" si="11"/>
        <v>20</v>
      </c>
      <c r="AE21" s="157">
        <f t="shared" si="3"/>
        <v>220</v>
      </c>
    </row>
    <row r="22" spans="1:31" x14ac:dyDescent="0.2">
      <c r="A22" s="3"/>
      <c r="B22" s="164"/>
      <c r="C22" s="22"/>
      <c r="D22" s="21"/>
      <c r="E22" s="23"/>
      <c r="F22" s="10"/>
      <c r="G22" s="5">
        <f t="shared" si="4"/>
        <v>16</v>
      </c>
      <c r="H22" s="7">
        <f t="shared" si="5"/>
        <v>405</v>
      </c>
      <c r="I22" s="8">
        <f t="shared" si="0"/>
        <v>2010</v>
      </c>
      <c r="J22" s="31">
        <f>IF(K22=0,"",IF(_ijour12=0,MIN(DATE(YEAR(_debamort12),MONTH(_debamort12)+_MoisD+(G22-1)*_imois12,_jour212),DATE(YEAR(_debamort12),MONTH(_debamort12)+_MoisD+1+(G22-1)*_imois12,0)),DATE(YEAR(_debamort12),MONTH(_debamort12),_jour12+(G22-1)*_ijour12)))</f>
        <v>40269</v>
      </c>
      <c r="K22" s="156">
        <f t="shared" si="6"/>
        <v>182447.89999999997</v>
      </c>
      <c r="L22" s="153">
        <f>IF(G22&lt;=_noeechmaxi1,ROUND(K22*'Données Projet 1 (2)'!A31,_nbdeci1t),0)</f>
        <v>282.79000000000002</v>
      </c>
      <c r="M22" s="152">
        <f>IF(OR(G22&lt;=_differe1t,G22&gt;_noeechmaxi1),IF(_difftotal1t,-L22,0),IF(G22&gt;=_noechremb1t,K22,IF('Données Projet 1 (2)'!B31-(L22*_echfixe1t)&gt;K22-2,K22,'Données Projet 1 (2)'!B31-(L22*_echfixe1t))))+B22</f>
        <v>324.12999999999994</v>
      </c>
      <c r="N22" s="154">
        <f t="shared" si="7"/>
        <v>15.6</v>
      </c>
      <c r="O22" s="157">
        <f t="shared" si="1"/>
        <v>622.52</v>
      </c>
      <c r="Q22" s="3"/>
      <c r="R22" s="164"/>
      <c r="S22" s="22"/>
      <c r="T22" s="21"/>
      <c r="U22" s="23"/>
      <c r="V22" s="10"/>
      <c r="W22" s="5">
        <f t="shared" si="8"/>
        <v>16</v>
      </c>
      <c r="X22" s="7">
        <f t="shared" si="9"/>
        <v>129</v>
      </c>
      <c r="Y22" s="8">
        <f t="shared" si="2"/>
        <v>2010</v>
      </c>
      <c r="Z22" s="31">
        <f>IF(AA22=0,"",IF(_ijour122=0,MIN(DATE(YEAR(_debamort122),MONTH(_debamort122)+_moisd12+(W22-1)*_imois122,__jou21),DATE(YEAR(_debamort122),MONTH(_debamort122)+_moisd12+1+(W22-1)*_imois122,0)),DATE(YEAR(_debamort122),MONTH(_debamort122),__jou123+(W22-1)*_ijour122)))</f>
        <v>40269</v>
      </c>
      <c r="AA22" s="156">
        <f t="shared" si="10"/>
        <v>240000</v>
      </c>
      <c r="AB22" s="153">
        <f>IF(W22&lt;=_noechmaxi1t,ROUND(AA22*'Données Projet 1 (2)'!H31,_nbdeci1t1),0)</f>
        <v>200</v>
      </c>
      <c r="AC22" s="152">
        <f>IF(OR(W22&lt;=_differe1t1t,W22&gt;_noechmaxi1t),IF(_difftotal1t1t,-AB22,0),IF(W22&gt;=_noechremb12,AA22,IF('Données Projet 1 (2)'!I31-(AB22*_echfixe12)&gt;AA22-2,AA22,'Données Projet 1 (2)'!I31-(AB22*_echfixe12))))+R22</f>
        <v>0</v>
      </c>
      <c r="AD22" s="154">
        <f t="shared" si="11"/>
        <v>20</v>
      </c>
      <c r="AE22" s="157">
        <f t="shared" si="3"/>
        <v>220</v>
      </c>
    </row>
    <row r="23" spans="1:31" x14ac:dyDescent="0.2">
      <c r="A23" s="3"/>
      <c r="B23" s="164"/>
      <c r="C23" s="22"/>
      <c r="D23" s="21"/>
      <c r="E23" s="23"/>
      <c r="F23" s="10"/>
      <c r="G23" s="5">
        <f t="shared" si="4"/>
        <v>17</v>
      </c>
      <c r="H23" s="7">
        <f t="shared" si="5"/>
        <v>404</v>
      </c>
      <c r="I23" s="8">
        <f t="shared" si="0"/>
        <v>2010</v>
      </c>
      <c r="J23" s="31">
        <f>IF(K23=0,"",IF(_ijour12=0,MIN(DATE(YEAR(_debamort12),MONTH(_debamort12)+(G23-1)*_imois12,_jour12),DATE(YEAR(_debamort12),MONTH(_debamort12)+1+(G23-1)*_imois12,0)),DATE(YEAR(_debamort12),MONTH(_debamort12),_jour12+(G23-1)*_ijour12)))</f>
        <v>40299</v>
      </c>
      <c r="K23" s="156">
        <f t="shared" si="6"/>
        <v>182123.76999999996</v>
      </c>
      <c r="L23" s="153">
        <f>IF(G23&lt;=_noeechmaxi1,ROUND(K23*'Données Projet 1 (2)'!A32,_nbdeci1t),0)</f>
        <v>282.29000000000002</v>
      </c>
      <c r="M23" s="152">
        <f>IF(OR(G23&lt;=_differe1t,G23&gt;_noeechmaxi1),IF(_difftotal1t,-L23,0),IF(G23&gt;=_noechremb1t,K23,IF('Données Projet 1 (2)'!B32-(L23*_echfixe1t)&gt;K23-2,K23,'Données Projet 1 (2)'!B32-(L23*_echfixe1t))))+B23</f>
        <v>324.62999999999994</v>
      </c>
      <c r="N23" s="154">
        <f t="shared" si="7"/>
        <v>15.6</v>
      </c>
      <c r="O23" s="157">
        <f t="shared" si="1"/>
        <v>622.52</v>
      </c>
      <c r="Q23" s="3"/>
      <c r="R23" s="164"/>
      <c r="S23" s="22"/>
      <c r="T23" s="21"/>
      <c r="U23" s="23"/>
      <c r="V23" s="10"/>
      <c r="W23" s="5">
        <f t="shared" si="8"/>
        <v>17</v>
      </c>
      <c r="X23" s="7">
        <f t="shared" si="9"/>
        <v>128</v>
      </c>
      <c r="Y23" s="8">
        <f t="shared" si="2"/>
        <v>2010</v>
      </c>
      <c r="Z23" s="31">
        <f>IF(AA23=0,"",IF(_ijour122=0,MIN(DATE(YEAR(_debamort122),MONTH(_debamort122)+(W23-1)*_imois122,__jou123),DATE(YEAR(_debamort122),MONTH(_debamort122)+1+(W23-1)*_imois122,0)),DATE(YEAR(_debamort122),MONTH(_debamort122),__jou123+(W23-1)*_ijour122)))</f>
        <v>40299</v>
      </c>
      <c r="AA23" s="156">
        <f t="shared" si="10"/>
        <v>240000</v>
      </c>
      <c r="AB23" s="153">
        <f>IF(W23&lt;=_noechmaxi1t,ROUND(AA23*'Données Projet 1 (2)'!H32,_nbdeci1t1),0)</f>
        <v>200</v>
      </c>
      <c r="AC23" s="152">
        <f>IF(OR(W23&lt;=_differe1t1t,W23&gt;_noechmaxi1t),IF(_difftotal1t1t,-AB23,0),IF(W23&gt;=_noechremb12,AA23,IF('Données Projet 1 (2)'!I32-(AB23*_echfixe12)&gt;AA23-2,AA23,'Données Projet 1 (2)'!I32-(AB23*_echfixe12))))+R23</f>
        <v>0</v>
      </c>
      <c r="AD23" s="154">
        <f t="shared" si="11"/>
        <v>20</v>
      </c>
      <c r="AE23" s="157">
        <f t="shared" si="3"/>
        <v>220</v>
      </c>
    </row>
    <row r="24" spans="1:31" x14ac:dyDescent="0.2">
      <c r="A24" s="3"/>
      <c r="B24" s="164"/>
      <c r="C24" s="22"/>
      <c r="D24" s="21"/>
      <c r="E24" s="23"/>
      <c r="F24" s="10"/>
      <c r="G24" s="5">
        <f t="shared" si="4"/>
        <v>18</v>
      </c>
      <c r="H24" s="7">
        <f t="shared" si="5"/>
        <v>403</v>
      </c>
      <c r="I24" s="8">
        <f t="shared" si="0"/>
        <v>2010</v>
      </c>
      <c r="J24" s="31">
        <f>IF(K24=0,"",IF(_ijour12=0,MIN(DATE(YEAR(_debamort12),MONTH(_debamort12)+_MoisD+(G24-1)*_imois12,_jour212),DATE(YEAR(_debamort12),MONTH(_debamort12)+_MoisD+1+(G24-1)*_imois12,0)),DATE(YEAR(_debamort12),MONTH(_debamort12),_jour12+(G24-1)*_ijour12)))</f>
        <v>40330</v>
      </c>
      <c r="K24" s="156">
        <f t="shared" si="6"/>
        <v>181799.13999999996</v>
      </c>
      <c r="L24" s="153">
        <f>IF(G24&lt;=_noeechmaxi1,ROUND(K24*'Données Projet 1 (2)'!A33,_nbdeci1t),0)</f>
        <v>281.79000000000002</v>
      </c>
      <c r="M24" s="152">
        <f>IF(OR(G24&lt;=_differe1t,G24&gt;_noeechmaxi1),IF(_difftotal1t,-L24,0),IF(G24&gt;=_noechremb1t,K24,IF('Données Projet 1 (2)'!B33-(L24*_echfixe1t)&gt;K24-2,K24,'Données Projet 1 (2)'!B33-(L24*_echfixe1t))))+B24</f>
        <v>325.12999999999994</v>
      </c>
      <c r="N24" s="154">
        <f t="shared" si="7"/>
        <v>15.6</v>
      </c>
      <c r="O24" s="157">
        <f t="shared" si="1"/>
        <v>622.52</v>
      </c>
      <c r="Q24" s="3"/>
      <c r="R24" s="164"/>
      <c r="S24" s="22"/>
      <c r="T24" s="21"/>
      <c r="U24" s="23"/>
      <c r="V24" s="10"/>
      <c r="W24" s="5">
        <f t="shared" si="8"/>
        <v>18</v>
      </c>
      <c r="X24" s="7">
        <f t="shared" si="9"/>
        <v>127</v>
      </c>
      <c r="Y24" s="8">
        <f t="shared" si="2"/>
        <v>2010</v>
      </c>
      <c r="Z24" s="31">
        <f>IF(AA24=0,"",IF(_ijour122=0,MIN(DATE(YEAR(_debamort122),MONTH(_debamort122)+_moisd12+(W24-1)*_imois122,__jou21),DATE(YEAR(_debamort122),MONTH(_debamort122)+_moisd12+1+(W24-1)*_imois122,0)),DATE(YEAR(_debamort122),MONTH(_debamort122),__jou123+(W24-1)*_ijour122)))</f>
        <v>40330</v>
      </c>
      <c r="AA24" s="156">
        <f t="shared" si="10"/>
        <v>240000</v>
      </c>
      <c r="AB24" s="153">
        <f>IF(W24&lt;=_noechmaxi1t,ROUND(AA24*'Données Projet 1 (2)'!H33,_nbdeci1t1),0)</f>
        <v>200</v>
      </c>
      <c r="AC24" s="152">
        <f>IF(OR(W24&lt;=_differe1t1t,W24&gt;_noechmaxi1t),IF(_difftotal1t1t,-AB24,0),IF(W24&gt;=_noechremb12,AA24,IF('Données Projet 1 (2)'!I33-(AB24*_echfixe12)&gt;AA24-2,AA24,'Données Projet 1 (2)'!I33-(AB24*_echfixe12))))+R24</f>
        <v>0</v>
      </c>
      <c r="AD24" s="154">
        <f t="shared" si="11"/>
        <v>20</v>
      </c>
      <c r="AE24" s="157">
        <f t="shared" si="3"/>
        <v>220</v>
      </c>
    </row>
    <row r="25" spans="1:31" x14ac:dyDescent="0.2">
      <c r="A25" s="3"/>
      <c r="B25" s="164"/>
      <c r="C25" s="22"/>
      <c r="D25" s="21"/>
      <c r="E25" s="23"/>
      <c r="F25" s="10"/>
      <c r="G25" s="5">
        <f t="shared" si="4"/>
        <v>19</v>
      </c>
      <c r="H25" s="7">
        <f t="shared" si="5"/>
        <v>402</v>
      </c>
      <c r="I25" s="8">
        <f t="shared" si="0"/>
        <v>2010</v>
      </c>
      <c r="J25" s="31">
        <f>IF(K25=0,"",IF(_ijour12=0,MIN(DATE(YEAR(_debamort12),MONTH(_debamort12)+(G25-1)*_imois12,_jour12),DATE(YEAR(_debamort12),MONTH(_debamort12)+1+(G25-1)*_imois12,0)),DATE(YEAR(_debamort12),MONTH(_debamort12),_jour12+(G25-1)*_ijour12)))</f>
        <v>40360</v>
      </c>
      <c r="K25" s="156">
        <f t="shared" si="6"/>
        <v>181474.00999999995</v>
      </c>
      <c r="L25" s="153">
        <f>IF(G25&lt;=_noeechmaxi1,ROUND(K25*'Données Projet 1 (2)'!A34,_nbdeci1t),0)</f>
        <v>281.27999999999997</v>
      </c>
      <c r="M25" s="152">
        <f>IF(OR(G25&lt;=_differe1t,G25&gt;_noeechmaxi1),IF(_difftotal1t,-L25,0),IF(G25&gt;=_noechremb1t,K25,IF('Données Projet 1 (2)'!B34-(L25*_echfixe1t)&gt;K25-2,K25,'Données Projet 1 (2)'!B34-(L25*_echfixe1t))))+B25</f>
        <v>325.64</v>
      </c>
      <c r="N25" s="154">
        <f t="shared" si="7"/>
        <v>15.6</v>
      </c>
      <c r="O25" s="157">
        <f t="shared" si="1"/>
        <v>622.52</v>
      </c>
      <c r="Q25" s="3"/>
      <c r="R25" s="164"/>
      <c r="S25" s="22"/>
      <c r="T25" s="21"/>
      <c r="U25" s="23"/>
      <c r="V25" s="10"/>
      <c r="W25" s="5">
        <f t="shared" si="8"/>
        <v>19</v>
      </c>
      <c r="X25" s="7">
        <f t="shared" si="9"/>
        <v>126</v>
      </c>
      <c r="Y25" s="8">
        <f t="shared" si="2"/>
        <v>2010</v>
      </c>
      <c r="Z25" s="31">
        <f>IF(AA25=0,"",IF(_ijour122=0,MIN(DATE(YEAR(_debamort122),MONTH(_debamort122)+(W25-1)*_imois122,__jou123),DATE(YEAR(_debamort122),MONTH(_debamort122)+1+(W25-1)*_imois122,0)),DATE(YEAR(_debamort122),MONTH(_debamort122),__jou123+(W25-1)*_ijour122)))</f>
        <v>40360</v>
      </c>
      <c r="AA25" s="156">
        <f t="shared" si="10"/>
        <v>240000</v>
      </c>
      <c r="AB25" s="153">
        <f>IF(W25&lt;=_noechmaxi1t,ROUND(AA25*'Données Projet 1 (2)'!H34,_nbdeci1t1),0)</f>
        <v>200</v>
      </c>
      <c r="AC25" s="152">
        <f>IF(OR(W25&lt;=_differe1t1t,W25&gt;_noechmaxi1t),IF(_difftotal1t1t,-AB25,0),IF(W25&gt;=_noechremb12,AA25,IF('Données Projet 1 (2)'!I34-(AB25*_echfixe12)&gt;AA25-2,AA25,'Données Projet 1 (2)'!I34-(AB25*_echfixe12))))+R25</f>
        <v>0</v>
      </c>
      <c r="AD25" s="154">
        <f t="shared" si="11"/>
        <v>20</v>
      </c>
      <c r="AE25" s="157">
        <f t="shared" si="3"/>
        <v>220</v>
      </c>
    </row>
    <row r="26" spans="1:31" x14ac:dyDescent="0.2">
      <c r="A26" s="3"/>
      <c r="B26" s="164"/>
      <c r="C26" s="22"/>
      <c r="D26" s="21"/>
      <c r="E26" s="23"/>
      <c r="F26" s="10"/>
      <c r="G26" s="5">
        <f t="shared" si="4"/>
        <v>20</v>
      </c>
      <c r="H26" s="7">
        <f t="shared" si="5"/>
        <v>401</v>
      </c>
      <c r="I26" s="8">
        <f t="shared" si="0"/>
        <v>2010</v>
      </c>
      <c r="J26" s="31">
        <f>IF(K26=0,"",IF(_ijour12=0,MIN(DATE(YEAR(_debamort12),MONTH(_debamort12)+_MoisD+(G26-1)*_imois12,_jour212),DATE(YEAR(_debamort12),MONTH(_debamort12)+_MoisD+1+(G26-1)*_imois12,0)),DATE(YEAR(_debamort12),MONTH(_debamort12),_jour12+(G26-1)*_ijour12)))</f>
        <v>40391</v>
      </c>
      <c r="K26" s="156">
        <f t="shared" si="6"/>
        <v>181148.36999999994</v>
      </c>
      <c r="L26" s="153">
        <f>IF(G26&lt;=_noeechmaxi1,ROUND(K26*'Données Projet 1 (2)'!A35,_nbdeci1t),0)</f>
        <v>280.77999999999997</v>
      </c>
      <c r="M26" s="152">
        <f>IF(OR(G26&lt;=_differe1t,G26&gt;_noeechmaxi1),IF(_difftotal1t,-L26,0),IF(G26&gt;=_noechremb1t,K26,IF('Données Projet 1 (2)'!B35-(L26*_echfixe1t)&gt;K26-2,K26,'Données Projet 1 (2)'!B35-(L26*_echfixe1t))))+B26</f>
        <v>326.14</v>
      </c>
      <c r="N26" s="154">
        <f t="shared" si="7"/>
        <v>15.6</v>
      </c>
      <c r="O26" s="157">
        <f t="shared" si="1"/>
        <v>622.52</v>
      </c>
      <c r="Q26" s="3"/>
      <c r="R26" s="164"/>
      <c r="S26" s="22"/>
      <c r="T26" s="21"/>
      <c r="U26" s="23"/>
      <c r="V26" s="10"/>
      <c r="W26" s="5">
        <f t="shared" si="8"/>
        <v>20</v>
      </c>
      <c r="X26" s="7">
        <f t="shared" si="9"/>
        <v>125</v>
      </c>
      <c r="Y26" s="8">
        <f t="shared" si="2"/>
        <v>2010</v>
      </c>
      <c r="Z26" s="31">
        <f>IF(AA26=0,"",IF(_ijour122=0,MIN(DATE(YEAR(_debamort122),MONTH(_debamort122)+_moisd12+(W26-1)*_imois122,__jou21),DATE(YEAR(_debamort122),MONTH(_debamort122)+_moisd12+1+(W26-1)*_imois122,0)),DATE(YEAR(_debamort122),MONTH(_debamort122),__jou123+(W26-1)*_ijour122)))</f>
        <v>40391</v>
      </c>
      <c r="AA26" s="156">
        <f t="shared" si="10"/>
        <v>240000</v>
      </c>
      <c r="AB26" s="153">
        <f>IF(W26&lt;=_noechmaxi1t,ROUND(AA26*'Données Projet 1 (2)'!H35,_nbdeci1t1),0)</f>
        <v>200</v>
      </c>
      <c r="AC26" s="152">
        <f>IF(OR(W26&lt;=_differe1t1t,W26&gt;_noechmaxi1t),IF(_difftotal1t1t,-AB26,0),IF(W26&gt;=_noechremb12,AA26,IF('Données Projet 1 (2)'!I35-(AB26*_echfixe12)&gt;AA26-2,AA26,'Données Projet 1 (2)'!I35-(AB26*_echfixe12))))+R26</f>
        <v>0</v>
      </c>
      <c r="AD26" s="154">
        <f t="shared" si="11"/>
        <v>20</v>
      </c>
      <c r="AE26" s="157">
        <f t="shared" si="3"/>
        <v>220</v>
      </c>
    </row>
    <row r="27" spans="1:31" x14ac:dyDescent="0.2">
      <c r="A27" s="3"/>
      <c r="B27" s="164"/>
      <c r="C27" s="22"/>
      <c r="D27" s="21"/>
      <c r="E27" s="23"/>
      <c r="F27" s="10"/>
      <c r="G27" s="5">
        <f t="shared" si="4"/>
        <v>21</v>
      </c>
      <c r="H27" s="7">
        <f t="shared" si="5"/>
        <v>400</v>
      </c>
      <c r="I27" s="8">
        <f t="shared" si="0"/>
        <v>2010</v>
      </c>
      <c r="J27" s="31">
        <f>IF(K27=0,"",IF(_ijour12=0,MIN(DATE(YEAR(_debamort12),MONTH(_debamort12)+(G27-1)*_imois12,_jour12),DATE(YEAR(_debamort12),MONTH(_debamort12)+1+(G27-1)*_imois12,0)),DATE(YEAR(_debamort12),MONTH(_debamort12),_jour12+(G27-1)*_ijour12)))</f>
        <v>40422</v>
      </c>
      <c r="K27" s="156">
        <f t="shared" si="6"/>
        <v>180822.22999999992</v>
      </c>
      <c r="L27" s="153">
        <f>IF(G27&lt;=_noeechmaxi1,ROUND(K27*'Données Projet 1 (2)'!A36,_nbdeci1t),0)</f>
        <v>280.27</v>
      </c>
      <c r="M27" s="152">
        <f>IF(OR(G27&lt;=_differe1t,G27&gt;_noeechmaxi1),IF(_difftotal1t,-L27,0),IF(G27&gt;=_noechremb1t,K27,IF('Données Projet 1 (2)'!B36-(L27*_echfixe1t)&gt;K27-2,K27,'Données Projet 1 (2)'!B36-(L27*_echfixe1t))))+B27</f>
        <v>326.64999999999998</v>
      </c>
      <c r="N27" s="154">
        <f t="shared" si="7"/>
        <v>15.6</v>
      </c>
      <c r="O27" s="157">
        <f t="shared" si="1"/>
        <v>622.52</v>
      </c>
      <c r="Q27" s="3"/>
      <c r="R27" s="164"/>
      <c r="S27" s="22"/>
      <c r="T27" s="21"/>
      <c r="U27" s="23"/>
      <c r="V27" s="10"/>
      <c r="W27" s="5">
        <f t="shared" si="8"/>
        <v>21</v>
      </c>
      <c r="X27" s="7">
        <f t="shared" si="9"/>
        <v>124</v>
      </c>
      <c r="Y27" s="8">
        <f t="shared" si="2"/>
        <v>2010</v>
      </c>
      <c r="Z27" s="31">
        <f>IF(AA27=0,"",IF(_ijour122=0,MIN(DATE(YEAR(_debamort122),MONTH(_debamort122)+(W27-1)*_imois122,__jou123),DATE(YEAR(_debamort122),MONTH(_debamort122)+1+(W27-1)*_imois122,0)),DATE(YEAR(_debamort122),MONTH(_debamort122),__jou123+(W27-1)*_ijour122)))</f>
        <v>40422</v>
      </c>
      <c r="AA27" s="156">
        <f t="shared" si="10"/>
        <v>240000</v>
      </c>
      <c r="AB27" s="153">
        <f>IF(W27&lt;=_noechmaxi1t,ROUND(AA27*'Données Projet 1 (2)'!H36,_nbdeci1t1),0)</f>
        <v>200</v>
      </c>
      <c r="AC27" s="152">
        <f>IF(OR(W27&lt;=_differe1t1t,W27&gt;_noechmaxi1t),IF(_difftotal1t1t,-AB27,0),IF(W27&gt;=_noechremb12,AA27,IF('Données Projet 1 (2)'!I36-(AB27*_echfixe12)&gt;AA27-2,AA27,'Données Projet 1 (2)'!I36-(AB27*_echfixe12))))+R27</f>
        <v>0</v>
      </c>
      <c r="AD27" s="154">
        <f t="shared" si="11"/>
        <v>20</v>
      </c>
      <c r="AE27" s="157">
        <f t="shared" si="3"/>
        <v>220</v>
      </c>
    </row>
    <row r="28" spans="1:31" x14ac:dyDescent="0.2">
      <c r="A28" s="3"/>
      <c r="B28" s="164"/>
      <c r="C28" s="22"/>
      <c r="D28" s="21"/>
      <c r="E28" s="23"/>
      <c r="F28" s="10"/>
      <c r="G28" s="5">
        <f t="shared" si="4"/>
        <v>22</v>
      </c>
      <c r="H28" s="7">
        <f t="shared" si="5"/>
        <v>399</v>
      </c>
      <c r="I28" s="8">
        <f t="shared" si="0"/>
        <v>2010</v>
      </c>
      <c r="J28" s="31">
        <f>IF(K28=0,"",IF(_ijour12=0,MIN(DATE(YEAR(_debamort12),MONTH(_debamort12)+_MoisD+(G28-1)*_imois12,_jour212),DATE(YEAR(_debamort12),MONTH(_debamort12)+_MoisD+1+(G28-1)*_imois12,0)),DATE(YEAR(_debamort12),MONTH(_debamort12),_jour12+(G28-1)*_ijour12)))</f>
        <v>40452</v>
      </c>
      <c r="K28" s="156">
        <f t="shared" si="6"/>
        <v>180495.57999999993</v>
      </c>
      <c r="L28" s="153">
        <f>IF(G28&lt;=_noeechmaxi1,ROUND(K28*'Données Projet 1 (2)'!A37,_nbdeci1t),0)</f>
        <v>279.77</v>
      </c>
      <c r="M28" s="152">
        <f>IF(OR(G28&lt;=_differe1t,G28&gt;_noeechmaxi1),IF(_difftotal1t,-L28,0),IF(G28&gt;=_noechremb1t,K28,IF('Données Projet 1 (2)'!B37-(L28*_echfixe1t)&gt;K28-2,K28,'Données Projet 1 (2)'!B37-(L28*_echfixe1t))))+B28</f>
        <v>327.14999999999998</v>
      </c>
      <c r="N28" s="154">
        <f t="shared" si="7"/>
        <v>15.6</v>
      </c>
      <c r="O28" s="157">
        <f t="shared" si="1"/>
        <v>622.52</v>
      </c>
      <c r="Q28" s="3"/>
      <c r="R28" s="164"/>
      <c r="S28" s="22"/>
      <c r="T28" s="21"/>
      <c r="U28" s="23"/>
      <c r="V28" s="10"/>
      <c r="W28" s="5">
        <f t="shared" si="8"/>
        <v>22</v>
      </c>
      <c r="X28" s="7">
        <f t="shared" si="9"/>
        <v>123</v>
      </c>
      <c r="Y28" s="8">
        <f t="shared" si="2"/>
        <v>2010</v>
      </c>
      <c r="Z28" s="31">
        <f>IF(AA28=0,"",IF(_ijour122=0,MIN(DATE(YEAR(_debamort122),MONTH(_debamort122)+_moisd12+(W28-1)*_imois122,__jou21),DATE(YEAR(_debamort122),MONTH(_debamort122)+_moisd12+1+(W28-1)*_imois122,0)),DATE(YEAR(_debamort122),MONTH(_debamort122),__jou123+(W28-1)*_ijour122)))</f>
        <v>40452</v>
      </c>
      <c r="AA28" s="156">
        <f t="shared" si="10"/>
        <v>240000</v>
      </c>
      <c r="AB28" s="153">
        <f>IF(W28&lt;=_noechmaxi1t,ROUND(AA28*'Données Projet 1 (2)'!H37,_nbdeci1t1),0)</f>
        <v>200</v>
      </c>
      <c r="AC28" s="152">
        <f>IF(OR(W28&lt;=_differe1t1t,W28&gt;_noechmaxi1t),IF(_difftotal1t1t,-AB28,0),IF(W28&gt;=_noechremb12,AA28,IF('Données Projet 1 (2)'!I37-(AB28*_echfixe12)&gt;AA28-2,AA28,'Données Projet 1 (2)'!I37-(AB28*_echfixe12))))+R28</f>
        <v>0</v>
      </c>
      <c r="AD28" s="154">
        <f t="shared" si="11"/>
        <v>20</v>
      </c>
      <c r="AE28" s="157">
        <f t="shared" si="3"/>
        <v>220</v>
      </c>
    </row>
    <row r="29" spans="1:31" x14ac:dyDescent="0.2">
      <c r="A29" s="3"/>
      <c r="B29" s="164"/>
      <c r="C29" s="22"/>
      <c r="D29" s="21"/>
      <c r="E29" s="23"/>
      <c r="F29" s="10"/>
      <c r="G29" s="5">
        <f t="shared" si="4"/>
        <v>23</v>
      </c>
      <c r="H29" s="7">
        <f t="shared" si="5"/>
        <v>398</v>
      </c>
      <c r="I29" s="8">
        <f t="shared" si="0"/>
        <v>2010</v>
      </c>
      <c r="J29" s="31">
        <f>IF(K29=0,"",IF(_ijour12=0,MIN(DATE(YEAR(_debamort12),MONTH(_debamort12)+(G29-1)*_imois12,_jour12),DATE(YEAR(_debamort12),MONTH(_debamort12)+1+(G29-1)*_imois12,0)),DATE(YEAR(_debamort12),MONTH(_debamort12),_jour12+(G29-1)*_ijour12)))</f>
        <v>40483</v>
      </c>
      <c r="K29" s="156">
        <f t="shared" si="6"/>
        <v>180168.42999999993</v>
      </c>
      <c r="L29" s="153">
        <f>IF(G29&lt;=_noeechmaxi1,ROUND(K29*'Données Projet 1 (2)'!A38,_nbdeci1t),0)</f>
        <v>279.26</v>
      </c>
      <c r="M29" s="152">
        <f>IF(OR(G29&lt;=_differe1t,G29&gt;_noeechmaxi1),IF(_difftotal1t,-L29,0),IF(G29&gt;=_noechremb1t,K29,IF('Données Projet 1 (2)'!B38-(L29*_echfixe1t)&gt;K29-2,K29,'Données Projet 1 (2)'!B38-(L29*_echfixe1t))))+B29</f>
        <v>327.65999999999997</v>
      </c>
      <c r="N29" s="154">
        <f t="shared" si="7"/>
        <v>15.6</v>
      </c>
      <c r="O29" s="157">
        <f t="shared" si="1"/>
        <v>622.52</v>
      </c>
      <c r="Q29" s="3"/>
      <c r="R29" s="164"/>
      <c r="S29" s="22"/>
      <c r="T29" s="21"/>
      <c r="U29" s="23"/>
      <c r="V29" s="10"/>
      <c r="W29" s="5">
        <f t="shared" si="8"/>
        <v>23</v>
      </c>
      <c r="X29" s="7">
        <f t="shared" si="9"/>
        <v>122</v>
      </c>
      <c r="Y29" s="8">
        <f t="shared" si="2"/>
        <v>2010</v>
      </c>
      <c r="Z29" s="31">
        <f>IF(AA29=0,"",IF(_ijour122=0,MIN(DATE(YEAR(_debamort122),MONTH(_debamort122)+(W29-1)*_imois122,__jou123),DATE(YEAR(_debamort122),MONTH(_debamort122)+1+(W29-1)*_imois122,0)),DATE(YEAR(_debamort122),MONTH(_debamort122),__jou123+(W29-1)*_ijour122)))</f>
        <v>40483</v>
      </c>
      <c r="AA29" s="156">
        <f t="shared" si="10"/>
        <v>240000</v>
      </c>
      <c r="AB29" s="153">
        <f>IF(W29&lt;=_noechmaxi1t,ROUND(AA29*'Données Projet 1 (2)'!H38,_nbdeci1t1),0)</f>
        <v>200</v>
      </c>
      <c r="AC29" s="152">
        <f>IF(OR(W29&lt;=_differe1t1t,W29&gt;_noechmaxi1t),IF(_difftotal1t1t,-AB29,0),IF(W29&gt;=_noechremb12,AA29,IF('Données Projet 1 (2)'!I38-(AB29*_echfixe12)&gt;AA29-2,AA29,'Données Projet 1 (2)'!I38-(AB29*_echfixe12))))+R29</f>
        <v>0</v>
      </c>
      <c r="AD29" s="154">
        <f t="shared" si="11"/>
        <v>20</v>
      </c>
      <c r="AE29" s="157">
        <f t="shared" si="3"/>
        <v>220</v>
      </c>
    </row>
    <row r="30" spans="1:31" x14ac:dyDescent="0.2">
      <c r="A30" s="3"/>
      <c r="B30" s="164"/>
      <c r="C30" s="22"/>
      <c r="D30" s="21"/>
      <c r="E30" s="23"/>
      <c r="F30" s="10"/>
      <c r="G30" s="5">
        <f t="shared" si="4"/>
        <v>24</v>
      </c>
      <c r="H30" s="7">
        <f t="shared" si="5"/>
        <v>397</v>
      </c>
      <c r="I30" s="8">
        <f t="shared" si="0"/>
        <v>2010</v>
      </c>
      <c r="J30" s="31">
        <f>IF(K30=0,"",IF(_ijour12=0,MIN(DATE(YEAR(_debamort12),MONTH(_debamort12)+_MoisD+(G30-1)*_imois12,_jour212),DATE(YEAR(_debamort12),MONTH(_debamort12)+_MoisD+1+(G30-1)*_imois12,0)),DATE(YEAR(_debamort12),MONTH(_debamort12),_jour12+(G30-1)*_ijour12)))</f>
        <v>40513</v>
      </c>
      <c r="K30" s="156">
        <f t="shared" si="6"/>
        <v>179840.76999999993</v>
      </c>
      <c r="L30" s="153">
        <f>IF(G30&lt;=_noeechmaxi1,ROUND(K30*'Données Projet 1 (2)'!A39,_nbdeci1t),0)</f>
        <v>278.75</v>
      </c>
      <c r="M30" s="152">
        <f>IF(OR(G30&lt;=_differe1t,G30&gt;_noeechmaxi1),IF(_difftotal1t,-L30,0),IF(G30&gt;=_noechremb1t,K30,IF('Données Projet 1 (2)'!B39-(L30*_echfixe1t)&gt;K30-2,K30,'Données Projet 1 (2)'!B39-(L30*_echfixe1t))))+B30</f>
        <v>328.16999999999996</v>
      </c>
      <c r="N30" s="154">
        <f t="shared" si="7"/>
        <v>15.6</v>
      </c>
      <c r="O30" s="157">
        <f t="shared" si="1"/>
        <v>622.52</v>
      </c>
      <c r="Q30" s="3"/>
      <c r="R30" s="164"/>
      <c r="S30" s="22"/>
      <c r="T30" s="21"/>
      <c r="U30" s="23"/>
      <c r="V30" s="10"/>
      <c r="W30" s="5">
        <f t="shared" si="8"/>
        <v>24</v>
      </c>
      <c r="X30" s="7">
        <f t="shared" si="9"/>
        <v>121</v>
      </c>
      <c r="Y30" s="8">
        <f t="shared" si="2"/>
        <v>2010</v>
      </c>
      <c r="Z30" s="31">
        <f>IF(AA30=0,"",IF(_ijour122=0,MIN(DATE(YEAR(_debamort122),MONTH(_debamort122)+_moisd12+(W30-1)*_imois122,__jou21),DATE(YEAR(_debamort122),MONTH(_debamort122)+_moisd12+1+(W30-1)*_imois122,0)),DATE(YEAR(_debamort122),MONTH(_debamort122),__jou123+(W30-1)*_ijour122)))</f>
        <v>40513</v>
      </c>
      <c r="AA30" s="156">
        <f t="shared" si="10"/>
        <v>240000</v>
      </c>
      <c r="AB30" s="153">
        <f>IF(W30&lt;=_noechmaxi1t,ROUND(AA30*'Données Projet 1 (2)'!H39,_nbdeci1t1),0)</f>
        <v>200</v>
      </c>
      <c r="AC30" s="152">
        <f>IF(OR(W30&lt;=_differe1t1t,W30&gt;_noechmaxi1t),IF(_difftotal1t1t,-AB30,0),IF(W30&gt;=_noechremb12,AA30,IF('Données Projet 1 (2)'!I39-(AB30*_echfixe12)&gt;AA30-2,AA30,'Données Projet 1 (2)'!I39-(AB30*_echfixe12))))+R30</f>
        <v>0</v>
      </c>
      <c r="AD30" s="154">
        <f t="shared" si="11"/>
        <v>20</v>
      </c>
      <c r="AE30" s="157">
        <f t="shared" si="3"/>
        <v>220</v>
      </c>
    </row>
    <row r="31" spans="1:31" x14ac:dyDescent="0.2">
      <c r="A31" s="3"/>
      <c r="B31" s="164"/>
      <c r="C31" s="22"/>
      <c r="D31" s="21"/>
      <c r="E31" s="23"/>
      <c r="F31" s="10"/>
      <c r="G31" s="5">
        <f t="shared" si="4"/>
        <v>25</v>
      </c>
      <c r="H31" s="7">
        <f t="shared" si="5"/>
        <v>396</v>
      </c>
      <c r="I31" s="8">
        <f t="shared" si="0"/>
        <v>2011</v>
      </c>
      <c r="J31" s="31">
        <f>IF(K31=0,"",IF(_ijour12=0,MIN(DATE(YEAR(_debamort12),MONTH(_debamort12)+(G31-1)*_imois12,_jour12),DATE(YEAR(_debamort12),MONTH(_debamort12)+1+(G31-1)*_imois12,0)),DATE(YEAR(_debamort12),MONTH(_debamort12),_jour12+(G31-1)*_ijour12)))</f>
        <v>40544</v>
      </c>
      <c r="K31" s="156">
        <f t="shared" si="6"/>
        <v>179512.59999999992</v>
      </c>
      <c r="L31" s="153">
        <f>IF(G31&lt;=_noeechmaxi1,ROUND(K31*'Données Projet 1 (2)'!A40,_nbdeci1t),0)</f>
        <v>278.24</v>
      </c>
      <c r="M31" s="152">
        <f>IF(OR(G31&lt;=_differe1t,G31&gt;_noeechmaxi1),IF(_difftotal1t,-L31,0),IF(G31&gt;=_noechremb1t,K31,IF('Données Projet 1 (2)'!B40-(L31*_echfixe1t)&gt;K31-2,K31,'Données Projet 1 (2)'!B40-(L31*_echfixe1t))))+B31</f>
        <v>328.67999999999995</v>
      </c>
      <c r="N31" s="154">
        <f t="shared" si="7"/>
        <v>15.6</v>
      </c>
      <c r="O31" s="157">
        <f t="shared" si="1"/>
        <v>622.52</v>
      </c>
      <c r="Q31" s="3"/>
      <c r="R31" s="164"/>
      <c r="S31" s="22"/>
      <c r="T31" s="21"/>
      <c r="U31" s="23"/>
      <c r="V31" s="10"/>
      <c r="W31" s="5">
        <f t="shared" si="8"/>
        <v>25</v>
      </c>
      <c r="X31" s="7">
        <f t="shared" si="9"/>
        <v>120</v>
      </c>
      <c r="Y31" s="8">
        <f t="shared" si="2"/>
        <v>2011</v>
      </c>
      <c r="Z31" s="31">
        <f>IF(AA31=0,"",IF(_ijour122=0,MIN(DATE(YEAR(_debamort122),MONTH(_debamort122)+(W31-1)*_imois122,__jou123),DATE(YEAR(_debamort122),MONTH(_debamort122)+1+(W31-1)*_imois122,0)),DATE(YEAR(_debamort122),MONTH(_debamort122),__jou123+(W31-1)*_ijour122)))</f>
        <v>40544</v>
      </c>
      <c r="AA31" s="156">
        <f t="shared" si="10"/>
        <v>240000</v>
      </c>
      <c r="AB31" s="153">
        <f>IF(W31&lt;=_noechmaxi1t,ROUND(AA31*'Données Projet 1 (2)'!H40,_nbdeci1t1),0)</f>
        <v>200</v>
      </c>
      <c r="AC31" s="152">
        <f>IF(OR(W31&lt;=_differe1t1t,W31&gt;_noechmaxi1t),IF(_difftotal1t1t,-AB31,0),IF(W31&gt;=_noechremb12,AA31,IF('Données Projet 1 (2)'!I40-(AB31*_echfixe12)&gt;AA31-2,AA31,'Données Projet 1 (2)'!I40-(AB31*_echfixe12))))+R31</f>
        <v>0</v>
      </c>
      <c r="AD31" s="154">
        <f t="shared" si="11"/>
        <v>20</v>
      </c>
      <c r="AE31" s="157">
        <f t="shared" si="3"/>
        <v>220</v>
      </c>
    </row>
    <row r="32" spans="1:31" x14ac:dyDescent="0.2">
      <c r="A32" s="3"/>
      <c r="B32" s="164"/>
      <c r="C32" s="22"/>
      <c r="D32" s="21"/>
      <c r="E32" s="23"/>
      <c r="F32" s="10"/>
      <c r="G32" s="5">
        <f t="shared" si="4"/>
        <v>26</v>
      </c>
      <c r="H32" s="7">
        <f t="shared" si="5"/>
        <v>395</v>
      </c>
      <c r="I32" s="8">
        <f t="shared" si="0"/>
        <v>2011</v>
      </c>
      <c r="J32" s="31">
        <f>IF(K32=0,"",IF(_ijour12=0,MIN(DATE(YEAR(_debamort12),MONTH(_debamort12)+_MoisD+(G32-1)*_imois12,_jour212),DATE(YEAR(_debamort12),MONTH(_debamort12)+_MoisD+1+(G32-1)*_imois12,0)),DATE(YEAR(_debamort12),MONTH(_debamort12),_jour12+(G32-1)*_ijour12)))</f>
        <v>40575</v>
      </c>
      <c r="K32" s="156">
        <f t="shared" si="6"/>
        <v>179183.91999999993</v>
      </c>
      <c r="L32" s="153">
        <f>IF(G32&lt;=_noeechmaxi1,ROUND(K32*'Données Projet 1 (2)'!A41,_nbdeci1t),0)</f>
        <v>277.74</v>
      </c>
      <c r="M32" s="152">
        <f>IF(OR(G32&lt;=_differe1t,G32&gt;_noeechmaxi1),IF(_difftotal1t,-L32,0),IF(G32&gt;=_noechremb1t,K32,IF('Données Projet 1 (2)'!B41-(L32*_echfixe1t)&gt;K32-2,K32,'Données Projet 1 (2)'!B41-(L32*_echfixe1t))))+B32</f>
        <v>329.17999999999995</v>
      </c>
      <c r="N32" s="154">
        <f t="shared" si="7"/>
        <v>15.6</v>
      </c>
      <c r="O32" s="157">
        <f t="shared" si="1"/>
        <v>622.52</v>
      </c>
      <c r="Q32" s="3"/>
      <c r="R32" s="164"/>
      <c r="S32" s="22"/>
      <c r="T32" s="21"/>
      <c r="U32" s="23"/>
      <c r="V32" s="10"/>
      <c r="W32" s="5">
        <f t="shared" si="8"/>
        <v>26</v>
      </c>
      <c r="X32" s="7">
        <f t="shared" si="9"/>
        <v>119</v>
      </c>
      <c r="Y32" s="8">
        <f t="shared" si="2"/>
        <v>2011</v>
      </c>
      <c r="Z32" s="31">
        <f>IF(AA32=0,"",IF(_ijour122=0,MIN(DATE(YEAR(_debamort122),MONTH(_debamort122)+_moisd12+(W32-1)*_imois122,__jou21),DATE(YEAR(_debamort122),MONTH(_debamort122)+_moisd12+1+(W32-1)*_imois122,0)),DATE(YEAR(_debamort122),MONTH(_debamort122),__jou123+(W32-1)*_ijour122)))</f>
        <v>40575</v>
      </c>
      <c r="AA32" s="156">
        <f t="shared" si="10"/>
        <v>240000</v>
      </c>
      <c r="AB32" s="153">
        <f>IF(W32&lt;=_noechmaxi1t,ROUND(AA32*'Données Projet 1 (2)'!H41,_nbdeci1t1),0)</f>
        <v>200</v>
      </c>
      <c r="AC32" s="152">
        <f>IF(OR(W32&lt;=_differe1t1t,W32&gt;_noechmaxi1t),IF(_difftotal1t1t,-AB32,0),IF(W32&gt;=_noechremb12,AA32,IF('Données Projet 1 (2)'!I41-(AB32*_echfixe12)&gt;AA32-2,AA32,'Données Projet 1 (2)'!I41-(AB32*_echfixe12))))+R32</f>
        <v>0</v>
      </c>
      <c r="AD32" s="154">
        <f t="shared" si="11"/>
        <v>20</v>
      </c>
      <c r="AE32" s="157">
        <f t="shared" si="3"/>
        <v>220</v>
      </c>
    </row>
    <row r="33" spans="1:31" x14ac:dyDescent="0.2">
      <c r="A33" s="3"/>
      <c r="B33" s="164"/>
      <c r="C33" s="22"/>
      <c r="D33" s="21"/>
      <c r="E33" s="23"/>
      <c r="F33" s="10"/>
      <c r="G33" s="5">
        <f t="shared" si="4"/>
        <v>27</v>
      </c>
      <c r="H33" s="7">
        <f t="shared" si="5"/>
        <v>394</v>
      </c>
      <c r="I33" s="8">
        <f t="shared" si="0"/>
        <v>2011</v>
      </c>
      <c r="J33" s="31">
        <f>IF(K33=0,"",IF(_ijour12=0,MIN(DATE(YEAR(_debamort12),MONTH(_debamort12)+(G33-1)*_imois12,_jour12),DATE(YEAR(_debamort12),MONTH(_debamort12)+1+(G33-1)*_imois12,0)),DATE(YEAR(_debamort12),MONTH(_debamort12),_jour12+(G33-1)*_ijour12)))</f>
        <v>40603</v>
      </c>
      <c r="K33" s="156">
        <f t="shared" si="6"/>
        <v>178854.73999999993</v>
      </c>
      <c r="L33" s="153">
        <f>IF(G33&lt;=_noeechmaxi1,ROUND(K33*'Données Projet 1 (2)'!A42,_nbdeci1t),0)</f>
        <v>277.22000000000003</v>
      </c>
      <c r="M33" s="152">
        <f>IF(OR(G33&lt;=_differe1t,G33&gt;_noeechmaxi1),IF(_difftotal1t,-L33,0),IF(G33&gt;=_noechremb1t,K33,IF('Données Projet 1 (2)'!B42-(L33*_echfixe1t)&gt;K33-2,K33,'Données Projet 1 (2)'!B42-(L33*_echfixe1t))))+B33</f>
        <v>329.69999999999993</v>
      </c>
      <c r="N33" s="154">
        <f t="shared" si="7"/>
        <v>15.6</v>
      </c>
      <c r="O33" s="157">
        <f t="shared" si="1"/>
        <v>622.52</v>
      </c>
      <c r="Q33" s="3"/>
      <c r="R33" s="164"/>
      <c r="S33" s="22"/>
      <c r="T33" s="21"/>
      <c r="U33" s="23"/>
      <c r="V33" s="10"/>
      <c r="W33" s="5">
        <f t="shared" si="8"/>
        <v>27</v>
      </c>
      <c r="X33" s="7">
        <f t="shared" si="9"/>
        <v>118</v>
      </c>
      <c r="Y33" s="8">
        <f t="shared" si="2"/>
        <v>2011</v>
      </c>
      <c r="Z33" s="31">
        <f>IF(AA33=0,"",IF(_ijour122=0,MIN(DATE(YEAR(_debamort122),MONTH(_debamort122)+(W33-1)*_imois122,__jou123),DATE(YEAR(_debamort122),MONTH(_debamort122)+1+(W33-1)*_imois122,0)),DATE(YEAR(_debamort122),MONTH(_debamort122),__jou123+(W33-1)*_ijour122)))</f>
        <v>40603</v>
      </c>
      <c r="AA33" s="156">
        <f t="shared" si="10"/>
        <v>240000</v>
      </c>
      <c r="AB33" s="153">
        <f>IF(W33&lt;=_noechmaxi1t,ROUND(AA33*'Données Projet 1 (2)'!H42,_nbdeci1t1),0)</f>
        <v>200</v>
      </c>
      <c r="AC33" s="152">
        <f>IF(OR(W33&lt;=_differe1t1t,W33&gt;_noechmaxi1t),IF(_difftotal1t1t,-AB33,0),IF(W33&gt;=_noechremb12,AA33,IF('Données Projet 1 (2)'!I42-(AB33*_echfixe12)&gt;AA33-2,AA33,'Données Projet 1 (2)'!I42-(AB33*_echfixe12))))+R33</f>
        <v>0</v>
      </c>
      <c r="AD33" s="154">
        <f t="shared" si="11"/>
        <v>20</v>
      </c>
      <c r="AE33" s="157">
        <f t="shared" si="3"/>
        <v>220</v>
      </c>
    </row>
    <row r="34" spans="1:31" x14ac:dyDescent="0.2">
      <c r="A34" s="3"/>
      <c r="B34" s="164"/>
      <c r="C34" s="22"/>
      <c r="D34" s="21"/>
      <c r="E34" s="23"/>
      <c r="F34" s="10"/>
      <c r="G34" s="5">
        <f t="shared" si="4"/>
        <v>28</v>
      </c>
      <c r="H34" s="7">
        <f t="shared" si="5"/>
        <v>393</v>
      </c>
      <c r="I34" s="8">
        <f t="shared" si="0"/>
        <v>2011</v>
      </c>
      <c r="J34" s="31">
        <f>IF(K34=0,"",IF(_ijour12=0,MIN(DATE(YEAR(_debamort12),MONTH(_debamort12)+_MoisD+(G34-1)*_imois12,_jour212),DATE(YEAR(_debamort12),MONTH(_debamort12)+_MoisD+1+(G34-1)*_imois12,0)),DATE(YEAR(_debamort12),MONTH(_debamort12),_jour12+(G34-1)*_ijour12)))</f>
        <v>40634</v>
      </c>
      <c r="K34" s="156">
        <f t="shared" si="6"/>
        <v>178525.03999999992</v>
      </c>
      <c r="L34" s="153">
        <f>IF(G34&lt;=_noeechmaxi1,ROUND(K34*'Données Projet 1 (2)'!A43,_nbdeci1t),0)</f>
        <v>276.70999999999998</v>
      </c>
      <c r="M34" s="152">
        <f>IF(OR(G34&lt;=_differe1t,G34&gt;_noeechmaxi1),IF(_difftotal1t,-L34,0),IF(G34&gt;=_noechremb1t,K34,IF('Données Projet 1 (2)'!B43-(L34*_echfixe1t)&gt;K34-2,K34,'Données Projet 1 (2)'!B43-(L34*_echfixe1t))))+B34</f>
        <v>330.21</v>
      </c>
      <c r="N34" s="154">
        <f t="shared" si="7"/>
        <v>15.6</v>
      </c>
      <c r="O34" s="157">
        <f t="shared" si="1"/>
        <v>622.52</v>
      </c>
      <c r="Q34" s="3"/>
      <c r="R34" s="164"/>
      <c r="S34" s="22"/>
      <c r="T34" s="21"/>
      <c r="U34" s="23"/>
      <c r="V34" s="10"/>
      <c r="W34" s="5">
        <f t="shared" si="8"/>
        <v>28</v>
      </c>
      <c r="X34" s="7">
        <f t="shared" si="9"/>
        <v>117</v>
      </c>
      <c r="Y34" s="8">
        <f t="shared" si="2"/>
        <v>2011</v>
      </c>
      <c r="Z34" s="31">
        <f>IF(AA34=0,"",IF(_ijour122=0,MIN(DATE(YEAR(_debamort122),MONTH(_debamort122)+_moisd12+(W34-1)*_imois122,__jou21),DATE(YEAR(_debamort122),MONTH(_debamort122)+_moisd12+1+(W34-1)*_imois122,0)),DATE(YEAR(_debamort122),MONTH(_debamort122),__jou123+(W34-1)*_ijour122)))</f>
        <v>40634</v>
      </c>
      <c r="AA34" s="156">
        <f t="shared" si="10"/>
        <v>240000</v>
      </c>
      <c r="AB34" s="153">
        <f>IF(W34&lt;=_noechmaxi1t,ROUND(AA34*'Données Projet 1 (2)'!H43,_nbdeci1t1),0)</f>
        <v>200</v>
      </c>
      <c r="AC34" s="152">
        <f>IF(OR(W34&lt;=_differe1t1t,W34&gt;_noechmaxi1t),IF(_difftotal1t1t,-AB34,0),IF(W34&gt;=_noechremb12,AA34,IF('Données Projet 1 (2)'!I43-(AB34*_echfixe12)&gt;AA34-2,AA34,'Données Projet 1 (2)'!I43-(AB34*_echfixe12))))+R34</f>
        <v>0</v>
      </c>
      <c r="AD34" s="154">
        <f t="shared" si="11"/>
        <v>20</v>
      </c>
      <c r="AE34" s="157">
        <f t="shared" si="3"/>
        <v>220</v>
      </c>
    </row>
    <row r="35" spans="1:31" x14ac:dyDescent="0.2">
      <c r="A35" s="3"/>
      <c r="B35" s="164"/>
      <c r="C35" s="22"/>
      <c r="D35" s="21"/>
      <c r="E35" s="23"/>
      <c r="F35" s="10"/>
      <c r="G35" s="5">
        <f t="shared" si="4"/>
        <v>29</v>
      </c>
      <c r="H35" s="7">
        <f t="shared" si="5"/>
        <v>392</v>
      </c>
      <c r="I35" s="8">
        <f t="shared" si="0"/>
        <v>2011</v>
      </c>
      <c r="J35" s="31">
        <f>IF(K35=0,"",IF(_ijour12=0,MIN(DATE(YEAR(_debamort12),MONTH(_debamort12)+(G35-1)*_imois12,_jour12),DATE(YEAR(_debamort12),MONTH(_debamort12)+1+(G35-1)*_imois12,0)),DATE(YEAR(_debamort12),MONTH(_debamort12),_jour12+(G35-1)*_ijour12)))</f>
        <v>40664</v>
      </c>
      <c r="K35" s="156">
        <f t="shared" si="6"/>
        <v>178194.82999999993</v>
      </c>
      <c r="L35" s="153">
        <f>IF(G35&lt;=_noeechmaxi1,ROUND(K35*'Données Projet 1 (2)'!A44,_nbdeci1t),0)</f>
        <v>276.2</v>
      </c>
      <c r="M35" s="152">
        <f>IF(OR(G35&lt;=_differe1t,G35&gt;_noeechmaxi1),IF(_difftotal1t,-L35,0),IF(G35&gt;=_noechremb1t,K35,IF('Données Projet 1 (2)'!B44-(L35*_echfixe1t)&gt;K35-2,K35,'Données Projet 1 (2)'!B44-(L35*_echfixe1t))))+B35</f>
        <v>330.71999999999997</v>
      </c>
      <c r="N35" s="154">
        <f t="shared" si="7"/>
        <v>15.6</v>
      </c>
      <c r="O35" s="157">
        <f t="shared" si="1"/>
        <v>622.52</v>
      </c>
      <c r="Q35" s="3"/>
      <c r="R35" s="164"/>
      <c r="S35" s="22"/>
      <c r="T35" s="21"/>
      <c r="U35" s="23"/>
      <c r="V35" s="10"/>
      <c r="W35" s="5">
        <f t="shared" si="8"/>
        <v>29</v>
      </c>
      <c r="X35" s="7">
        <f t="shared" si="9"/>
        <v>116</v>
      </c>
      <c r="Y35" s="8">
        <f t="shared" si="2"/>
        <v>2011</v>
      </c>
      <c r="Z35" s="31">
        <f>IF(AA35=0,"",IF(_ijour122=0,MIN(DATE(YEAR(_debamort122),MONTH(_debamort122)+(W35-1)*_imois122,__jou123),DATE(YEAR(_debamort122),MONTH(_debamort122)+1+(W35-1)*_imois122,0)),DATE(YEAR(_debamort122),MONTH(_debamort122),__jou123+(W35-1)*_ijour122)))</f>
        <v>40664</v>
      </c>
      <c r="AA35" s="156">
        <f t="shared" si="10"/>
        <v>240000</v>
      </c>
      <c r="AB35" s="153">
        <f>IF(W35&lt;=_noechmaxi1t,ROUND(AA35*'Données Projet 1 (2)'!H44,_nbdeci1t1),0)</f>
        <v>200</v>
      </c>
      <c r="AC35" s="152">
        <f>IF(OR(W35&lt;=_differe1t1t,W35&gt;_noechmaxi1t),IF(_difftotal1t1t,-AB35,0),IF(W35&gt;=_noechremb12,AA35,IF('Données Projet 1 (2)'!I44-(AB35*_echfixe12)&gt;AA35-2,AA35,'Données Projet 1 (2)'!I44-(AB35*_echfixe12))))+R35</f>
        <v>0</v>
      </c>
      <c r="AD35" s="154">
        <f t="shared" si="11"/>
        <v>20</v>
      </c>
      <c r="AE35" s="157">
        <f t="shared" si="3"/>
        <v>220</v>
      </c>
    </row>
    <row r="36" spans="1:31" x14ac:dyDescent="0.2">
      <c r="A36" s="3"/>
      <c r="B36" s="164"/>
      <c r="C36" s="22"/>
      <c r="D36" s="21"/>
      <c r="E36" s="23"/>
      <c r="F36" s="10"/>
      <c r="G36" s="5">
        <f t="shared" si="4"/>
        <v>30</v>
      </c>
      <c r="H36" s="7">
        <f t="shared" si="5"/>
        <v>391</v>
      </c>
      <c r="I36" s="8">
        <f t="shared" si="0"/>
        <v>2011</v>
      </c>
      <c r="J36" s="31">
        <f>IF(K36=0,"",IF(_ijour12=0,MIN(DATE(YEAR(_debamort12),MONTH(_debamort12)+_MoisD+(G36-1)*_imois12,_jour212),DATE(YEAR(_debamort12),MONTH(_debamort12)+_MoisD+1+(G36-1)*_imois12,0)),DATE(YEAR(_debamort12),MONTH(_debamort12),_jour12+(G36-1)*_ijour12)))</f>
        <v>40695</v>
      </c>
      <c r="K36" s="156">
        <f t="shared" si="6"/>
        <v>177864.10999999993</v>
      </c>
      <c r="L36" s="153">
        <f>IF(G36&lt;=_noeechmaxi1,ROUND(K36*'Données Projet 1 (2)'!A45,_nbdeci1t),0)</f>
        <v>275.69</v>
      </c>
      <c r="M36" s="152">
        <f>IF(OR(G36&lt;=_differe1t,G36&gt;_noeechmaxi1),IF(_difftotal1t,-L36,0),IF(G36&gt;=_noechremb1t,K36,IF('Données Projet 1 (2)'!B45-(L36*_echfixe1t)&gt;K36-2,K36,'Données Projet 1 (2)'!B45-(L36*_echfixe1t))))+B36</f>
        <v>331.22999999999996</v>
      </c>
      <c r="N36" s="154">
        <f t="shared" si="7"/>
        <v>15.6</v>
      </c>
      <c r="O36" s="157">
        <f t="shared" si="1"/>
        <v>622.52</v>
      </c>
      <c r="Q36" s="3"/>
      <c r="R36" s="164"/>
      <c r="S36" s="22"/>
      <c r="T36" s="21"/>
      <c r="U36" s="23"/>
      <c r="V36" s="10"/>
      <c r="W36" s="5">
        <f t="shared" si="8"/>
        <v>30</v>
      </c>
      <c r="X36" s="7">
        <f t="shared" si="9"/>
        <v>115</v>
      </c>
      <c r="Y36" s="8">
        <f t="shared" si="2"/>
        <v>2011</v>
      </c>
      <c r="Z36" s="31">
        <f>IF(AA36=0,"",IF(_ijour122=0,MIN(DATE(YEAR(_debamort122),MONTH(_debamort122)+_moisd12+(W36-1)*_imois122,__jou21),DATE(YEAR(_debamort122),MONTH(_debamort122)+_moisd12+1+(W36-1)*_imois122,0)),DATE(YEAR(_debamort122),MONTH(_debamort122),__jou123+(W36-1)*_ijour122)))</f>
        <v>40695</v>
      </c>
      <c r="AA36" s="156">
        <f t="shared" si="10"/>
        <v>240000</v>
      </c>
      <c r="AB36" s="153">
        <f>IF(W36&lt;=_noechmaxi1t,ROUND(AA36*'Données Projet 1 (2)'!H45,_nbdeci1t1),0)</f>
        <v>200</v>
      </c>
      <c r="AC36" s="152">
        <f>IF(OR(W36&lt;=_differe1t1t,W36&gt;_noechmaxi1t),IF(_difftotal1t1t,-AB36,0),IF(W36&gt;=_noechremb12,AA36,IF('Données Projet 1 (2)'!I45-(AB36*_echfixe12)&gt;AA36-2,AA36,'Données Projet 1 (2)'!I45-(AB36*_echfixe12))))+R36</f>
        <v>0</v>
      </c>
      <c r="AD36" s="154">
        <f t="shared" si="11"/>
        <v>20</v>
      </c>
      <c r="AE36" s="157">
        <f t="shared" si="3"/>
        <v>220</v>
      </c>
    </row>
    <row r="37" spans="1:31" x14ac:dyDescent="0.2">
      <c r="A37" s="3"/>
      <c r="B37" s="164"/>
      <c r="C37" s="22"/>
      <c r="D37" s="21"/>
      <c r="E37" s="23"/>
      <c r="F37" s="10"/>
      <c r="G37" s="5">
        <f t="shared" si="4"/>
        <v>31</v>
      </c>
      <c r="H37" s="7">
        <f t="shared" si="5"/>
        <v>390</v>
      </c>
      <c r="I37" s="8">
        <f t="shared" si="0"/>
        <v>2011</v>
      </c>
      <c r="J37" s="31">
        <f>IF(K37=0,"",IF(_ijour12=0,MIN(DATE(YEAR(_debamort12),MONTH(_debamort12)+(G37-1)*_imois12,_jour12),DATE(YEAR(_debamort12),MONTH(_debamort12)+1+(G37-1)*_imois12,0)),DATE(YEAR(_debamort12),MONTH(_debamort12),_jour12+(G37-1)*_ijour12)))</f>
        <v>40725</v>
      </c>
      <c r="K37" s="156">
        <f t="shared" si="6"/>
        <v>177532.87999999992</v>
      </c>
      <c r="L37" s="153">
        <f>IF(G37&lt;=_noeechmaxi1,ROUND(K37*'Données Projet 1 (2)'!A46,_nbdeci1t),0)</f>
        <v>275.18</v>
      </c>
      <c r="M37" s="152">
        <f>IF(OR(G37&lt;=_differe1t,G37&gt;_noeechmaxi1),IF(_difftotal1t,-L37,0),IF(G37&gt;=_noechremb1t,K37,IF('Données Projet 1 (2)'!B46-(L37*_echfixe1t)&gt;K37-2,K37,'Données Projet 1 (2)'!B46-(L37*_echfixe1t))))+B37</f>
        <v>331.73999999999995</v>
      </c>
      <c r="N37" s="154">
        <f t="shared" si="7"/>
        <v>15.6</v>
      </c>
      <c r="O37" s="157">
        <f t="shared" si="1"/>
        <v>622.52</v>
      </c>
      <c r="Q37" s="3"/>
      <c r="R37" s="164"/>
      <c r="S37" s="22"/>
      <c r="T37" s="21"/>
      <c r="U37" s="23"/>
      <c r="V37" s="10"/>
      <c r="W37" s="5">
        <f t="shared" si="8"/>
        <v>31</v>
      </c>
      <c r="X37" s="7">
        <f t="shared" si="9"/>
        <v>114</v>
      </c>
      <c r="Y37" s="8">
        <f t="shared" si="2"/>
        <v>2011</v>
      </c>
      <c r="Z37" s="31">
        <f>IF(AA37=0,"",IF(_ijour122=0,MIN(DATE(YEAR(_debamort122),MONTH(_debamort122)+(W37-1)*_imois122,__jou123),DATE(YEAR(_debamort122),MONTH(_debamort122)+1+(W37-1)*_imois122,0)),DATE(YEAR(_debamort122),MONTH(_debamort122),__jou123+(W37-1)*_ijour122)))</f>
        <v>40725</v>
      </c>
      <c r="AA37" s="156">
        <f t="shared" si="10"/>
        <v>240000</v>
      </c>
      <c r="AB37" s="153">
        <f>IF(W37&lt;=_noechmaxi1t,ROUND(AA37*'Données Projet 1 (2)'!H46,_nbdeci1t1),0)</f>
        <v>200</v>
      </c>
      <c r="AC37" s="152">
        <f>IF(OR(W37&lt;=_differe1t1t,W37&gt;_noechmaxi1t),IF(_difftotal1t1t,-AB37,0),IF(W37&gt;=_noechremb12,AA37,IF('Données Projet 1 (2)'!I46-(AB37*_echfixe12)&gt;AA37-2,AA37,'Données Projet 1 (2)'!I46-(AB37*_echfixe12))))+R37</f>
        <v>0</v>
      </c>
      <c r="AD37" s="154">
        <f t="shared" si="11"/>
        <v>20</v>
      </c>
      <c r="AE37" s="157">
        <f t="shared" si="3"/>
        <v>220</v>
      </c>
    </row>
    <row r="38" spans="1:31" x14ac:dyDescent="0.2">
      <c r="A38" s="3"/>
      <c r="B38" s="164"/>
      <c r="C38" s="22"/>
      <c r="D38" s="21"/>
      <c r="E38" s="23"/>
      <c r="F38" s="10"/>
      <c r="G38" s="5">
        <f t="shared" si="4"/>
        <v>32</v>
      </c>
      <c r="H38" s="7">
        <f t="shared" si="5"/>
        <v>389</v>
      </c>
      <c r="I38" s="8">
        <f t="shared" si="0"/>
        <v>2011</v>
      </c>
      <c r="J38" s="31">
        <f>IF(K38=0,"",IF(_ijour12=0,MIN(DATE(YEAR(_debamort12),MONTH(_debamort12)+_MoisD+(G38-1)*_imois12,_jour212),DATE(YEAR(_debamort12),MONTH(_debamort12)+_MoisD+1+(G38-1)*_imois12,0)),DATE(YEAR(_debamort12),MONTH(_debamort12),_jour12+(G38-1)*_ijour12)))</f>
        <v>40756</v>
      </c>
      <c r="K38" s="156">
        <f t="shared" si="6"/>
        <v>177201.13999999993</v>
      </c>
      <c r="L38" s="153">
        <f>IF(G38&lt;=_noeechmaxi1,ROUND(K38*'Données Projet 1 (2)'!A47,_nbdeci1t),0)</f>
        <v>274.66000000000003</v>
      </c>
      <c r="M38" s="152">
        <f>IF(OR(G38&lt;=_differe1t,G38&gt;_noeechmaxi1),IF(_difftotal1t,-L38,0),IF(G38&gt;=_noechremb1t,K38,IF('Données Projet 1 (2)'!B47-(L38*_echfixe1t)&gt;K38-2,K38,'Données Projet 1 (2)'!B47-(L38*_echfixe1t))))+B38</f>
        <v>332.25999999999993</v>
      </c>
      <c r="N38" s="154">
        <f t="shared" si="7"/>
        <v>15.6</v>
      </c>
      <c r="O38" s="157">
        <f t="shared" si="1"/>
        <v>622.52</v>
      </c>
      <c r="Q38" s="3"/>
      <c r="R38" s="164"/>
      <c r="S38" s="22"/>
      <c r="T38" s="21"/>
      <c r="U38" s="23"/>
      <c r="V38" s="10"/>
      <c r="W38" s="5">
        <f t="shared" si="8"/>
        <v>32</v>
      </c>
      <c r="X38" s="7">
        <f t="shared" si="9"/>
        <v>113</v>
      </c>
      <c r="Y38" s="8">
        <f t="shared" si="2"/>
        <v>2011</v>
      </c>
      <c r="Z38" s="31">
        <f>IF(AA38=0,"",IF(_ijour122=0,MIN(DATE(YEAR(_debamort122),MONTH(_debamort122)+_moisd12+(W38-1)*_imois122,__jou21),DATE(YEAR(_debamort122),MONTH(_debamort122)+_moisd12+1+(W38-1)*_imois122,0)),DATE(YEAR(_debamort122),MONTH(_debamort122),__jou123+(W38-1)*_ijour122)))</f>
        <v>40756</v>
      </c>
      <c r="AA38" s="156">
        <f t="shared" si="10"/>
        <v>240000</v>
      </c>
      <c r="AB38" s="153">
        <f>IF(W38&lt;=_noechmaxi1t,ROUND(AA38*'Données Projet 1 (2)'!H47,_nbdeci1t1),0)</f>
        <v>200</v>
      </c>
      <c r="AC38" s="152">
        <f>IF(OR(W38&lt;=_differe1t1t,W38&gt;_noechmaxi1t),IF(_difftotal1t1t,-AB38,0),IF(W38&gt;=_noechremb12,AA38,IF('Données Projet 1 (2)'!I47-(AB38*_echfixe12)&gt;AA38-2,AA38,'Données Projet 1 (2)'!I47-(AB38*_echfixe12))))+R38</f>
        <v>0</v>
      </c>
      <c r="AD38" s="154">
        <f t="shared" si="11"/>
        <v>20</v>
      </c>
      <c r="AE38" s="157">
        <f t="shared" si="3"/>
        <v>220</v>
      </c>
    </row>
    <row r="39" spans="1:31" x14ac:dyDescent="0.2">
      <c r="A39" s="3"/>
      <c r="B39" s="164"/>
      <c r="C39" s="22"/>
      <c r="D39" s="21"/>
      <c r="E39" s="23"/>
      <c r="F39" s="10"/>
      <c r="G39" s="5">
        <f t="shared" si="4"/>
        <v>33</v>
      </c>
      <c r="H39" s="7">
        <f t="shared" si="5"/>
        <v>388</v>
      </c>
      <c r="I39" s="8">
        <f t="shared" si="0"/>
        <v>2011</v>
      </c>
      <c r="J39" s="31">
        <f>IF(K39=0,"",IF(_ijour12=0,MIN(DATE(YEAR(_debamort12),MONTH(_debamort12)+(G39-1)*_imois12,_jour12),DATE(YEAR(_debamort12),MONTH(_debamort12)+1+(G39-1)*_imois12,0)),DATE(YEAR(_debamort12),MONTH(_debamort12),_jour12+(G39-1)*_ijour12)))</f>
        <v>40787</v>
      </c>
      <c r="K39" s="156">
        <f t="shared" si="6"/>
        <v>176868.87999999992</v>
      </c>
      <c r="L39" s="153">
        <f>IF(G39&lt;=_noeechmaxi1,ROUND(K39*'Données Projet 1 (2)'!A48,_nbdeci1t),0)</f>
        <v>274.14999999999998</v>
      </c>
      <c r="M39" s="152">
        <f>IF(OR(G39&lt;=_differe1t,G39&gt;_noeechmaxi1),IF(_difftotal1t,-L39,0),IF(G39&gt;=_noechremb1t,K39,IF('Données Projet 1 (2)'!B48-(L39*_echfixe1t)&gt;K39-2,K39,'Données Projet 1 (2)'!B48-(L39*_echfixe1t))))+B39</f>
        <v>332.77</v>
      </c>
      <c r="N39" s="154">
        <f t="shared" si="7"/>
        <v>15.6</v>
      </c>
      <c r="O39" s="157">
        <f t="shared" si="1"/>
        <v>622.52</v>
      </c>
      <c r="Q39" s="3"/>
      <c r="R39" s="164"/>
      <c r="S39" s="22"/>
      <c r="T39" s="21"/>
      <c r="U39" s="23"/>
      <c r="V39" s="10"/>
      <c r="W39" s="5">
        <f t="shared" si="8"/>
        <v>33</v>
      </c>
      <c r="X39" s="7">
        <f t="shared" si="9"/>
        <v>112</v>
      </c>
      <c r="Y39" s="8">
        <f t="shared" si="2"/>
        <v>2011</v>
      </c>
      <c r="Z39" s="31">
        <f>IF(AA39=0,"",IF(_ijour122=0,MIN(DATE(YEAR(_debamort122),MONTH(_debamort122)+(W39-1)*_imois122,__jou123),DATE(YEAR(_debamort122),MONTH(_debamort122)+1+(W39-1)*_imois122,0)),DATE(YEAR(_debamort122),MONTH(_debamort122),__jou123+(W39-1)*_ijour122)))</f>
        <v>40787</v>
      </c>
      <c r="AA39" s="156">
        <f t="shared" si="10"/>
        <v>240000</v>
      </c>
      <c r="AB39" s="153">
        <f>IF(W39&lt;=_noechmaxi1t,ROUND(AA39*'Données Projet 1 (2)'!H48,_nbdeci1t1),0)</f>
        <v>200</v>
      </c>
      <c r="AC39" s="152">
        <f>IF(OR(W39&lt;=_differe1t1t,W39&gt;_noechmaxi1t),IF(_difftotal1t1t,-AB39,0),IF(W39&gt;=_noechremb12,AA39,IF('Données Projet 1 (2)'!I48-(AB39*_echfixe12)&gt;AA39-2,AA39,'Données Projet 1 (2)'!I48-(AB39*_echfixe12))))+R39</f>
        <v>0</v>
      </c>
      <c r="AD39" s="154">
        <f t="shared" si="11"/>
        <v>20</v>
      </c>
      <c r="AE39" s="157">
        <f t="shared" si="3"/>
        <v>220</v>
      </c>
    </row>
    <row r="40" spans="1:31" x14ac:dyDescent="0.2">
      <c r="A40" s="3"/>
      <c r="B40" s="164"/>
      <c r="C40" s="22"/>
      <c r="D40" s="21"/>
      <c r="E40" s="23"/>
      <c r="F40" s="10"/>
      <c r="G40" s="5">
        <f t="shared" si="4"/>
        <v>34</v>
      </c>
      <c r="H40" s="7">
        <f t="shared" si="5"/>
        <v>387</v>
      </c>
      <c r="I40" s="8">
        <f t="shared" si="0"/>
        <v>2011</v>
      </c>
      <c r="J40" s="31">
        <f>IF(K40=0,"",IF(_ijour12=0,MIN(DATE(YEAR(_debamort12),MONTH(_debamort12)+_MoisD+(G40-1)*_imois12,_jour212),DATE(YEAR(_debamort12),MONTH(_debamort12)+_MoisD+1+(G40-1)*_imois12,0)),DATE(YEAR(_debamort12),MONTH(_debamort12),_jour12+(G40-1)*_ijour12)))</f>
        <v>40817</v>
      </c>
      <c r="K40" s="156">
        <f t="shared" si="6"/>
        <v>176536.10999999993</v>
      </c>
      <c r="L40" s="153">
        <f>IF(G40&lt;=_noeechmaxi1,ROUND(K40*'Données Projet 1 (2)'!A49,_nbdeci1t),0)</f>
        <v>273.63</v>
      </c>
      <c r="M40" s="152">
        <f>IF(OR(G40&lt;=_differe1t,G40&gt;_noeechmaxi1),IF(_difftotal1t,-L40,0),IF(G40&gt;=_noechremb1t,K40,IF('Données Projet 1 (2)'!B49-(L40*_echfixe1t)&gt;K40-2,K40,'Données Projet 1 (2)'!B49-(L40*_echfixe1t))))+B40</f>
        <v>333.28999999999996</v>
      </c>
      <c r="N40" s="154">
        <f t="shared" si="7"/>
        <v>15.6</v>
      </c>
      <c r="O40" s="157">
        <f t="shared" si="1"/>
        <v>622.52</v>
      </c>
      <c r="Q40" s="3"/>
      <c r="R40" s="164"/>
      <c r="S40" s="22"/>
      <c r="T40" s="21"/>
      <c r="U40" s="23"/>
      <c r="V40" s="10"/>
      <c r="W40" s="5">
        <f t="shared" si="8"/>
        <v>34</v>
      </c>
      <c r="X40" s="7">
        <f t="shared" si="9"/>
        <v>111</v>
      </c>
      <c r="Y40" s="8">
        <f t="shared" si="2"/>
        <v>2011</v>
      </c>
      <c r="Z40" s="31">
        <f>IF(AA40=0,"",IF(_ijour122=0,MIN(DATE(YEAR(_debamort122),MONTH(_debamort122)+_moisd12+(W40-1)*_imois122,__jou21),DATE(YEAR(_debamort122),MONTH(_debamort122)+_moisd12+1+(W40-1)*_imois122,0)),DATE(YEAR(_debamort122),MONTH(_debamort122),__jou123+(W40-1)*_ijour122)))</f>
        <v>40817</v>
      </c>
      <c r="AA40" s="156">
        <f t="shared" si="10"/>
        <v>240000</v>
      </c>
      <c r="AB40" s="153">
        <f>IF(W40&lt;=_noechmaxi1t,ROUND(AA40*'Données Projet 1 (2)'!H49,_nbdeci1t1),0)</f>
        <v>200</v>
      </c>
      <c r="AC40" s="152">
        <f>IF(OR(W40&lt;=_differe1t1t,W40&gt;_noechmaxi1t),IF(_difftotal1t1t,-AB40,0),IF(W40&gt;=_noechremb12,AA40,IF('Données Projet 1 (2)'!I49-(AB40*_echfixe12)&gt;AA40-2,AA40,'Données Projet 1 (2)'!I49-(AB40*_echfixe12))))+R40</f>
        <v>0</v>
      </c>
      <c r="AD40" s="154">
        <f t="shared" si="11"/>
        <v>20</v>
      </c>
      <c r="AE40" s="157">
        <f t="shared" si="3"/>
        <v>220</v>
      </c>
    </row>
    <row r="41" spans="1:31" x14ac:dyDescent="0.2">
      <c r="A41" s="3"/>
      <c r="B41" s="164"/>
      <c r="C41" s="22"/>
      <c r="D41" s="21"/>
      <c r="E41" s="23"/>
      <c r="F41" s="10"/>
      <c r="G41" s="5">
        <f t="shared" si="4"/>
        <v>35</v>
      </c>
      <c r="H41" s="7">
        <f t="shared" si="5"/>
        <v>386</v>
      </c>
      <c r="I41" s="8">
        <f t="shared" si="0"/>
        <v>2011</v>
      </c>
      <c r="J41" s="31">
        <f>IF(K41=0,"",IF(_ijour12=0,MIN(DATE(YEAR(_debamort12),MONTH(_debamort12)+(G41-1)*_imois12,_jour12),DATE(YEAR(_debamort12),MONTH(_debamort12)+1+(G41-1)*_imois12,0)),DATE(YEAR(_debamort12),MONTH(_debamort12),_jour12+(G41-1)*_ijour12)))</f>
        <v>40848</v>
      </c>
      <c r="K41" s="156">
        <f t="shared" si="6"/>
        <v>176202.81999999992</v>
      </c>
      <c r="L41" s="153">
        <f>IF(G41&lt;=_noeechmaxi1,ROUND(K41*'Données Projet 1 (2)'!A50,_nbdeci1t),0)</f>
        <v>273.11</v>
      </c>
      <c r="M41" s="152">
        <f>IF(OR(G41&lt;=_differe1t,G41&gt;_noeechmaxi1),IF(_difftotal1t,-L41,0),IF(G41&gt;=_noechremb1t,K41,IF('Données Projet 1 (2)'!B50-(L41*_echfixe1t)&gt;K41-2,K41,'Données Projet 1 (2)'!B50-(L41*_echfixe1t))))+B41</f>
        <v>333.80999999999995</v>
      </c>
      <c r="N41" s="154">
        <f t="shared" si="7"/>
        <v>15.6</v>
      </c>
      <c r="O41" s="157">
        <f t="shared" si="1"/>
        <v>622.52</v>
      </c>
      <c r="Q41" s="3"/>
      <c r="R41" s="164"/>
      <c r="S41" s="22"/>
      <c r="T41" s="21"/>
      <c r="U41" s="23"/>
      <c r="V41" s="10"/>
      <c r="W41" s="5">
        <f t="shared" si="8"/>
        <v>35</v>
      </c>
      <c r="X41" s="7">
        <f t="shared" si="9"/>
        <v>110</v>
      </c>
      <c r="Y41" s="8">
        <f t="shared" si="2"/>
        <v>2011</v>
      </c>
      <c r="Z41" s="31">
        <f>IF(AA41=0,"",IF(_ijour122=0,MIN(DATE(YEAR(_debamort122),MONTH(_debamort122)+(W41-1)*_imois122,__jou123),DATE(YEAR(_debamort122),MONTH(_debamort122)+1+(W41-1)*_imois122,0)),DATE(YEAR(_debamort122),MONTH(_debamort122),__jou123+(W41-1)*_ijour122)))</f>
        <v>40848</v>
      </c>
      <c r="AA41" s="156">
        <f t="shared" si="10"/>
        <v>240000</v>
      </c>
      <c r="AB41" s="153">
        <f>IF(W41&lt;=_noechmaxi1t,ROUND(AA41*'Données Projet 1 (2)'!H50,_nbdeci1t1),0)</f>
        <v>200</v>
      </c>
      <c r="AC41" s="152">
        <f>IF(OR(W41&lt;=_differe1t1t,W41&gt;_noechmaxi1t),IF(_difftotal1t1t,-AB41,0),IF(W41&gt;=_noechremb12,AA41,IF('Données Projet 1 (2)'!I50-(AB41*_echfixe12)&gt;AA41-2,AA41,'Données Projet 1 (2)'!I50-(AB41*_echfixe12))))+R41</f>
        <v>0</v>
      </c>
      <c r="AD41" s="154">
        <f t="shared" si="11"/>
        <v>20</v>
      </c>
      <c r="AE41" s="157">
        <f t="shared" si="3"/>
        <v>220</v>
      </c>
    </row>
    <row r="42" spans="1:31" x14ac:dyDescent="0.2">
      <c r="A42" s="3"/>
      <c r="B42" s="164"/>
      <c r="C42" s="22"/>
      <c r="D42" s="21"/>
      <c r="E42" s="23"/>
      <c r="F42" s="10"/>
      <c r="G42" s="5">
        <f t="shared" si="4"/>
        <v>36</v>
      </c>
      <c r="H42" s="7">
        <f t="shared" si="5"/>
        <v>385</v>
      </c>
      <c r="I42" s="8">
        <f t="shared" si="0"/>
        <v>2011</v>
      </c>
      <c r="J42" s="31">
        <f>IF(K42=0,"",IF(_ijour12=0,MIN(DATE(YEAR(_debamort12),MONTH(_debamort12)+_MoisD+(G42-1)*_imois12,_jour212),DATE(YEAR(_debamort12),MONTH(_debamort12)+_MoisD+1+(G42-1)*_imois12,0)),DATE(YEAR(_debamort12),MONTH(_debamort12),_jour12+(G42-1)*_ijour12)))</f>
        <v>40878</v>
      </c>
      <c r="K42" s="156">
        <f t="shared" si="6"/>
        <v>175869.00999999992</v>
      </c>
      <c r="L42" s="153">
        <f>IF(G42&lt;=_noeechmaxi1,ROUND(K42*'Données Projet 1 (2)'!A51,_nbdeci1t),0)</f>
        <v>272.60000000000002</v>
      </c>
      <c r="M42" s="152">
        <f>IF(OR(G42&lt;=_differe1t,G42&gt;_noeechmaxi1),IF(_difftotal1t,-L42,0),IF(G42&gt;=_noechremb1t,K42,IF('Données Projet 1 (2)'!B51-(L42*_echfixe1t)&gt;K42-2,K42,'Données Projet 1 (2)'!B51-(L42*_echfixe1t))))+B42</f>
        <v>334.31999999999994</v>
      </c>
      <c r="N42" s="154">
        <f t="shared" si="7"/>
        <v>15.6</v>
      </c>
      <c r="O42" s="157">
        <f t="shared" si="1"/>
        <v>622.52</v>
      </c>
      <c r="Q42" s="3"/>
      <c r="R42" s="164"/>
      <c r="S42" s="22"/>
      <c r="T42" s="21"/>
      <c r="U42" s="23"/>
      <c r="V42" s="10"/>
      <c r="W42" s="5">
        <f t="shared" si="8"/>
        <v>36</v>
      </c>
      <c r="X42" s="7">
        <f t="shared" si="9"/>
        <v>109</v>
      </c>
      <c r="Y42" s="8">
        <f t="shared" si="2"/>
        <v>2011</v>
      </c>
      <c r="Z42" s="31">
        <f>IF(AA42=0,"",IF(_ijour122=0,MIN(DATE(YEAR(_debamort122),MONTH(_debamort122)+_moisd12+(W42-1)*_imois122,__jou21),DATE(YEAR(_debamort122),MONTH(_debamort122)+_moisd12+1+(W42-1)*_imois122,0)),DATE(YEAR(_debamort122),MONTH(_debamort122),__jou123+(W42-1)*_ijour122)))</f>
        <v>40878</v>
      </c>
      <c r="AA42" s="156">
        <f t="shared" si="10"/>
        <v>240000</v>
      </c>
      <c r="AB42" s="153">
        <f>IF(W42&lt;=_noechmaxi1t,ROUND(AA42*'Données Projet 1 (2)'!H51,_nbdeci1t1),0)</f>
        <v>200</v>
      </c>
      <c r="AC42" s="152">
        <f>IF(OR(W42&lt;=_differe1t1t,W42&gt;_noechmaxi1t),IF(_difftotal1t1t,-AB42,0),IF(W42&gt;=_noechremb12,AA42,IF('Données Projet 1 (2)'!I51-(AB42*_echfixe12)&gt;AA42-2,AA42,'Données Projet 1 (2)'!I51-(AB42*_echfixe12))))+R42</f>
        <v>0</v>
      </c>
      <c r="AD42" s="154">
        <f t="shared" si="11"/>
        <v>20</v>
      </c>
      <c r="AE42" s="157">
        <f t="shared" si="3"/>
        <v>220</v>
      </c>
    </row>
    <row r="43" spans="1:31" x14ac:dyDescent="0.2">
      <c r="A43" s="3"/>
      <c r="B43" s="164"/>
      <c r="C43" s="22"/>
      <c r="D43" s="21"/>
      <c r="E43" s="23"/>
      <c r="F43" s="10"/>
      <c r="G43" s="5">
        <f t="shared" si="4"/>
        <v>37</v>
      </c>
      <c r="H43" s="7">
        <f t="shared" si="5"/>
        <v>384</v>
      </c>
      <c r="I43" s="8">
        <f t="shared" si="0"/>
        <v>2012</v>
      </c>
      <c r="J43" s="31">
        <f>IF(K43=0,"",IF(_ijour12=0,MIN(DATE(YEAR(_debamort12),MONTH(_debamort12)+(G43-1)*_imois12,_jour12),DATE(YEAR(_debamort12),MONTH(_debamort12)+1+(G43-1)*_imois12,0)),DATE(YEAR(_debamort12),MONTH(_debamort12),_jour12+(G43-1)*_ijour12)))</f>
        <v>40909</v>
      </c>
      <c r="K43" s="156">
        <f t="shared" si="6"/>
        <v>175534.68999999992</v>
      </c>
      <c r="L43" s="153">
        <f>IF(G43&lt;=_noeechmaxi1,ROUND(K43*'Données Projet 1 (2)'!A52,_nbdeci1t),0)</f>
        <v>272.08</v>
      </c>
      <c r="M43" s="152">
        <f>IF(OR(G43&lt;=_differe1t,G43&gt;_noeechmaxi1),IF(_difftotal1t,-L43,0),IF(G43&gt;=_noechremb1t,K43,IF('Données Projet 1 (2)'!B52-(L43*_echfixe1t)&gt;K43-2,K43,'Données Projet 1 (2)'!B52-(L43*_echfixe1t))))+B43</f>
        <v>334.84</v>
      </c>
      <c r="N43" s="154">
        <f t="shared" si="7"/>
        <v>15.6</v>
      </c>
      <c r="O43" s="157">
        <f t="shared" si="1"/>
        <v>622.52</v>
      </c>
      <c r="Q43" s="3"/>
      <c r="R43" s="164"/>
      <c r="S43" s="22"/>
      <c r="T43" s="21"/>
      <c r="U43" s="23"/>
      <c r="V43" s="10"/>
      <c r="W43" s="5">
        <f t="shared" si="8"/>
        <v>37</v>
      </c>
      <c r="X43" s="7">
        <f t="shared" si="9"/>
        <v>108</v>
      </c>
      <c r="Y43" s="8">
        <f t="shared" si="2"/>
        <v>2012</v>
      </c>
      <c r="Z43" s="31">
        <f>IF(AA43=0,"",IF(_ijour122=0,MIN(DATE(YEAR(_debamort122),MONTH(_debamort122)+(W43-1)*_imois122,__jou123),DATE(YEAR(_debamort122),MONTH(_debamort122)+1+(W43-1)*_imois122,0)),DATE(YEAR(_debamort122),MONTH(_debamort122),__jou123+(W43-1)*_ijour122)))</f>
        <v>40909</v>
      </c>
      <c r="AA43" s="156">
        <f t="shared" si="10"/>
        <v>240000</v>
      </c>
      <c r="AB43" s="153">
        <f>IF(W43&lt;=_noechmaxi1t,ROUND(AA43*'Données Projet 1 (2)'!H52,_nbdeci1t1),0)</f>
        <v>200</v>
      </c>
      <c r="AC43" s="152">
        <f>IF(OR(W43&lt;=_differe1t1t,W43&gt;_noechmaxi1t),IF(_difftotal1t1t,-AB43,0),IF(W43&gt;=_noechremb12,AA43,IF('Données Projet 1 (2)'!I52-(AB43*_echfixe12)&gt;AA43-2,AA43,'Données Projet 1 (2)'!I52-(AB43*_echfixe12))))+R43</f>
        <v>0</v>
      </c>
      <c r="AD43" s="154">
        <f t="shared" si="11"/>
        <v>20</v>
      </c>
      <c r="AE43" s="157">
        <f t="shared" si="3"/>
        <v>220</v>
      </c>
    </row>
    <row r="44" spans="1:31" x14ac:dyDescent="0.2">
      <c r="A44" s="3"/>
      <c r="B44" s="164"/>
      <c r="C44" s="22"/>
      <c r="D44" s="21"/>
      <c r="E44" s="23"/>
      <c r="F44" s="10"/>
      <c r="G44" s="5">
        <f t="shared" si="4"/>
        <v>38</v>
      </c>
      <c r="H44" s="7">
        <f t="shared" si="5"/>
        <v>383</v>
      </c>
      <c r="I44" s="8">
        <f t="shared" si="0"/>
        <v>2012</v>
      </c>
      <c r="J44" s="31">
        <f>IF(K44=0,"",IF(_ijour12=0,MIN(DATE(YEAR(_debamort12),MONTH(_debamort12)+_MoisD+(G44-1)*_imois12,_jour212),DATE(YEAR(_debamort12),MONTH(_debamort12)+_MoisD+1+(G44-1)*_imois12,0)),DATE(YEAR(_debamort12),MONTH(_debamort12),_jour12+(G44-1)*_ijour12)))</f>
        <v>40940</v>
      </c>
      <c r="K44" s="156">
        <f t="shared" si="6"/>
        <v>175199.84999999992</v>
      </c>
      <c r="L44" s="153">
        <f>IF(G44&lt;=_noeechmaxi1,ROUND(K44*'Données Projet 1 (2)'!A53,_nbdeci1t),0)</f>
        <v>271.56</v>
      </c>
      <c r="M44" s="152">
        <f>IF(OR(G44&lt;=_differe1t,G44&gt;_noeechmaxi1),IF(_difftotal1t,-L44,0),IF(G44&gt;=_noechremb1t,K44,IF('Données Projet 1 (2)'!B53-(L44*_echfixe1t)&gt;K44-2,K44,'Données Projet 1 (2)'!B53-(L44*_echfixe1t))))+B44</f>
        <v>335.35999999999996</v>
      </c>
      <c r="N44" s="154">
        <f t="shared" si="7"/>
        <v>15.6</v>
      </c>
      <c r="O44" s="157">
        <f t="shared" si="1"/>
        <v>622.52</v>
      </c>
      <c r="Q44" s="3"/>
      <c r="R44" s="164"/>
      <c r="S44" s="22"/>
      <c r="T44" s="21"/>
      <c r="U44" s="23"/>
      <c r="V44" s="10"/>
      <c r="W44" s="5">
        <f t="shared" si="8"/>
        <v>38</v>
      </c>
      <c r="X44" s="7">
        <f t="shared" si="9"/>
        <v>107</v>
      </c>
      <c r="Y44" s="8">
        <f t="shared" si="2"/>
        <v>2012</v>
      </c>
      <c r="Z44" s="31">
        <f>IF(AA44=0,"",IF(_ijour122=0,MIN(DATE(YEAR(_debamort122),MONTH(_debamort122)+_moisd12+(W44-1)*_imois122,__jou21),DATE(YEAR(_debamort122),MONTH(_debamort122)+_moisd12+1+(W44-1)*_imois122,0)),DATE(YEAR(_debamort122),MONTH(_debamort122),__jou123+(W44-1)*_ijour122)))</f>
        <v>40940</v>
      </c>
      <c r="AA44" s="156">
        <f t="shared" si="10"/>
        <v>240000</v>
      </c>
      <c r="AB44" s="153">
        <f>IF(W44&lt;=_noechmaxi1t,ROUND(AA44*'Données Projet 1 (2)'!H53,_nbdeci1t1),0)</f>
        <v>200</v>
      </c>
      <c r="AC44" s="152">
        <f>IF(OR(W44&lt;=_differe1t1t,W44&gt;_noechmaxi1t),IF(_difftotal1t1t,-AB44,0),IF(W44&gt;=_noechremb12,AA44,IF('Données Projet 1 (2)'!I53-(AB44*_echfixe12)&gt;AA44-2,AA44,'Données Projet 1 (2)'!I53-(AB44*_echfixe12))))+R44</f>
        <v>0</v>
      </c>
      <c r="AD44" s="154">
        <f t="shared" si="11"/>
        <v>20</v>
      </c>
      <c r="AE44" s="157">
        <f t="shared" si="3"/>
        <v>220</v>
      </c>
    </row>
    <row r="45" spans="1:31" x14ac:dyDescent="0.2">
      <c r="A45" s="3"/>
      <c r="B45" s="164"/>
      <c r="C45" s="22"/>
      <c r="D45" s="21"/>
      <c r="E45" s="23"/>
      <c r="F45" s="10"/>
      <c r="G45" s="5">
        <f t="shared" si="4"/>
        <v>39</v>
      </c>
      <c r="H45" s="7">
        <f t="shared" si="5"/>
        <v>382</v>
      </c>
      <c r="I45" s="8">
        <f t="shared" si="0"/>
        <v>2012</v>
      </c>
      <c r="J45" s="31">
        <f>IF(K45=0,"",IF(_ijour12=0,MIN(DATE(YEAR(_debamort12),MONTH(_debamort12)+(G45-1)*_imois12,_jour12),DATE(YEAR(_debamort12),MONTH(_debamort12)+1+(G45-1)*_imois12,0)),DATE(YEAR(_debamort12),MONTH(_debamort12),_jour12+(G45-1)*_ijour12)))</f>
        <v>40969</v>
      </c>
      <c r="K45" s="156">
        <f t="shared" si="6"/>
        <v>174864.48999999993</v>
      </c>
      <c r="L45" s="153">
        <f>IF(G45&lt;=_noeechmaxi1,ROUND(K45*'Données Projet 1 (2)'!A54,_nbdeci1t),0)</f>
        <v>271.04000000000002</v>
      </c>
      <c r="M45" s="152">
        <f>IF(OR(G45&lt;=_differe1t,G45&gt;_noeechmaxi1),IF(_difftotal1t,-L45,0),IF(G45&gt;=_noechremb1t,K45,IF('Données Projet 1 (2)'!B54-(L45*_echfixe1t)&gt;K45-2,K45,'Données Projet 1 (2)'!B54-(L45*_echfixe1t))))+B45</f>
        <v>335.87999999999994</v>
      </c>
      <c r="N45" s="154">
        <f t="shared" si="7"/>
        <v>15.6</v>
      </c>
      <c r="O45" s="157">
        <f t="shared" si="1"/>
        <v>622.52</v>
      </c>
      <c r="Q45" s="3"/>
      <c r="R45" s="164"/>
      <c r="S45" s="22"/>
      <c r="T45" s="21"/>
      <c r="U45" s="23"/>
      <c r="V45" s="10"/>
      <c r="W45" s="5">
        <f t="shared" si="8"/>
        <v>39</v>
      </c>
      <c r="X45" s="7">
        <f t="shared" si="9"/>
        <v>106</v>
      </c>
      <c r="Y45" s="8">
        <f t="shared" si="2"/>
        <v>2012</v>
      </c>
      <c r="Z45" s="31">
        <f>IF(AA45=0,"",IF(_ijour122=0,MIN(DATE(YEAR(_debamort122),MONTH(_debamort122)+(W45-1)*_imois122,__jou123),DATE(YEAR(_debamort122),MONTH(_debamort122)+1+(W45-1)*_imois122,0)),DATE(YEAR(_debamort122),MONTH(_debamort122),__jou123+(W45-1)*_ijour122)))</f>
        <v>40969</v>
      </c>
      <c r="AA45" s="156">
        <f t="shared" si="10"/>
        <v>240000</v>
      </c>
      <c r="AB45" s="153">
        <f>IF(W45&lt;=_noechmaxi1t,ROUND(AA45*'Données Projet 1 (2)'!H54,_nbdeci1t1),0)</f>
        <v>200</v>
      </c>
      <c r="AC45" s="152">
        <f>IF(OR(W45&lt;=_differe1t1t,W45&gt;_noechmaxi1t),IF(_difftotal1t1t,-AB45,0),IF(W45&gt;=_noechremb12,AA45,IF('Données Projet 1 (2)'!I54-(AB45*_echfixe12)&gt;AA45-2,AA45,'Données Projet 1 (2)'!I54-(AB45*_echfixe12))))+R45</f>
        <v>0</v>
      </c>
      <c r="AD45" s="154">
        <f t="shared" si="11"/>
        <v>20</v>
      </c>
      <c r="AE45" s="157">
        <f t="shared" si="3"/>
        <v>220</v>
      </c>
    </row>
    <row r="46" spans="1:31" x14ac:dyDescent="0.2">
      <c r="A46" s="3"/>
      <c r="B46" s="164"/>
      <c r="C46" s="22"/>
      <c r="D46" s="21"/>
      <c r="E46" s="23"/>
      <c r="F46" s="10"/>
      <c r="G46" s="5">
        <f t="shared" si="4"/>
        <v>40</v>
      </c>
      <c r="H46" s="7">
        <f t="shared" si="5"/>
        <v>381</v>
      </c>
      <c r="I46" s="8">
        <f t="shared" si="0"/>
        <v>2012</v>
      </c>
      <c r="J46" s="31">
        <f>IF(K46=0,"",IF(_ijour12=0,MIN(DATE(YEAR(_debamort12),MONTH(_debamort12)+_MoisD+(G46-1)*_imois12,_jour212),DATE(YEAR(_debamort12),MONTH(_debamort12)+_MoisD+1+(G46-1)*_imois12,0)),DATE(YEAR(_debamort12),MONTH(_debamort12),_jour12+(G46-1)*_ijour12)))</f>
        <v>41000</v>
      </c>
      <c r="K46" s="156">
        <f t="shared" si="6"/>
        <v>174528.60999999993</v>
      </c>
      <c r="L46" s="153">
        <f>IF(G46&lt;=_noeechmaxi1,ROUND(K46*'Données Projet 1 (2)'!A55,_nbdeci1t),0)</f>
        <v>270.52</v>
      </c>
      <c r="M46" s="152">
        <f>IF(OR(G46&lt;=_differe1t,G46&gt;_noeechmaxi1),IF(_difftotal1t,-L46,0),IF(G46&gt;=_noechremb1t,K46,IF('Données Projet 1 (2)'!B55-(L46*_echfixe1t)&gt;K46-2,K46,'Données Projet 1 (2)'!B55-(L46*_echfixe1t))))+B46</f>
        <v>336.4</v>
      </c>
      <c r="N46" s="154">
        <f t="shared" si="7"/>
        <v>15.6</v>
      </c>
      <c r="O46" s="157">
        <f t="shared" si="1"/>
        <v>622.52</v>
      </c>
      <c r="Q46" s="3"/>
      <c r="R46" s="164"/>
      <c r="S46" s="22"/>
      <c r="T46" s="21"/>
      <c r="U46" s="23"/>
      <c r="V46" s="10"/>
      <c r="W46" s="5">
        <f t="shared" si="8"/>
        <v>40</v>
      </c>
      <c r="X46" s="7">
        <f t="shared" si="9"/>
        <v>105</v>
      </c>
      <c r="Y46" s="8">
        <f t="shared" si="2"/>
        <v>2012</v>
      </c>
      <c r="Z46" s="31">
        <f>IF(AA46=0,"",IF(_ijour122=0,MIN(DATE(YEAR(_debamort122),MONTH(_debamort122)+_moisd12+(W46-1)*_imois122,__jou21),DATE(YEAR(_debamort122),MONTH(_debamort122)+_moisd12+1+(W46-1)*_imois122,0)),DATE(YEAR(_debamort122),MONTH(_debamort122),__jou123+(W46-1)*_ijour122)))</f>
        <v>41000</v>
      </c>
      <c r="AA46" s="156">
        <f t="shared" si="10"/>
        <v>240000</v>
      </c>
      <c r="AB46" s="153">
        <f>IF(W46&lt;=_noechmaxi1t,ROUND(AA46*'Données Projet 1 (2)'!H55,_nbdeci1t1),0)</f>
        <v>200</v>
      </c>
      <c r="AC46" s="152">
        <f>IF(OR(W46&lt;=_differe1t1t,W46&gt;_noechmaxi1t),IF(_difftotal1t1t,-AB46,0),IF(W46&gt;=_noechremb12,AA46,IF('Données Projet 1 (2)'!I55-(AB46*_echfixe12)&gt;AA46-2,AA46,'Données Projet 1 (2)'!I55-(AB46*_echfixe12))))+R46</f>
        <v>0</v>
      </c>
      <c r="AD46" s="154">
        <f t="shared" si="11"/>
        <v>20</v>
      </c>
      <c r="AE46" s="157">
        <f t="shared" si="3"/>
        <v>220</v>
      </c>
    </row>
    <row r="47" spans="1:31" x14ac:dyDescent="0.2">
      <c r="A47" s="3"/>
      <c r="B47" s="164"/>
      <c r="C47" s="22"/>
      <c r="D47" s="21"/>
      <c r="E47" s="23"/>
      <c r="F47" s="10"/>
      <c r="G47" s="5">
        <f t="shared" si="4"/>
        <v>41</v>
      </c>
      <c r="H47" s="7">
        <f t="shared" si="5"/>
        <v>380</v>
      </c>
      <c r="I47" s="8">
        <f t="shared" si="0"/>
        <v>2012</v>
      </c>
      <c r="J47" s="31">
        <f>IF(K47=0,"",IF(_ijour12=0,MIN(DATE(YEAR(_debamort12),MONTH(_debamort12)+(G47-1)*_imois12,_jour12),DATE(YEAR(_debamort12),MONTH(_debamort12)+1+(G47-1)*_imois12,0)),DATE(YEAR(_debamort12),MONTH(_debamort12),_jour12+(G47-1)*_ijour12)))</f>
        <v>41030</v>
      </c>
      <c r="K47" s="156">
        <f t="shared" si="6"/>
        <v>174192.20999999993</v>
      </c>
      <c r="L47" s="153">
        <f>IF(G47&lt;=_noeechmaxi1,ROUND(K47*'Données Projet 1 (2)'!A56,_nbdeci1t),0)</f>
        <v>270</v>
      </c>
      <c r="M47" s="152">
        <f>IF(OR(G47&lt;=_differe1t,G47&gt;_noeechmaxi1),IF(_difftotal1t,-L47,0),IF(G47&gt;=_noechremb1t,K47,IF('Données Projet 1 (2)'!B56-(L47*_echfixe1t)&gt;K47-2,K47,'Données Projet 1 (2)'!B56-(L47*_echfixe1t))))+B47</f>
        <v>336.91999999999996</v>
      </c>
      <c r="N47" s="154">
        <f t="shared" si="7"/>
        <v>15.6</v>
      </c>
      <c r="O47" s="157">
        <f t="shared" si="1"/>
        <v>622.52</v>
      </c>
      <c r="Q47" s="3"/>
      <c r="R47" s="164"/>
      <c r="S47" s="22"/>
      <c r="T47" s="21"/>
      <c r="U47" s="23"/>
      <c r="V47" s="10"/>
      <c r="W47" s="5">
        <f t="shared" si="8"/>
        <v>41</v>
      </c>
      <c r="X47" s="7">
        <f t="shared" si="9"/>
        <v>104</v>
      </c>
      <c r="Y47" s="8">
        <f t="shared" si="2"/>
        <v>2012</v>
      </c>
      <c r="Z47" s="31">
        <f>IF(AA47=0,"",IF(_ijour122=0,MIN(DATE(YEAR(_debamort122),MONTH(_debamort122)+(W47-1)*_imois122,__jou123),DATE(YEAR(_debamort122),MONTH(_debamort122)+1+(W47-1)*_imois122,0)),DATE(YEAR(_debamort122),MONTH(_debamort122),__jou123+(W47-1)*_ijour122)))</f>
        <v>41030</v>
      </c>
      <c r="AA47" s="156">
        <f t="shared" si="10"/>
        <v>240000</v>
      </c>
      <c r="AB47" s="153">
        <f>IF(W47&lt;=_noechmaxi1t,ROUND(AA47*'Données Projet 1 (2)'!H56,_nbdeci1t1),0)</f>
        <v>200</v>
      </c>
      <c r="AC47" s="152">
        <f>IF(OR(W47&lt;=_differe1t1t,W47&gt;_noechmaxi1t),IF(_difftotal1t1t,-AB47,0),IF(W47&gt;=_noechremb12,AA47,IF('Données Projet 1 (2)'!I56-(AB47*_echfixe12)&gt;AA47-2,AA47,'Données Projet 1 (2)'!I56-(AB47*_echfixe12))))+R47</f>
        <v>0</v>
      </c>
      <c r="AD47" s="154">
        <f t="shared" si="11"/>
        <v>20</v>
      </c>
      <c r="AE47" s="157">
        <f t="shared" si="3"/>
        <v>220</v>
      </c>
    </row>
    <row r="48" spans="1:31" x14ac:dyDescent="0.2">
      <c r="A48" s="3"/>
      <c r="B48" s="164"/>
      <c r="C48" s="22"/>
      <c r="D48" s="21"/>
      <c r="E48" s="23"/>
      <c r="F48" s="10"/>
      <c r="G48" s="5">
        <f t="shared" si="4"/>
        <v>42</v>
      </c>
      <c r="H48" s="7">
        <f t="shared" si="5"/>
        <v>379</v>
      </c>
      <c r="I48" s="8">
        <f t="shared" si="0"/>
        <v>2012</v>
      </c>
      <c r="J48" s="31">
        <f>IF(K48=0,"",IF(_ijour12=0,MIN(DATE(YEAR(_debamort12),MONTH(_debamort12)+_MoisD+(G48-1)*_imois12,_jour212),DATE(YEAR(_debamort12),MONTH(_debamort12)+_MoisD+1+(G48-1)*_imois12,0)),DATE(YEAR(_debamort12),MONTH(_debamort12),_jour12+(G48-1)*_ijour12)))</f>
        <v>41061</v>
      </c>
      <c r="K48" s="156">
        <f t="shared" si="6"/>
        <v>173855.28999999992</v>
      </c>
      <c r="L48" s="153">
        <f>IF(G48&lt;=_noeechmaxi1,ROUND(K48*'Données Projet 1 (2)'!A57,_nbdeci1t),0)</f>
        <v>269.48</v>
      </c>
      <c r="M48" s="152">
        <f>IF(OR(G48&lt;=_differe1t,G48&gt;_noeechmaxi1),IF(_difftotal1t,-L48,0),IF(G48&gt;=_noechremb1t,K48,IF('Données Projet 1 (2)'!B57-(L48*_echfixe1t)&gt;K48-2,K48,'Données Projet 1 (2)'!B57-(L48*_echfixe1t))))+B48</f>
        <v>337.43999999999994</v>
      </c>
      <c r="N48" s="154">
        <f t="shared" si="7"/>
        <v>15.6</v>
      </c>
      <c r="O48" s="157">
        <f t="shared" si="1"/>
        <v>622.52</v>
      </c>
      <c r="Q48" s="3"/>
      <c r="R48" s="164"/>
      <c r="S48" s="22"/>
      <c r="T48" s="21"/>
      <c r="U48" s="23"/>
      <c r="V48" s="10"/>
      <c r="W48" s="5">
        <f t="shared" si="8"/>
        <v>42</v>
      </c>
      <c r="X48" s="7">
        <f t="shared" si="9"/>
        <v>103</v>
      </c>
      <c r="Y48" s="8">
        <f t="shared" si="2"/>
        <v>2012</v>
      </c>
      <c r="Z48" s="31">
        <f>IF(AA48=0,"",IF(_ijour122=0,MIN(DATE(YEAR(_debamort122),MONTH(_debamort122)+_moisd12+(W48-1)*_imois122,__jou21),DATE(YEAR(_debamort122),MONTH(_debamort122)+_moisd12+1+(W48-1)*_imois122,0)),DATE(YEAR(_debamort122),MONTH(_debamort122),__jou123+(W48-1)*_ijour122)))</f>
        <v>41061</v>
      </c>
      <c r="AA48" s="156">
        <f t="shared" si="10"/>
        <v>240000</v>
      </c>
      <c r="AB48" s="153">
        <f>IF(W48&lt;=_noechmaxi1t,ROUND(AA48*'Données Projet 1 (2)'!H57,_nbdeci1t1),0)</f>
        <v>200</v>
      </c>
      <c r="AC48" s="152">
        <f>IF(OR(W48&lt;=_differe1t1t,W48&gt;_noechmaxi1t),IF(_difftotal1t1t,-AB48,0),IF(W48&gt;=_noechremb12,AA48,IF('Données Projet 1 (2)'!I57-(AB48*_echfixe12)&gt;AA48-2,AA48,'Données Projet 1 (2)'!I57-(AB48*_echfixe12))))+R48</f>
        <v>0</v>
      </c>
      <c r="AD48" s="154">
        <f t="shared" si="11"/>
        <v>20</v>
      </c>
      <c r="AE48" s="157">
        <f t="shared" si="3"/>
        <v>220</v>
      </c>
    </row>
    <row r="49" spans="1:31" x14ac:dyDescent="0.2">
      <c r="A49" s="3"/>
      <c r="B49" s="164"/>
      <c r="C49" s="22"/>
      <c r="D49" s="21"/>
      <c r="E49" s="23"/>
      <c r="F49" s="10"/>
      <c r="G49" s="5">
        <f t="shared" si="4"/>
        <v>43</v>
      </c>
      <c r="H49" s="7">
        <f t="shared" si="5"/>
        <v>378</v>
      </c>
      <c r="I49" s="8">
        <f t="shared" si="0"/>
        <v>2012</v>
      </c>
      <c r="J49" s="31">
        <f>IF(K49=0,"",IF(_ijour12=0,MIN(DATE(YEAR(_debamort12),MONTH(_debamort12)+(G49-1)*_imois12,_jour12),DATE(YEAR(_debamort12),MONTH(_debamort12)+1+(G49-1)*_imois12,0)),DATE(YEAR(_debamort12),MONTH(_debamort12),_jour12+(G49-1)*_ijour12)))</f>
        <v>41091</v>
      </c>
      <c r="K49" s="156">
        <f t="shared" si="6"/>
        <v>173517.84999999992</v>
      </c>
      <c r="L49" s="153">
        <f>IF(G49&lt;=_noeechmaxi1,ROUND(K49*'Données Projet 1 (2)'!A58,_nbdeci1t),0)</f>
        <v>268.95</v>
      </c>
      <c r="M49" s="152">
        <f>IF(OR(G49&lt;=_differe1t,G49&gt;_noeechmaxi1),IF(_difftotal1t,-L49,0),IF(G49&gt;=_noechremb1t,K49,IF('Données Projet 1 (2)'!B58-(L49*_echfixe1t)&gt;K49-2,K49,'Données Projet 1 (2)'!B58-(L49*_echfixe1t))))+B49</f>
        <v>337.96999999999997</v>
      </c>
      <c r="N49" s="154">
        <f t="shared" si="7"/>
        <v>15.6</v>
      </c>
      <c r="O49" s="157">
        <f t="shared" si="1"/>
        <v>622.52</v>
      </c>
      <c r="Q49" s="3"/>
      <c r="R49" s="164"/>
      <c r="S49" s="22"/>
      <c r="T49" s="21"/>
      <c r="U49" s="23"/>
      <c r="V49" s="10"/>
      <c r="W49" s="5">
        <f t="shared" si="8"/>
        <v>43</v>
      </c>
      <c r="X49" s="7">
        <f t="shared" si="9"/>
        <v>102</v>
      </c>
      <c r="Y49" s="8">
        <f t="shared" si="2"/>
        <v>2012</v>
      </c>
      <c r="Z49" s="31">
        <f>IF(AA49=0,"",IF(_ijour122=0,MIN(DATE(YEAR(_debamort122),MONTH(_debamort122)+(W49-1)*_imois122,__jou123),DATE(YEAR(_debamort122),MONTH(_debamort122)+1+(W49-1)*_imois122,0)),DATE(YEAR(_debamort122),MONTH(_debamort122),__jou123+(W49-1)*_ijour122)))</f>
        <v>41091</v>
      </c>
      <c r="AA49" s="156">
        <f t="shared" si="10"/>
        <v>240000</v>
      </c>
      <c r="AB49" s="153">
        <f>IF(W49&lt;=_noechmaxi1t,ROUND(AA49*'Données Projet 1 (2)'!H58,_nbdeci1t1),0)</f>
        <v>200</v>
      </c>
      <c r="AC49" s="152">
        <f>IF(OR(W49&lt;=_differe1t1t,W49&gt;_noechmaxi1t),IF(_difftotal1t1t,-AB49,0),IF(W49&gt;=_noechremb12,AA49,IF('Données Projet 1 (2)'!I58-(AB49*_echfixe12)&gt;AA49-2,AA49,'Données Projet 1 (2)'!I58-(AB49*_echfixe12))))+R49</f>
        <v>0</v>
      </c>
      <c r="AD49" s="154">
        <f t="shared" si="11"/>
        <v>20</v>
      </c>
      <c r="AE49" s="157">
        <f t="shared" si="3"/>
        <v>220</v>
      </c>
    </row>
    <row r="50" spans="1:31" x14ac:dyDescent="0.2">
      <c r="A50" s="3"/>
      <c r="B50" s="164"/>
      <c r="C50" s="22"/>
      <c r="D50" s="21"/>
      <c r="E50" s="23"/>
      <c r="F50" s="10"/>
      <c r="G50" s="5">
        <f t="shared" si="4"/>
        <v>44</v>
      </c>
      <c r="H50" s="7">
        <f t="shared" si="5"/>
        <v>377</v>
      </c>
      <c r="I50" s="8">
        <f t="shared" si="0"/>
        <v>2012</v>
      </c>
      <c r="J50" s="31">
        <f>IF(K50=0,"",IF(_ijour12=0,MIN(DATE(YEAR(_debamort12),MONTH(_debamort12)+_MoisD+(G50-1)*_imois12,_jour212),DATE(YEAR(_debamort12),MONTH(_debamort12)+_MoisD+1+(G50-1)*_imois12,0)),DATE(YEAR(_debamort12),MONTH(_debamort12),_jour12+(G50-1)*_ijour12)))</f>
        <v>41122</v>
      </c>
      <c r="K50" s="156">
        <f t="shared" si="6"/>
        <v>173179.87999999992</v>
      </c>
      <c r="L50" s="153">
        <f>IF(G50&lt;=_noeechmaxi1,ROUND(K50*'Données Projet 1 (2)'!A59,_nbdeci1t),0)</f>
        <v>268.43</v>
      </c>
      <c r="M50" s="152">
        <f>IF(OR(G50&lt;=_differe1t,G50&gt;_noeechmaxi1),IF(_difftotal1t,-L50,0),IF(G50&gt;=_noechremb1t,K50,IF('Données Projet 1 (2)'!B59-(L50*_echfixe1t)&gt;K50-2,K50,'Données Projet 1 (2)'!B59-(L50*_echfixe1t))))+B50</f>
        <v>338.48999999999995</v>
      </c>
      <c r="N50" s="154">
        <f t="shared" si="7"/>
        <v>15.6</v>
      </c>
      <c r="O50" s="157">
        <f t="shared" si="1"/>
        <v>622.52</v>
      </c>
      <c r="Q50" s="3"/>
      <c r="R50" s="164"/>
      <c r="S50" s="22"/>
      <c r="T50" s="21"/>
      <c r="U50" s="23"/>
      <c r="V50" s="10"/>
      <c r="W50" s="5">
        <f t="shared" si="8"/>
        <v>44</v>
      </c>
      <c r="X50" s="7">
        <f t="shared" si="9"/>
        <v>101</v>
      </c>
      <c r="Y50" s="8">
        <f t="shared" si="2"/>
        <v>2012</v>
      </c>
      <c r="Z50" s="31">
        <f>IF(AA50=0,"",IF(_ijour122=0,MIN(DATE(YEAR(_debamort122),MONTH(_debamort122)+_moisd12+(W50-1)*_imois122,__jou21),DATE(YEAR(_debamort122),MONTH(_debamort122)+_moisd12+1+(W50-1)*_imois122,0)),DATE(YEAR(_debamort122),MONTH(_debamort122),__jou123+(W50-1)*_ijour122)))</f>
        <v>41122</v>
      </c>
      <c r="AA50" s="156">
        <f t="shared" si="10"/>
        <v>240000</v>
      </c>
      <c r="AB50" s="153">
        <f>IF(W50&lt;=_noechmaxi1t,ROUND(AA50*'Données Projet 1 (2)'!H59,_nbdeci1t1),0)</f>
        <v>200</v>
      </c>
      <c r="AC50" s="152">
        <f>IF(OR(W50&lt;=_differe1t1t,W50&gt;_noechmaxi1t),IF(_difftotal1t1t,-AB50,0),IF(W50&gt;=_noechremb12,AA50,IF('Données Projet 1 (2)'!I59-(AB50*_echfixe12)&gt;AA50-2,AA50,'Données Projet 1 (2)'!I59-(AB50*_echfixe12))))+R50</f>
        <v>0</v>
      </c>
      <c r="AD50" s="154">
        <f t="shared" si="11"/>
        <v>20</v>
      </c>
      <c r="AE50" s="157">
        <f t="shared" si="3"/>
        <v>220</v>
      </c>
    </row>
    <row r="51" spans="1:31" x14ac:dyDescent="0.2">
      <c r="A51" s="3"/>
      <c r="B51" s="164"/>
      <c r="C51" s="22"/>
      <c r="D51" s="21"/>
      <c r="E51" s="23"/>
      <c r="F51" s="10"/>
      <c r="G51" s="5">
        <f t="shared" si="4"/>
        <v>45</v>
      </c>
      <c r="H51" s="7">
        <f t="shared" si="5"/>
        <v>376</v>
      </c>
      <c r="I51" s="8">
        <f t="shared" si="0"/>
        <v>2012</v>
      </c>
      <c r="J51" s="31">
        <f>IF(K51=0,"",IF(_ijour12=0,MIN(DATE(YEAR(_debamort12),MONTH(_debamort12)+(G51-1)*_imois12,_jour12),DATE(YEAR(_debamort12),MONTH(_debamort12)+1+(G51-1)*_imois12,0)),DATE(YEAR(_debamort12),MONTH(_debamort12),_jour12+(G51-1)*_ijour12)))</f>
        <v>41153</v>
      </c>
      <c r="K51" s="156">
        <f t="shared" si="6"/>
        <v>172841.38999999993</v>
      </c>
      <c r="L51" s="153">
        <f>IF(G51&lt;=_noeechmaxi1,ROUND(K51*'Données Projet 1 (2)'!A60,_nbdeci1t),0)</f>
        <v>267.89999999999998</v>
      </c>
      <c r="M51" s="152">
        <f>IF(OR(G51&lt;=_differe1t,G51&gt;_noeechmaxi1),IF(_difftotal1t,-L51,0),IF(G51&gt;=_noechremb1t,K51,IF('Données Projet 1 (2)'!B60-(L51*_echfixe1t)&gt;K51-2,K51,'Données Projet 1 (2)'!B60-(L51*_echfixe1t))))+B51</f>
        <v>339.02</v>
      </c>
      <c r="N51" s="154">
        <f t="shared" si="7"/>
        <v>15.6</v>
      </c>
      <c r="O51" s="157">
        <f t="shared" si="1"/>
        <v>622.52</v>
      </c>
      <c r="Q51" s="3"/>
      <c r="R51" s="164"/>
      <c r="S51" s="22"/>
      <c r="T51" s="21"/>
      <c r="U51" s="23"/>
      <c r="V51" s="10"/>
      <c r="W51" s="5">
        <f t="shared" si="8"/>
        <v>45</v>
      </c>
      <c r="X51" s="7">
        <f t="shared" si="9"/>
        <v>100</v>
      </c>
      <c r="Y51" s="8">
        <f t="shared" si="2"/>
        <v>2012</v>
      </c>
      <c r="Z51" s="31">
        <f>IF(AA51=0,"",IF(_ijour122=0,MIN(DATE(YEAR(_debamort122),MONTH(_debamort122)+(W51-1)*_imois122,__jou123),DATE(YEAR(_debamort122),MONTH(_debamort122)+1+(W51-1)*_imois122,0)),DATE(YEAR(_debamort122),MONTH(_debamort122),__jou123+(W51-1)*_ijour122)))</f>
        <v>41153</v>
      </c>
      <c r="AA51" s="156">
        <f t="shared" si="10"/>
        <v>240000</v>
      </c>
      <c r="AB51" s="153">
        <f>IF(W51&lt;=_noechmaxi1t,ROUND(AA51*'Données Projet 1 (2)'!H60,_nbdeci1t1),0)</f>
        <v>200</v>
      </c>
      <c r="AC51" s="152">
        <f>IF(OR(W51&lt;=_differe1t1t,W51&gt;_noechmaxi1t),IF(_difftotal1t1t,-AB51,0),IF(W51&gt;=_noechremb12,AA51,IF('Données Projet 1 (2)'!I60-(AB51*_echfixe12)&gt;AA51-2,AA51,'Données Projet 1 (2)'!I60-(AB51*_echfixe12))))+R51</f>
        <v>0</v>
      </c>
      <c r="AD51" s="154">
        <f t="shared" si="11"/>
        <v>20</v>
      </c>
      <c r="AE51" s="157">
        <f t="shared" si="3"/>
        <v>220</v>
      </c>
    </row>
    <row r="52" spans="1:31" x14ac:dyDescent="0.2">
      <c r="A52" s="3"/>
      <c r="B52" s="164"/>
      <c r="C52" s="22"/>
      <c r="D52" s="21"/>
      <c r="E52" s="23"/>
      <c r="F52" s="10"/>
      <c r="G52" s="5">
        <f t="shared" si="4"/>
        <v>46</v>
      </c>
      <c r="H52" s="7">
        <f t="shared" si="5"/>
        <v>375</v>
      </c>
      <c r="I52" s="8">
        <f t="shared" si="0"/>
        <v>2012</v>
      </c>
      <c r="J52" s="31">
        <f>IF(K52=0,"",IF(_ijour12=0,MIN(DATE(YEAR(_debamort12),MONTH(_debamort12)+_MoisD+(G52-1)*_imois12,_jour212),DATE(YEAR(_debamort12),MONTH(_debamort12)+_MoisD+1+(G52-1)*_imois12,0)),DATE(YEAR(_debamort12),MONTH(_debamort12),_jour12+(G52-1)*_ijour12)))</f>
        <v>41183</v>
      </c>
      <c r="K52" s="156">
        <f t="shared" si="6"/>
        <v>172502.36999999994</v>
      </c>
      <c r="L52" s="153">
        <f>IF(G52&lt;=_noeechmaxi1,ROUND(K52*'Données Projet 1 (2)'!A61,_nbdeci1t),0)</f>
        <v>267.38</v>
      </c>
      <c r="M52" s="152">
        <f>IF(OR(G52&lt;=_differe1t,G52&gt;_noeechmaxi1),IF(_difftotal1t,-L52,0),IF(G52&gt;=_noechremb1t,K52,IF('Données Projet 1 (2)'!B61-(L52*_echfixe1t)&gt;K52-2,K52,'Données Projet 1 (2)'!B61-(L52*_echfixe1t))))+B52</f>
        <v>339.53999999999996</v>
      </c>
      <c r="N52" s="154">
        <f t="shared" si="7"/>
        <v>15.6</v>
      </c>
      <c r="O52" s="157">
        <f t="shared" si="1"/>
        <v>622.52</v>
      </c>
      <c r="Q52" s="3"/>
      <c r="R52" s="164"/>
      <c r="S52" s="22"/>
      <c r="T52" s="21"/>
      <c r="U52" s="23"/>
      <c r="V52" s="10"/>
      <c r="W52" s="5">
        <f t="shared" si="8"/>
        <v>46</v>
      </c>
      <c r="X52" s="7">
        <f t="shared" si="9"/>
        <v>99</v>
      </c>
      <c r="Y52" s="8">
        <f t="shared" si="2"/>
        <v>2012</v>
      </c>
      <c r="Z52" s="31">
        <f>IF(AA52=0,"",IF(_ijour122=0,MIN(DATE(YEAR(_debamort122),MONTH(_debamort122)+_moisd12+(W52-1)*_imois122,__jou21),DATE(YEAR(_debamort122),MONTH(_debamort122)+_moisd12+1+(W52-1)*_imois122,0)),DATE(YEAR(_debamort122),MONTH(_debamort122),__jou123+(W52-1)*_ijour122)))</f>
        <v>41183</v>
      </c>
      <c r="AA52" s="156">
        <f t="shared" si="10"/>
        <v>240000</v>
      </c>
      <c r="AB52" s="153">
        <f>IF(W52&lt;=_noechmaxi1t,ROUND(AA52*'Données Projet 1 (2)'!H61,_nbdeci1t1),0)</f>
        <v>200</v>
      </c>
      <c r="AC52" s="152">
        <f>IF(OR(W52&lt;=_differe1t1t,W52&gt;_noechmaxi1t),IF(_difftotal1t1t,-AB52,0),IF(W52&gt;=_noechremb12,AA52,IF('Données Projet 1 (2)'!I61-(AB52*_echfixe12)&gt;AA52-2,AA52,'Données Projet 1 (2)'!I61-(AB52*_echfixe12))))+R52</f>
        <v>0</v>
      </c>
      <c r="AD52" s="154">
        <f t="shared" si="11"/>
        <v>20</v>
      </c>
      <c r="AE52" s="157">
        <f t="shared" si="3"/>
        <v>220</v>
      </c>
    </row>
    <row r="53" spans="1:31" x14ac:dyDescent="0.2">
      <c r="A53" s="3"/>
      <c r="B53" s="164"/>
      <c r="C53" s="22"/>
      <c r="D53" s="21"/>
      <c r="E53" s="23"/>
      <c r="F53" s="10"/>
      <c r="G53" s="5">
        <f t="shared" si="4"/>
        <v>47</v>
      </c>
      <c r="H53" s="7">
        <f t="shared" si="5"/>
        <v>374</v>
      </c>
      <c r="I53" s="8">
        <f t="shared" si="0"/>
        <v>2012</v>
      </c>
      <c r="J53" s="31">
        <f>IF(K53=0,"",IF(_ijour12=0,MIN(DATE(YEAR(_debamort12),MONTH(_debamort12)+(G53-1)*_imois12,_jour12),DATE(YEAR(_debamort12),MONTH(_debamort12)+1+(G53-1)*_imois12,0)),DATE(YEAR(_debamort12),MONTH(_debamort12),_jour12+(G53-1)*_ijour12)))</f>
        <v>41214</v>
      </c>
      <c r="K53" s="156">
        <f t="shared" si="6"/>
        <v>172162.82999999993</v>
      </c>
      <c r="L53" s="153">
        <f>IF(G53&lt;=_noeechmaxi1,ROUND(K53*'Données Projet 1 (2)'!A62,_nbdeci1t),0)</f>
        <v>266.85000000000002</v>
      </c>
      <c r="M53" s="152">
        <f>IF(OR(G53&lt;=_differe1t,G53&gt;_noeechmaxi1),IF(_difftotal1t,-L53,0),IF(G53&gt;=_noechremb1t,K53,IF('Données Projet 1 (2)'!B62-(L53*_echfixe1t)&gt;K53-2,K53,'Données Projet 1 (2)'!B62-(L53*_echfixe1t))))+B53</f>
        <v>340.06999999999994</v>
      </c>
      <c r="N53" s="154">
        <f t="shared" si="7"/>
        <v>15.6</v>
      </c>
      <c r="O53" s="157">
        <f t="shared" si="1"/>
        <v>622.52</v>
      </c>
      <c r="Q53" s="3"/>
      <c r="R53" s="164"/>
      <c r="S53" s="22"/>
      <c r="T53" s="21"/>
      <c r="U53" s="23"/>
      <c r="V53" s="10"/>
      <c r="W53" s="5">
        <f t="shared" si="8"/>
        <v>47</v>
      </c>
      <c r="X53" s="7">
        <f t="shared" si="9"/>
        <v>98</v>
      </c>
      <c r="Y53" s="8">
        <f t="shared" si="2"/>
        <v>2012</v>
      </c>
      <c r="Z53" s="31">
        <f>IF(AA53=0,"",IF(_ijour122=0,MIN(DATE(YEAR(_debamort122),MONTH(_debamort122)+(W53-1)*_imois122,__jou123),DATE(YEAR(_debamort122),MONTH(_debamort122)+1+(W53-1)*_imois122,0)),DATE(YEAR(_debamort122),MONTH(_debamort122),__jou123+(W53-1)*_ijour122)))</f>
        <v>41214</v>
      </c>
      <c r="AA53" s="156">
        <f t="shared" si="10"/>
        <v>240000</v>
      </c>
      <c r="AB53" s="153">
        <f>IF(W53&lt;=_noechmaxi1t,ROUND(AA53*'Données Projet 1 (2)'!H62,_nbdeci1t1),0)</f>
        <v>200</v>
      </c>
      <c r="AC53" s="152">
        <f>IF(OR(W53&lt;=_differe1t1t,W53&gt;_noechmaxi1t),IF(_difftotal1t1t,-AB53,0),IF(W53&gt;=_noechremb12,AA53,IF('Données Projet 1 (2)'!I62-(AB53*_echfixe12)&gt;AA53-2,AA53,'Données Projet 1 (2)'!I62-(AB53*_echfixe12))))+R53</f>
        <v>0</v>
      </c>
      <c r="AD53" s="154">
        <f t="shared" si="11"/>
        <v>20</v>
      </c>
      <c r="AE53" s="157">
        <f t="shared" si="3"/>
        <v>220</v>
      </c>
    </row>
    <row r="54" spans="1:31" x14ac:dyDescent="0.2">
      <c r="A54" s="3"/>
      <c r="B54" s="164"/>
      <c r="C54" s="22"/>
      <c r="D54" s="21"/>
      <c r="E54" s="23"/>
      <c r="F54" s="10"/>
      <c r="G54" s="5">
        <f t="shared" si="4"/>
        <v>48</v>
      </c>
      <c r="H54" s="7">
        <f t="shared" si="5"/>
        <v>373</v>
      </c>
      <c r="I54" s="8">
        <f t="shared" si="0"/>
        <v>2012</v>
      </c>
      <c r="J54" s="31">
        <f>IF(K54=0,"",IF(_ijour12=0,MIN(DATE(YEAR(_debamort12),MONTH(_debamort12)+_MoisD+(G54-1)*_imois12,_jour212),DATE(YEAR(_debamort12),MONTH(_debamort12)+_MoisD+1+(G54-1)*_imois12,0)),DATE(YEAR(_debamort12),MONTH(_debamort12),_jour12+(G54-1)*_ijour12)))</f>
        <v>41244</v>
      </c>
      <c r="K54" s="156">
        <f t="shared" si="6"/>
        <v>171822.75999999992</v>
      </c>
      <c r="L54" s="153">
        <f>IF(G54&lt;=_noeechmaxi1,ROUND(K54*'Données Projet 1 (2)'!A63,_nbdeci1t),0)</f>
        <v>266.33</v>
      </c>
      <c r="M54" s="152">
        <f>IF(OR(G54&lt;=_differe1t,G54&gt;_noeechmaxi1),IF(_difftotal1t,-L54,0),IF(G54&gt;=_noechremb1t,K54,IF('Données Projet 1 (2)'!B63-(L54*_echfixe1t)&gt;K54-2,K54,'Données Projet 1 (2)'!B63-(L54*_echfixe1t))))+B54</f>
        <v>340.59</v>
      </c>
      <c r="N54" s="154">
        <f t="shared" si="7"/>
        <v>15.6</v>
      </c>
      <c r="O54" s="157">
        <f t="shared" si="1"/>
        <v>622.52</v>
      </c>
      <c r="Q54" s="3"/>
      <c r="R54" s="164"/>
      <c r="S54" s="22"/>
      <c r="T54" s="21"/>
      <c r="U54" s="23"/>
      <c r="V54" s="10"/>
      <c r="W54" s="5">
        <f t="shared" si="8"/>
        <v>48</v>
      </c>
      <c r="X54" s="7">
        <f t="shared" si="9"/>
        <v>97</v>
      </c>
      <c r="Y54" s="8">
        <f t="shared" si="2"/>
        <v>2012</v>
      </c>
      <c r="Z54" s="31">
        <f>IF(AA54=0,"",IF(_ijour122=0,MIN(DATE(YEAR(_debamort122),MONTH(_debamort122)+_moisd12+(W54-1)*_imois122,__jou21),DATE(YEAR(_debamort122),MONTH(_debamort122)+_moisd12+1+(W54-1)*_imois122,0)),DATE(YEAR(_debamort122),MONTH(_debamort122),__jou123+(W54-1)*_ijour122)))</f>
        <v>41244</v>
      </c>
      <c r="AA54" s="156">
        <f t="shared" si="10"/>
        <v>240000</v>
      </c>
      <c r="AB54" s="153">
        <f>IF(W54&lt;=_noechmaxi1t,ROUND(AA54*'Données Projet 1 (2)'!H63,_nbdeci1t1),0)</f>
        <v>200</v>
      </c>
      <c r="AC54" s="152">
        <f>IF(OR(W54&lt;=_differe1t1t,W54&gt;_noechmaxi1t),IF(_difftotal1t1t,-AB54,0),IF(W54&gt;=_noechremb12,AA54,IF('Données Projet 1 (2)'!I63-(AB54*_echfixe12)&gt;AA54-2,AA54,'Données Projet 1 (2)'!I63-(AB54*_echfixe12))))+R54</f>
        <v>0</v>
      </c>
      <c r="AD54" s="154">
        <f t="shared" si="11"/>
        <v>20</v>
      </c>
      <c r="AE54" s="157">
        <f t="shared" si="3"/>
        <v>220</v>
      </c>
    </row>
    <row r="55" spans="1:31" x14ac:dyDescent="0.2">
      <c r="A55" s="3"/>
      <c r="B55" s="164"/>
      <c r="C55" s="22"/>
      <c r="D55" s="21"/>
      <c r="E55" s="23"/>
      <c r="F55" s="10"/>
      <c r="G55" s="5">
        <f t="shared" si="4"/>
        <v>49</v>
      </c>
      <c r="H55" s="7">
        <f t="shared" si="5"/>
        <v>372</v>
      </c>
      <c r="I55" s="8">
        <f t="shared" si="0"/>
        <v>2013</v>
      </c>
      <c r="J55" s="31">
        <f>IF(K55=0,"",IF(_ijour12=0,MIN(DATE(YEAR(_debamort12),MONTH(_debamort12)+(G55-1)*_imois12,_jour12),DATE(YEAR(_debamort12),MONTH(_debamort12)+1+(G55-1)*_imois12,0)),DATE(YEAR(_debamort12),MONTH(_debamort12),_jour12+(G55-1)*_ijour12)))</f>
        <v>41275</v>
      </c>
      <c r="K55" s="156">
        <f t="shared" si="6"/>
        <v>171482.16999999993</v>
      </c>
      <c r="L55" s="153">
        <f>IF(G55&lt;=_noeechmaxi1,ROUND(K55*'Données Projet 1 (2)'!A64,_nbdeci1t),0)</f>
        <v>265.8</v>
      </c>
      <c r="M55" s="152">
        <f>IF(OR(G55&lt;=_differe1t,G55&gt;_noeechmaxi1),IF(_difftotal1t,-L55,0),IF(G55&gt;=_noechremb1t,K55,IF('Données Projet 1 (2)'!B64-(L55*_echfixe1t)&gt;K55-2,K55,'Données Projet 1 (2)'!B64-(L55*_echfixe1t))))+B55</f>
        <v>341.11999999999995</v>
      </c>
      <c r="N55" s="154">
        <f t="shared" si="7"/>
        <v>15.6</v>
      </c>
      <c r="O55" s="157">
        <f t="shared" si="1"/>
        <v>622.52</v>
      </c>
      <c r="Q55" s="3"/>
      <c r="R55" s="164"/>
      <c r="S55" s="22"/>
      <c r="T55" s="21"/>
      <c r="U55" s="23"/>
      <c r="V55" s="10"/>
      <c r="W55" s="5">
        <f t="shared" si="8"/>
        <v>49</v>
      </c>
      <c r="X55" s="7">
        <f t="shared" si="9"/>
        <v>96</v>
      </c>
      <c r="Y55" s="8">
        <f t="shared" si="2"/>
        <v>2013</v>
      </c>
      <c r="Z55" s="31">
        <f>IF(AA55=0,"",IF(_ijour122=0,MIN(DATE(YEAR(_debamort122),MONTH(_debamort122)+(W55-1)*_imois122,__jou123),DATE(YEAR(_debamort122),MONTH(_debamort122)+1+(W55-1)*_imois122,0)),DATE(YEAR(_debamort122),MONTH(_debamort122),__jou123+(W55-1)*_ijour122)))</f>
        <v>41275</v>
      </c>
      <c r="AA55" s="156">
        <f t="shared" si="10"/>
        <v>240000</v>
      </c>
      <c r="AB55" s="153">
        <f>IF(W55&lt;=_noechmaxi1t,ROUND(AA55*'Données Projet 1 (2)'!H64,_nbdeci1t1),0)</f>
        <v>200</v>
      </c>
      <c r="AC55" s="152">
        <f>IF(OR(W55&lt;=_differe1t1t,W55&gt;_noechmaxi1t),IF(_difftotal1t1t,-AB55,0),IF(W55&gt;=_noechremb12,AA55,IF('Données Projet 1 (2)'!I64-(AB55*_echfixe12)&gt;AA55-2,AA55,'Données Projet 1 (2)'!I64-(AB55*_echfixe12))))+R55</f>
        <v>0</v>
      </c>
      <c r="AD55" s="154">
        <f t="shared" si="11"/>
        <v>20</v>
      </c>
      <c r="AE55" s="157">
        <f t="shared" si="3"/>
        <v>220</v>
      </c>
    </row>
    <row r="56" spans="1:31" x14ac:dyDescent="0.2">
      <c r="A56" s="3"/>
      <c r="B56" s="164"/>
      <c r="C56" s="22"/>
      <c r="D56" s="21"/>
      <c r="E56" s="23"/>
      <c r="F56" s="10"/>
      <c r="G56" s="5">
        <f t="shared" si="4"/>
        <v>50</v>
      </c>
      <c r="H56" s="7">
        <f t="shared" si="5"/>
        <v>371</v>
      </c>
      <c r="I56" s="8">
        <f t="shared" si="0"/>
        <v>2013</v>
      </c>
      <c r="J56" s="31">
        <f>IF(K56=0,"",IF(_ijour12=0,MIN(DATE(YEAR(_debamort12),MONTH(_debamort12)+_MoisD+(G56-1)*_imois12,_jour212),DATE(YEAR(_debamort12),MONTH(_debamort12)+_MoisD+1+(G56-1)*_imois12,0)),DATE(YEAR(_debamort12),MONTH(_debamort12),_jour12+(G56-1)*_ijour12)))</f>
        <v>41306</v>
      </c>
      <c r="K56" s="156">
        <f t="shared" si="6"/>
        <v>171141.04999999993</v>
      </c>
      <c r="L56" s="153">
        <f>IF(G56&lt;=_noeechmaxi1,ROUND(K56*'Données Projet 1 (2)'!A65,_nbdeci1t),0)</f>
        <v>265.27</v>
      </c>
      <c r="M56" s="152">
        <f>IF(OR(G56&lt;=_differe1t,G56&gt;_noeechmaxi1),IF(_difftotal1t,-L56,0),IF(G56&gt;=_noechremb1t,K56,IF('Données Projet 1 (2)'!B65-(L56*_echfixe1t)&gt;K56-2,K56,'Données Projet 1 (2)'!B65-(L56*_echfixe1t))))+B56</f>
        <v>341.65</v>
      </c>
      <c r="N56" s="154">
        <f t="shared" si="7"/>
        <v>15.6</v>
      </c>
      <c r="O56" s="157">
        <f t="shared" si="1"/>
        <v>622.52</v>
      </c>
      <c r="Q56" s="3"/>
      <c r="R56" s="164"/>
      <c r="S56" s="22"/>
      <c r="T56" s="21"/>
      <c r="U56" s="23"/>
      <c r="V56" s="10"/>
      <c r="W56" s="5">
        <f t="shared" si="8"/>
        <v>50</v>
      </c>
      <c r="X56" s="7">
        <f t="shared" si="9"/>
        <v>95</v>
      </c>
      <c r="Y56" s="8">
        <f t="shared" si="2"/>
        <v>2013</v>
      </c>
      <c r="Z56" s="31">
        <f>IF(AA56=0,"",IF(_ijour122=0,MIN(DATE(YEAR(_debamort122),MONTH(_debamort122)+_moisd12+(W56-1)*_imois122,__jou21),DATE(YEAR(_debamort122),MONTH(_debamort122)+_moisd12+1+(W56-1)*_imois122,0)),DATE(YEAR(_debamort122),MONTH(_debamort122),__jou123+(W56-1)*_ijour122)))</f>
        <v>41306</v>
      </c>
      <c r="AA56" s="156">
        <f t="shared" si="10"/>
        <v>240000</v>
      </c>
      <c r="AB56" s="153">
        <f>IF(W56&lt;=_noechmaxi1t,ROUND(AA56*'Données Projet 1 (2)'!H65,_nbdeci1t1),0)</f>
        <v>200</v>
      </c>
      <c r="AC56" s="152">
        <f>IF(OR(W56&lt;=_differe1t1t,W56&gt;_noechmaxi1t),IF(_difftotal1t1t,-AB56,0),IF(W56&gt;=_noechremb12,AA56,IF('Données Projet 1 (2)'!I65-(AB56*_echfixe12)&gt;AA56-2,AA56,'Données Projet 1 (2)'!I65-(AB56*_echfixe12))))+R56</f>
        <v>0</v>
      </c>
      <c r="AD56" s="154">
        <f t="shared" si="11"/>
        <v>20</v>
      </c>
      <c r="AE56" s="157">
        <f t="shared" si="3"/>
        <v>220</v>
      </c>
    </row>
    <row r="57" spans="1:31" x14ac:dyDescent="0.2">
      <c r="A57" s="3"/>
      <c r="B57" s="164"/>
      <c r="C57" s="22"/>
      <c r="D57" s="21"/>
      <c r="E57" s="23"/>
      <c r="F57" s="10"/>
      <c r="G57" s="5">
        <f t="shared" si="4"/>
        <v>51</v>
      </c>
      <c r="H57" s="7">
        <f t="shared" si="5"/>
        <v>370</v>
      </c>
      <c r="I57" s="8">
        <f t="shared" si="0"/>
        <v>2013</v>
      </c>
      <c r="J57" s="31">
        <f>IF(K57=0,"",IF(_ijour12=0,MIN(DATE(YEAR(_debamort12),MONTH(_debamort12)+(G57-1)*_imois12,_jour12),DATE(YEAR(_debamort12),MONTH(_debamort12)+1+(G57-1)*_imois12,0)),DATE(YEAR(_debamort12),MONTH(_debamort12),_jour12+(G57-1)*_ijour12)))</f>
        <v>41334</v>
      </c>
      <c r="K57" s="156">
        <f t="shared" si="6"/>
        <v>170799.39999999994</v>
      </c>
      <c r="L57" s="153">
        <f>IF(G57&lt;=_noeechmaxi1,ROUND(K57*'Données Projet 1 (2)'!A66,_nbdeci1t),0)</f>
        <v>264.74</v>
      </c>
      <c r="M57" s="152">
        <f>IF(OR(G57&lt;=_differe1t,G57&gt;_noeechmaxi1),IF(_difftotal1t,-L57,0),IF(G57&gt;=_noechremb1t,K57,IF('Données Projet 1 (2)'!B66-(L57*_echfixe1t)&gt;K57-2,K57,'Données Projet 1 (2)'!B66-(L57*_echfixe1t))))+B57</f>
        <v>342.17999999999995</v>
      </c>
      <c r="N57" s="154">
        <f t="shared" si="7"/>
        <v>15.6</v>
      </c>
      <c r="O57" s="157">
        <f t="shared" si="1"/>
        <v>622.52</v>
      </c>
      <c r="Q57" s="3"/>
      <c r="R57" s="164"/>
      <c r="S57" s="22"/>
      <c r="T57" s="21"/>
      <c r="U57" s="23"/>
      <c r="V57" s="10"/>
      <c r="W57" s="5">
        <f t="shared" si="8"/>
        <v>51</v>
      </c>
      <c r="X57" s="7">
        <f t="shared" si="9"/>
        <v>94</v>
      </c>
      <c r="Y57" s="8">
        <f t="shared" si="2"/>
        <v>2013</v>
      </c>
      <c r="Z57" s="31">
        <f>IF(AA57=0,"",IF(_ijour122=0,MIN(DATE(YEAR(_debamort122),MONTH(_debamort122)+(W57-1)*_imois122,__jou123),DATE(YEAR(_debamort122),MONTH(_debamort122)+1+(W57-1)*_imois122,0)),DATE(YEAR(_debamort122),MONTH(_debamort122),__jou123+(W57-1)*_ijour122)))</f>
        <v>41334</v>
      </c>
      <c r="AA57" s="156">
        <f t="shared" si="10"/>
        <v>240000</v>
      </c>
      <c r="AB57" s="153">
        <f>IF(W57&lt;=_noechmaxi1t,ROUND(AA57*'Données Projet 1 (2)'!H66,_nbdeci1t1),0)</f>
        <v>200</v>
      </c>
      <c r="AC57" s="152">
        <f>IF(OR(W57&lt;=_differe1t1t,W57&gt;_noechmaxi1t),IF(_difftotal1t1t,-AB57,0),IF(W57&gt;=_noechremb12,AA57,IF('Données Projet 1 (2)'!I66-(AB57*_echfixe12)&gt;AA57-2,AA57,'Données Projet 1 (2)'!I66-(AB57*_echfixe12))))+R57</f>
        <v>0</v>
      </c>
      <c r="AD57" s="154">
        <f t="shared" si="11"/>
        <v>20</v>
      </c>
      <c r="AE57" s="157">
        <f t="shared" si="3"/>
        <v>220</v>
      </c>
    </row>
    <row r="58" spans="1:31" x14ac:dyDescent="0.2">
      <c r="A58" s="3"/>
      <c r="B58" s="164"/>
      <c r="C58" s="22"/>
      <c r="D58" s="21"/>
      <c r="E58" s="23"/>
      <c r="F58" s="10"/>
      <c r="G58" s="5">
        <f t="shared" si="4"/>
        <v>52</v>
      </c>
      <c r="H58" s="7">
        <f t="shared" si="5"/>
        <v>369</v>
      </c>
      <c r="I58" s="8">
        <f t="shared" si="0"/>
        <v>2013</v>
      </c>
      <c r="J58" s="31">
        <f>IF(K58=0,"",IF(_ijour12=0,MIN(DATE(YEAR(_debamort12),MONTH(_debamort12)+_MoisD+(G58-1)*_imois12,_jour212),DATE(YEAR(_debamort12),MONTH(_debamort12)+_MoisD+1+(G58-1)*_imois12,0)),DATE(YEAR(_debamort12),MONTH(_debamort12),_jour12+(G58-1)*_ijour12)))</f>
        <v>41365</v>
      </c>
      <c r="K58" s="156">
        <f t="shared" si="6"/>
        <v>170457.21999999994</v>
      </c>
      <c r="L58" s="153">
        <f>IF(G58&lt;=_noeechmaxi1,ROUND(K58*'Données Projet 1 (2)'!A67,_nbdeci1t),0)</f>
        <v>264.20999999999998</v>
      </c>
      <c r="M58" s="152">
        <f>IF(OR(G58&lt;=_differe1t,G58&gt;_noeechmaxi1),IF(_difftotal1t,-L58,0),IF(G58&gt;=_noechremb1t,K58,IF('Données Projet 1 (2)'!B67-(L58*_echfixe1t)&gt;K58-2,K58,'Données Projet 1 (2)'!B67-(L58*_echfixe1t))))+B58</f>
        <v>342.71</v>
      </c>
      <c r="N58" s="154">
        <f t="shared" si="7"/>
        <v>15.6</v>
      </c>
      <c r="O58" s="157">
        <f t="shared" si="1"/>
        <v>622.52</v>
      </c>
      <c r="Q58" s="3"/>
      <c r="R58" s="164"/>
      <c r="S58" s="22"/>
      <c r="T58" s="21"/>
      <c r="U58" s="23"/>
      <c r="V58" s="10"/>
      <c r="W58" s="5">
        <f t="shared" si="8"/>
        <v>52</v>
      </c>
      <c r="X58" s="7">
        <f t="shared" si="9"/>
        <v>93</v>
      </c>
      <c r="Y58" s="8">
        <f t="shared" si="2"/>
        <v>2013</v>
      </c>
      <c r="Z58" s="31">
        <f>IF(AA58=0,"",IF(_ijour122=0,MIN(DATE(YEAR(_debamort122),MONTH(_debamort122)+_moisd12+(W58-1)*_imois122,__jou21),DATE(YEAR(_debamort122),MONTH(_debamort122)+_moisd12+1+(W58-1)*_imois122,0)),DATE(YEAR(_debamort122),MONTH(_debamort122),__jou123+(W58-1)*_ijour122)))</f>
        <v>41365</v>
      </c>
      <c r="AA58" s="156">
        <f t="shared" si="10"/>
        <v>240000</v>
      </c>
      <c r="AB58" s="153">
        <f>IF(W58&lt;=_noechmaxi1t,ROUND(AA58*'Données Projet 1 (2)'!H67,_nbdeci1t1),0)</f>
        <v>200</v>
      </c>
      <c r="AC58" s="152">
        <f>IF(OR(W58&lt;=_differe1t1t,W58&gt;_noechmaxi1t),IF(_difftotal1t1t,-AB58,0),IF(W58&gt;=_noechremb12,AA58,IF('Données Projet 1 (2)'!I67-(AB58*_echfixe12)&gt;AA58-2,AA58,'Données Projet 1 (2)'!I67-(AB58*_echfixe12))))+R58</f>
        <v>0</v>
      </c>
      <c r="AD58" s="154">
        <f t="shared" si="11"/>
        <v>20</v>
      </c>
      <c r="AE58" s="157">
        <f t="shared" si="3"/>
        <v>220</v>
      </c>
    </row>
    <row r="59" spans="1:31" x14ac:dyDescent="0.2">
      <c r="A59" s="3"/>
      <c r="B59" s="164"/>
      <c r="C59" s="22"/>
      <c r="D59" s="21"/>
      <c r="E59" s="23"/>
      <c r="F59" s="10"/>
      <c r="G59" s="5">
        <f t="shared" si="4"/>
        <v>53</v>
      </c>
      <c r="H59" s="7">
        <f t="shared" si="5"/>
        <v>368</v>
      </c>
      <c r="I59" s="8">
        <f t="shared" si="0"/>
        <v>2013</v>
      </c>
      <c r="J59" s="31">
        <f>IF(K59=0,"",IF(_ijour12=0,MIN(DATE(YEAR(_debamort12),MONTH(_debamort12)+(G59-1)*_imois12,_jour12),DATE(YEAR(_debamort12),MONTH(_debamort12)+1+(G59-1)*_imois12,0)),DATE(YEAR(_debamort12),MONTH(_debamort12),_jour12+(G59-1)*_ijour12)))</f>
        <v>41395</v>
      </c>
      <c r="K59" s="156">
        <f t="shared" si="6"/>
        <v>170114.50999999995</v>
      </c>
      <c r="L59" s="153">
        <f>IF(G59&lt;=_noeechmaxi1,ROUND(K59*'Données Projet 1 (2)'!A68,_nbdeci1t),0)</f>
        <v>263.68</v>
      </c>
      <c r="M59" s="152">
        <f>IF(OR(G59&lt;=_differe1t,G59&gt;_noeechmaxi1),IF(_difftotal1t,-L59,0),IF(G59&gt;=_noechremb1t,K59,IF('Données Projet 1 (2)'!B68-(L59*_echfixe1t)&gt;K59-2,K59,'Données Projet 1 (2)'!B68-(L59*_echfixe1t))))+B59</f>
        <v>343.23999999999995</v>
      </c>
      <c r="N59" s="154">
        <f t="shared" si="7"/>
        <v>15.6</v>
      </c>
      <c r="O59" s="157">
        <f t="shared" si="1"/>
        <v>622.52</v>
      </c>
      <c r="Q59" s="3"/>
      <c r="R59" s="164"/>
      <c r="S59" s="22"/>
      <c r="T59" s="21"/>
      <c r="U59" s="23"/>
      <c r="V59" s="10"/>
      <c r="W59" s="5">
        <f t="shared" si="8"/>
        <v>53</v>
      </c>
      <c r="X59" s="7">
        <f t="shared" si="9"/>
        <v>92</v>
      </c>
      <c r="Y59" s="8">
        <f t="shared" si="2"/>
        <v>2013</v>
      </c>
      <c r="Z59" s="31">
        <f>IF(AA59=0,"",IF(_ijour122=0,MIN(DATE(YEAR(_debamort122),MONTH(_debamort122)+(W59-1)*_imois122,__jou123),DATE(YEAR(_debamort122),MONTH(_debamort122)+1+(W59-1)*_imois122,0)),DATE(YEAR(_debamort122),MONTH(_debamort122),__jou123+(W59-1)*_ijour122)))</f>
        <v>41395</v>
      </c>
      <c r="AA59" s="156">
        <f t="shared" si="10"/>
        <v>240000</v>
      </c>
      <c r="AB59" s="153">
        <f>IF(W59&lt;=_noechmaxi1t,ROUND(AA59*'Données Projet 1 (2)'!H68,_nbdeci1t1),0)</f>
        <v>200</v>
      </c>
      <c r="AC59" s="152">
        <f>IF(OR(W59&lt;=_differe1t1t,W59&gt;_noechmaxi1t),IF(_difftotal1t1t,-AB59,0),IF(W59&gt;=_noechremb12,AA59,IF('Données Projet 1 (2)'!I68-(AB59*_echfixe12)&gt;AA59-2,AA59,'Données Projet 1 (2)'!I68-(AB59*_echfixe12))))+R59</f>
        <v>0</v>
      </c>
      <c r="AD59" s="154">
        <f t="shared" si="11"/>
        <v>20</v>
      </c>
      <c r="AE59" s="157">
        <f t="shared" si="3"/>
        <v>220</v>
      </c>
    </row>
    <row r="60" spans="1:31" x14ac:dyDescent="0.2">
      <c r="A60" s="3"/>
      <c r="B60" s="164"/>
      <c r="C60" s="22"/>
      <c r="D60" s="21"/>
      <c r="E60" s="23"/>
      <c r="F60" s="10"/>
      <c r="G60" s="5">
        <f t="shared" si="4"/>
        <v>54</v>
      </c>
      <c r="H60" s="7">
        <f t="shared" si="5"/>
        <v>367</v>
      </c>
      <c r="I60" s="8">
        <f t="shared" si="0"/>
        <v>2013</v>
      </c>
      <c r="J60" s="31">
        <f>IF(K60=0,"",IF(_ijour12=0,MIN(DATE(YEAR(_debamort12),MONTH(_debamort12)+_MoisD+(G60-1)*_imois12,_jour212),DATE(YEAR(_debamort12),MONTH(_debamort12)+_MoisD+1+(G60-1)*_imois12,0)),DATE(YEAR(_debamort12),MONTH(_debamort12),_jour12+(G60-1)*_ijour12)))</f>
        <v>41426</v>
      </c>
      <c r="K60" s="156">
        <f t="shared" si="6"/>
        <v>169771.26999999996</v>
      </c>
      <c r="L60" s="153">
        <f>IF(G60&lt;=_noeechmaxi1,ROUND(K60*'Données Projet 1 (2)'!A69,_nbdeci1t),0)</f>
        <v>263.14999999999998</v>
      </c>
      <c r="M60" s="152">
        <f>IF(OR(G60&lt;=_differe1t,G60&gt;_noeechmaxi1),IF(_difftotal1t,-L60,0),IF(G60&gt;=_noechremb1t,K60,IF('Données Projet 1 (2)'!B69-(L60*_echfixe1t)&gt;K60-2,K60,'Données Projet 1 (2)'!B69-(L60*_echfixe1t))))+B60</f>
        <v>343.77</v>
      </c>
      <c r="N60" s="154">
        <f t="shared" si="7"/>
        <v>15.6</v>
      </c>
      <c r="O60" s="157">
        <f t="shared" si="1"/>
        <v>622.52</v>
      </c>
      <c r="Q60" s="3"/>
      <c r="R60" s="164"/>
      <c r="S60" s="22"/>
      <c r="T60" s="21"/>
      <c r="U60" s="23"/>
      <c r="V60" s="10"/>
      <c r="W60" s="5">
        <f t="shared" si="8"/>
        <v>54</v>
      </c>
      <c r="X60" s="7">
        <f t="shared" si="9"/>
        <v>91</v>
      </c>
      <c r="Y60" s="8">
        <f t="shared" si="2"/>
        <v>2013</v>
      </c>
      <c r="Z60" s="31">
        <f>IF(AA60=0,"",IF(_ijour122=0,MIN(DATE(YEAR(_debamort122),MONTH(_debamort122)+_moisd12+(W60-1)*_imois122,__jou21),DATE(YEAR(_debamort122),MONTH(_debamort122)+_moisd12+1+(W60-1)*_imois122,0)),DATE(YEAR(_debamort122),MONTH(_debamort122),__jou123+(W60-1)*_ijour122)))</f>
        <v>41426</v>
      </c>
      <c r="AA60" s="156">
        <f t="shared" si="10"/>
        <v>240000</v>
      </c>
      <c r="AB60" s="153">
        <f>IF(W60&lt;=_noechmaxi1t,ROUND(AA60*'Données Projet 1 (2)'!H69,_nbdeci1t1),0)</f>
        <v>200</v>
      </c>
      <c r="AC60" s="152">
        <f>IF(OR(W60&lt;=_differe1t1t,W60&gt;_noechmaxi1t),IF(_difftotal1t1t,-AB60,0),IF(W60&gt;=_noechremb12,AA60,IF('Données Projet 1 (2)'!I69-(AB60*_echfixe12)&gt;AA60-2,AA60,'Données Projet 1 (2)'!I69-(AB60*_echfixe12))))+R60</f>
        <v>0</v>
      </c>
      <c r="AD60" s="154">
        <f t="shared" si="11"/>
        <v>20</v>
      </c>
      <c r="AE60" s="157">
        <f t="shared" si="3"/>
        <v>220</v>
      </c>
    </row>
    <row r="61" spans="1:31" x14ac:dyDescent="0.2">
      <c r="A61" s="3"/>
      <c r="B61" s="164"/>
      <c r="C61" s="22"/>
      <c r="D61" s="21"/>
      <c r="E61" s="23"/>
      <c r="F61" s="10"/>
      <c r="G61" s="5">
        <f t="shared" si="4"/>
        <v>55</v>
      </c>
      <c r="H61" s="7">
        <f t="shared" si="5"/>
        <v>366</v>
      </c>
      <c r="I61" s="8">
        <f t="shared" si="0"/>
        <v>2013</v>
      </c>
      <c r="J61" s="31">
        <f>IF(K61=0,"",IF(_ijour12=0,MIN(DATE(YEAR(_debamort12),MONTH(_debamort12)+(G61-1)*_imois12,_jour12),DATE(YEAR(_debamort12),MONTH(_debamort12)+1+(G61-1)*_imois12,0)),DATE(YEAR(_debamort12),MONTH(_debamort12),_jour12+(G61-1)*_ijour12)))</f>
        <v>41456</v>
      </c>
      <c r="K61" s="156">
        <f t="shared" si="6"/>
        <v>169427.49999999997</v>
      </c>
      <c r="L61" s="153">
        <f>IF(G61&lt;=_noeechmaxi1,ROUND(K61*'Données Projet 1 (2)'!A70,_nbdeci1t),0)</f>
        <v>262.61</v>
      </c>
      <c r="M61" s="152">
        <f>IF(OR(G61&lt;=_differe1t,G61&gt;_noeechmaxi1),IF(_difftotal1t,-L61,0),IF(G61&gt;=_noechremb1t,K61,IF('Données Projet 1 (2)'!B70-(L61*_echfixe1t)&gt;K61-2,K61,'Données Projet 1 (2)'!B70-(L61*_echfixe1t))))+B61</f>
        <v>344.30999999999995</v>
      </c>
      <c r="N61" s="154">
        <f t="shared" si="7"/>
        <v>15.6</v>
      </c>
      <c r="O61" s="157">
        <f t="shared" si="1"/>
        <v>622.52</v>
      </c>
      <c r="Q61" s="3"/>
      <c r="R61" s="164"/>
      <c r="S61" s="22"/>
      <c r="T61" s="21"/>
      <c r="U61" s="23"/>
      <c r="V61" s="10"/>
      <c r="W61" s="5">
        <f t="shared" si="8"/>
        <v>55</v>
      </c>
      <c r="X61" s="7">
        <f t="shared" si="9"/>
        <v>90</v>
      </c>
      <c r="Y61" s="8">
        <f t="shared" si="2"/>
        <v>2013</v>
      </c>
      <c r="Z61" s="31">
        <f>IF(AA61=0,"",IF(_ijour122=0,MIN(DATE(YEAR(_debamort122),MONTH(_debamort122)+(W61-1)*_imois122,__jou123),DATE(YEAR(_debamort122),MONTH(_debamort122)+1+(W61-1)*_imois122,0)),DATE(YEAR(_debamort122),MONTH(_debamort122),__jou123+(W61-1)*_ijour122)))</f>
        <v>41456</v>
      </c>
      <c r="AA61" s="156">
        <f t="shared" si="10"/>
        <v>240000</v>
      </c>
      <c r="AB61" s="153">
        <f>IF(W61&lt;=_noechmaxi1t,ROUND(AA61*'Données Projet 1 (2)'!H70,_nbdeci1t1),0)</f>
        <v>200</v>
      </c>
      <c r="AC61" s="152">
        <f>IF(OR(W61&lt;=_differe1t1t,W61&gt;_noechmaxi1t),IF(_difftotal1t1t,-AB61,0),IF(W61&gt;=_noechremb12,AA61,IF('Données Projet 1 (2)'!I70-(AB61*_echfixe12)&gt;AA61-2,AA61,'Données Projet 1 (2)'!I70-(AB61*_echfixe12))))+R61</f>
        <v>0</v>
      </c>
      <c r="AD61" s="154">
        <f t="shared" si="11"/>
        <v>20</v>
      </c>
      <c r="AE61" s="157">
        <f t="shared" si="3"/>
        <v>220</v>
      </c>
    </row>
    <row r="62" spans="1:31" x14ac:dyDescent="0.2">
      <c r="A62" s="3"/>
      <c r="B62" s="164"/>
      <c r="C62" s="22"/>
      <c r="D62" s="21"/>
      <c r="E62" s="23"/>
      <c r="F62" s="10"/>
      <c r="G62" s="5">
        <f t="shared" si="4"/>
        <v>56</v>
      </c>
      <c r="H62" s="7">
        <f t="shared" si="5"/>
        <v>365</v>
      </c>
      <c r="I62" s="8">
        <f t="shared" si="0"/>
        <v>2013</v>
      </c>
      <c r="J62" s="31">
        <f>IF(K62=0,"",IF(_ijour12=0,MIN(DATE(YEAR(_debamort12),MONTH(_debamort12)+_MoisD+(G62-1)*_imois12,_jour212),DATE(YEAR(_debamort12),MONTH(_debamort12)+_MoisD+1+(G62-1)*_imois12,0)),DATE(YEAR(_debamort12),MONTH(_debamort12),_jour12+(G62-1)*_ijour12)))</f>
        <v>41487</v>
      </c>
      <c r="K62" s="156">
        <f t="shared" si="6"/>
        <v>169083.18999999997</v>
      </c>
      <c r="L62" s="153">
        <f>IF(G62&lt;=_noeechmaxi1,ROUND(K62*'Données Projet 1 (2)'!A71,_nbdeci1t),0)</f>
        <v>262.08</v>
      </c>
      <c r="M62" s="152">
        <f>IF(OR(G62&lt;=_differe1t,G62&gt;_noeechmaxi1),IF(_difftotal1t,-L62,0),IF(G62&gt;=_noechremb1t,K62,IF('Données Projet 1 (2)'!B71-(L62*_echfixe1t)&gt;K62-2,K62,'Données Projet 1 (2)'!B71-(L62*_echfixe1t))))+B62</f>
        <v>344.84</v>
      </c>
      <c r="N62" s="154">
        <f t="shared" si="7"/>
        <v>15.6</v>
      </c>
      <c r="O62" s="157">
        <f t="shared" si="1"/>
        <v>622.52</v>
      </c>
      <c r="Q62" s="3"/>
      <c r="R62" s="164"/>
      <c r="S62" s="22"/>
      <c r="T62" s="21"/>
      <c r="U62" s="23"/>
      <c r="V62" s="10"/>
      <c r="W62" s="5">
        <f t="shared" si="8"/>
        <v>56</v>
      </c>
      <c r="X62" s="7">
        <f t="shared" si="9"/>
        <v>89</v>
      </c>
      <c r="Y62" s="8">
        <f t="shared" si="2"/>
        <v>2013</v>
      </c>
      <c r="Z62" s="31">
        <f>IF(AA62=0,"",IF(_ijour122=0,MIN(DATE(YEAR(_debamort122),MONTH(_debamort122)+_moisd12+(W62-1)*_imois122,__jou21),DATE(YEAR(_debamort122),MONTH(_debamort122)+_moisd12+1+(W62-1)*_imois122,0)),DATE(YEAR(_debamort122),MONTH(_debamort122),__jou123+(W62-1)*_ijour122)))</f>
        <v>41487</v>
      </c>
      <c r="AA62" s="156">
        <f t="shared" si="10"/>
        <v>240000</v>
      </c>
      <c r="AB62" s="153">
        <f>IF(W62&lt;=_noechmaxi1t,ROUND(AA62*'Données Projet 1 (2)'!H71,_nbdeci1t1),0)</f>
        <v>200</v>
      </c>
      <c r="AC62" s="152">
        <f>IF(OR(W62&lt;=_differe1t1t,W62&gt;_noechmaxi1t),IF(_difftotal1t1t,-AB62,0),IF(W62&gt;=_noechremb12,AA62,IF('Données Projet 1 (2)'!I71-(AB62*_echfixe12)&gt;AA62-2,AA62,'Données Projet 1 (2)'!I71-(AB62*_echfixe12))))+R62</f>
        <v>0</v>
      </c>
      <c r="AD62" s="154">
        <f t="shared" si="11"/>
        <v>20</v>
      </c>
      <c r="AE62" s="157">
        <f t="shared" si="3"/>
        <v>220</v>
      </c>
    </row>
    <row r="63" spans="1:31" x14ac:dyDescent="0.2">
      <c r="A63" s="3"/>
      <c r="B63" s="164"/>
      <c r="C63" s="22"/>
      <c r="D63" s="21"/>
      <c r="E63" s="23"/>
      <c r="F63" s="10"/>
      <c r="G63" s="5">
        <f t="shared" si="4"/>
        <v>57</v>
      </c>
      <c r="H63" s="7">
        <f t="shared" si="5"/>
        <v>364</v>
      </c>
      <c r="I63" s="8">
        <f t="shared" si="0"/>
        <v>2013</v>
      </c>
      <c r="J63" s="31">
        <f>IF(K63=0,"",IF(_ijour12=0,MIN(DATE(YEAR(_debamort12),MONTH(_debamort12)+(G63-1)*_imois12,_jour12),DATE(YEAR(_debamort12),MONTH(_debamort12)+1+(G63-1)*_imois12,0)),DATE(YEAR(_debamort12),MONTH(_debamort12),_jour12+(G63-1)*_ijour12)))</f>
        <v>41518</v>
      </c>
      <c r="K63" s="156">
        <f t="shared" si="6"/>
        <v>168738.34999999998</v>
      </c>
      <c r="L63" s="153">
        <f>IF(G63&lt;=_noeechmaxi1,ROUND(K63*'Données Projet 1 (2)'!A72,_nbdeci1t),0)</f>
        <v>261.54000000000002</v>
      </c>
      <c r="M63" s="152">
        <f>IF(OR(G63&lt;=_differe1t,G63&gt;_noeechmaxi1),IF(_difftotal1t,-L63,0),IF(G63&gt;=_noechremb1t,K63,IF('Données Projet 1 (2)'!B72-(L63*_echfixe1t)&gt;K63-2,K63,'Données Projet 1 (2)'!B72-(L63*_echfixe1t))))+B63</f>
        <v>345.37999999999994</v>
      </c>
      <c r="N63" s="154">
        <f t="shared" si="7"/>
        <v>15.6</v>
      </c>
      <c r="O63" s="157">
        <f t="shared" si="1"/>
        <v>622.52</v>
      </c>
      <c r="Q63" s="3"/>
      <c r="R63" s="164"/>
      <c r="S63" s="22"/>
      <c r="T63" s="21"/>
      <c r="U63" s="23"/>
      <c r="V63" s="10"/>
      <c r="W63" s="5">
        <f t="shared" si="8"/>
        <v>57</v>
      </c>
      <c r="X63" s="7">
        <f t="shared" si="9"/>
        <v>88</v>
      </c>
      <c r="Y63" s="8">
        <f t="shared" si="2"/>
        <v>2013</v>
      </c>
      <c r="Z63" s="31">
        <f>IF(AA63=0,"",IF(_ijour122=0,MIN(DATE(YEAR(_debamort122),MONTH(_debamort122)+(W63-1)*_imois122,__jou123),DATE(YEAR(_debamort122),MONTH(_debamort122)+1+(W63-1)*_imois122,0)),DATE(YEAR(_debamort122),MONTH(_debamort122),__jou123+(W63-1)*_ijour122)))</f>
        <v>41518</v>
      </c>
      <c r="AA63" s="156">
        <f t="shared" si="10"/>
        <v>240000</v>
      </c>
      <c r="AB63" s="153">
        <f>IF(W63&lt;=_noechmaxi1t,ROUND(AA63*'Données Projet 1 (2)'!H72,_nbdeci1t1),0)</f>
        <v>200</v>
      </c>
      <c r="AC63" s="152">
        <f>IF(OR(W63&lt;=_differe1t1t,W63&gt;_noechmaxi1t),IF(_difftotal1t1t,-AB63,0),IF(W63&gt;=_noechremb12,AA63,IF('Données Projet 1 (2)'!I72-(AB63*_echfixe12)&gt;AA63-2,AA63,'Données Projet 1 (2)'!I72-(AB63*_echfixe12))))+R63</f>
        <v>0</v>
      </c>
      <c r="AD63" s="154">
        <f t="shared" si="11"/>
        <v>20</v>
      </c>
      <c r="AE63" s="157">
        <f t="shared" si="3"/>
        <v>220</v>
      </c>
    </row>
    <row r="64" spans="1:31" x14ac:dyDescent="0.2">
      <c r="A64" s="3"/>
      <c r="B64" s="164"/>
      <c r="C64" s="22"/>
      <c r="D64" s="21"/>
      <c r="E64" s="23"/>
      <c r="F64" s="10"/>
      <c r="G64" s="5">
        <f t="shared" si="4"/>
        <v>58</v>
      </c>
      <c r="H64" s="7">
        <f t="shared" si="5"/>
        <v>363</v>
      </c>
      <c r="I64" s="8">
        <f t="shared" si="0"/>
        <v>2013</v>
      </c>
      <c r="J64" s="31">
        <f>IF(K64=0,"",IF(_ijour12=0,MIN(DATE(YEAR(_debamort12),MONTH(_debamort12)+_MoisD+(G64-1)*_imois12,_jour212),DATE(YEAR(_debamort12),MONTH(_debamort12)+_MoisD+1+(G64-1)*_imois12,0)),DATE(YEAR(_debamort12),MONTH(_debamort12),_jour12+(G64-1)*_ijour12)))</f>
        <v>41548</v>
      </c>
      <c r="K64" s="156">
        <f t="shared" si="6"/>
        <v>168392.96999999997</v>
      </c>
      <c r="L64" s="153">
        <f>IF(G64&lt;=_noeechmaxi1,ROUND(K64*'Données Projet 1 (2)'!A73,_nbdeci1t),0)</f>
        <v>261.01</v>
      </c>
      <c r="M64" s="152">
        <f>IF(OR(G64&lt;=_differe1t,G64&gt;_noeechmaxi1),IF(_difftotal1t,-L64,0),IF(G64&gt;=_noechremb1t,K64,IF('Données Projet 1 (2)'!B73-(L64*_echfixe1t)&gt;K64-2,K64,'Données Projet 1 (2)'!B73-(L64*_echfixe1t))))+B64</f>
        <v>345.90999999999997</v>
      </c>
      <c r="N64" s="154">
        <f t="shared" si="7"/>
        <v>15.6</v>
      </c>
      <c r="O64" s="157">
        <f t="shared" si="1"/>
        <v>622.52</v>
      </c>
      <c r="Q64" s="3"/>
      <c r="R64" s="164"/>
      <c r="S64" s="22"/>
      <c r="T64" s="21"/>
      <c r="U64" s="23"/>
      <c r="V64" s="10"/>
      <c r="W64" s="5">
        <f t="shared" si="8"/>
        <v>58</v>
      </c>
      <c r="X64" s="7">
        <f t="shared" si="9"/>
        <v>87</v>
      </c>
      <c r="Y64" s="8">
        <f t="shared" si="2"/>
        <v>2013</v>
      </c>
      <c r="Z64" s="31">
        <f>IF(AA64=0,"",IF(_ijour122=0,MIN(DATE(YEAR(_debamort122),MONTH(_debamort122)+_moisd12+(W64-1)*_imois122,__jou21),DATE(YEAR(_debamort122),MONTH(_debamort122)+_moisd12+1+(W64-1)*_imois122,0)),DATE(YEAR(_debamort122),MONTH(_debamort122),__jou123+(W64-1)*_ijour122)))</f>
        <v>41548</v>
      </c>
      <c r="AA64" s="156">
        <f t="shared" si="10"/>
        <v>240000</v>
      </c>
      <c r="AB64" s="153">
        <f>IF(W64&lt;=_noechmaxi1t,ROUND(AA64*'Données Projet 1 (2)'!H73,_nbdeci1t1),0)</f>
        <v>200</v>
      </c>
      <c r="AC64" s="152">
        <f>IF(OR(W64&lt;=_differe1t1t,W64&gt;_noechmaxi1t),IF(_difftotal1t1t,-AB64,0),IF(W64&gt;=_noechremb12,AA64,IF('Données Projet 1 (2)'!I73-(AB64*_echfixe12)&gt;AA64-2,AA64,'Données Projet 1 (2)'!I73-(AB64*_echfixe12))))+R64</f>
        <v>0</v>
      </c>
      <c r="AD64" s="154">
        <f t="shared" si="11"/>
        <v>20</v>
      </c>
      <c r="AE64" s="157">
        <f t="shared" si="3"/>
        <v>220</v>
      </c>
    </row>
    <row r="65" spans="1:31" x14ac:dyDescent="0.2">
      <c r="A65" s="3"/>
      <c r="B65" s="164"/>
      <c r="C65" s="22"/>
      <c r="D65" s="21"/>
      <c r="E65" s="23"/>
      <c r="F65" s="10"/>
      <c r="G65" s="5">
        <f t="shared" si="4"/>
        <v>59</v>
      </c>
      <c r="H65" s="7">
        <f t="shared" si="5"/>
        <v>362</v>
      </c>
      <c r="I65" s="8">
        <f t="shared" si="0"/>
        <v>2013</v>
      </c>
      <c r="J65" s="31">
        <f>IF(K65=0,"",IF(_ijour12=0,MIN(DATE(YEAR(_debamort12),MONTH(_debamort12)+(G65-1)*_imois12,_jour12),DATE(YEAR(_debamort12),MONTH(_debamort12)+1+(G65-1)*_imois12,0)),DATE(YEAR(_debamort12),MONTH(_debamort12),_jour12+(G65-1)*_ijour12)))</f>
        <v>41579</v>
      </c>
      <c r="K65" s="156">
        <f t="shared" si="6"/>
        <v>168047.05999999997</v>
      </c>
      <c r="L65" s="153">
        <f>IF(G65&lt;=_noeechmaxi1,ROUND(K65*'Données Projet 1 (2)'!A74,_nbdeci1t),0)</f>
        <v>260.47000000000003</v>
      </c>
      <c r="M65" s="152">
        <f>IF(OR(G65&lt;=_differe1t,G65&gt;_noeechmaxi1),IF(_difftotal1t,-L65,0),IF(G65&gt;=_noechremb1t,K65,IF('Données Projet 1 (2)'!B74-(L65*_echfixe1t)&gt;K65-2,K65,'Données Projet 1 (2)'!B74-(L65*_echfixe1t))))+B65</f>
        <v>346.44999999999993</v>
      </c>
      <c r="N65" s="154">
        <f t="shared" si="7"/>
        <v>15.6</v>
      </c>
      <c r="O65" s="157">
        <f t="shared" si="1"/>
        <v>622.52</v>
      </c>
      <c r="Q65" s="3"/>
      <c r="R65" s="164"/>
      <c r="S65" s="22"/>
      <c r="T65" s="21"/>
      <c r="U65" s="23"/>
      <c r="V65" s="10"/>
      <c r="W65" s="5">
        <f t="shared" si="8"/>
        <v>59</v>
      </c>
      <c r="X65" s="7">
        <f t="shared" si="9"/>
        <v>86</v>
      </c>
      <c r="Y65" s="8">
        <f t="shared" si="2"/>
        <v>2013</v>
      </c>
      <c r="Z65" s="31">
        <f>IF(AA65=0,"",IF(_ijour122=0,MIN(DATE(YEAR(_debamort122),MONTH(_debamort122)+(W65-1)*_imois122,__jou123),DATE(YEAR(_debamort122),MONTH(_debamort122)+1+(W65-1)*_imois122,0)),DATE(YEAR(_debamort122),MONTH(_debamort122),__jou123+(W65-1)*_ijour122)))</f>
        <v>41579</v>
      </c>
      <c r="AA65" s="156">
        <f t="shared" si="10"/>
        <v>240000</v>
      </c>
      <c r="AB65" s="153">
        <f>IF(W65&lt;=_noechmaxi1t,ROUND(AA65*'Données Projet 1 (2)'!H74,_nbdeci1t1),0)</f>
        <v>200</v>
      </c>
      <c r="AC65" s="152">
        <f>IF(OR(W65&lt;=_differe1t1t,W65&gt;_noechmaxi1t),IF(_difftotal1t1t,-AB65,0),IF(W65&gt;=_noechremb12,AA65,IF('Données Projet 1 (2)'!I74-(AB65*_echfixe12)&gt;AA65-2,AA65,'Données Projet 1 (2)'!I74-(AB65*_echfixe12))))+R65</f>
        <v>0</v>
      </c>
      <c r="AD65" s="154">
        <f t="shared" si="11"/>
        <v>20</v>
      </c>
      <c r="AE65" s="157">
        <f t="shared" si="3"/>
        <v>220</v>
      </c>
    </row>
    <row r="66" spans="1:31" x14ac:dyDescent="0.2">
      <c r="A66" s="3"/>
      <c r="B66" s="164"/>
      <c r="C66" s="22"/>
      <c r="D66" s="21"/>
      <c r="E66" s="23"/>
      <c r="F66" s="10"/>
      <c r="G66" s="5">
        <f t="shared" si="4"/>
        <v>60</v>
      </c>
      <c r="H66" s="7">
        <f t="shared" si="5"/>
        <v>361</v>
      </c>
      <c r="I66" s="8">
        <f t="shared" si="0"/>
        <v>2013</v>
      </c>
      <c r="J66" s="31">
        <f>IF(K66=0,"",IF(_ijour12=0,MIN(DATE(YEAR(_debamort12),MONTH(_debamort12)+_MoisD+(G66-1)*_imois12,_jour212),DATE(YEAR(_debamort12),MONTH(_debamort12)+_MoisD+1+(G66-1)*_imois12,0)),DATE(YEAR(_debamort12),MONTH(_debamort12),_jour12+(G66-1)*_ijour12)))</f>
        <v>41609</v>
      </c>
      <c r="K66" s="156">
        <f t="shared" si="6"/>
        <v>167700.60999999996</v>
      </c>
      <c r="L66" s="153">
        <f>IF(G66&lt;=_noeechmaxi1,ROUND(K66*'Données Projet 1 (2)'!A75,_nbdeci1t),0)</f>
        <v>259.94</v>
      </c>
      <c r="M66" s="152">
        <f>IF(OR(G66&lt;=_differe1t,G66&gt;_noeechmaxi1),IF(_difftotal1t,-L66,0),IF(G66&gt;=_noechremb1t,K66,IF('Données Projet 1 (2)'!B75-(L66*_echfixe1t)&gt;K66-2,K66,'Données Projet 1 (2)'!B75-(L66*_echfixe1t))))+B66</f>
        <v>346.97999999999996</v>
      </c>
      <c r="N66" s="154">
        <f t="shared" si="7"/>
        <v>15.6</v>
      </c>
      <c r="O66" s="157">
        <f t="shared" si="1"/>
        <v>622.52</v>
      </c>
      <c r="Q66" s="3"/>
      <c r="R66" s="164"/>
      <c r="S66" s="22"/>
      <c r="T66" s="21"/>
      <c r="U66" s="23"/>
      <c r="V66" s="10"/>
      <c r="W66" s="5">
        <f t="shared" si="8"/>
        <v>60</v>
      </c>
      <c r="X66" s="7">
        <f t="shared" si="9"/>
        <v>85</v>
      </c>
      <c r="Y66" s="8">
        <f t="shared" si="2"/>
        <v>2013</v>
      </c>
      <c r="Z66" s="31">
        <f>IF(AA66=0,"",IF(_ijour122=0,MIN(DATE(YEAR(_debamort122),MONTH(_debamort122)+_moisd12+(W66-1)*_imois122,__jou21),DATE(YEAR(_debamort122),MONTH(_debamort122)+_moisd12+1+(W66-1)*_imois122,0)),DATE(YEAR(_debamort122),MONTH(_debamort122),__jou123+(W66-1)*_ijour122)))</f>
        <v>41609</v>
      </c>
      <c r="AA66" s="156">
        <f t="shared" si="10"/>
        <v>240000</v>
      </c>
      <c r="AB66" s="153">
        <f>IF(W66&lt;=_noechmaxi1t,ROUND(AA66*'Données Projet 1 (2)'!H75,_nbdeci1t1),0)</f>
        <v>200</v>
      </c>
      <c r="AC66" s="152">
        <f>IF(OR(W66&lt;=_differe1t1t,W66&gt;_noechmaxi1t),IF(_difftotal1t1t,-AB66,0),IF(W66&gt;=_noechremb12,AA66,IF('Données Projet 1 (2)'!I75-(AB66*_echfixe12)&gt;AA66-2,AA66,'Données Projet 1 (2)'!I75-(AB66*_echfixe12))))+R66</f>
        <v>0</v>
      </c>
      <c r="AD66" s="154">
        <f t="shared" si="11"/>
        <v>20</v>
      </c>
      <c r="AE66" s="157">
        <f t="shared" si="3"/>
        <v>220</v>
      </c>
    </row>
    <row r="67" spans="1:31" x14ac:dyDescent="0.2">
      <c r="A67" s="3"/>
      <c r="B67" s="164"/>
      <c r="C67" s="22"/>
      <c r="D67" s="21"/>
      <c r="E67" s="23"/>
      <c r="F67" s="10"/>
      <c r="G67" s="5">
        <f t="shared" si="4"/>
        <v>61</v>
      </c>
      <c r="H67" s="7">
        <f t="shared" si="5"/>
        <v>360</v>
      </c>
      <c r="I67" s="8">
        <f t="shared" si="0"/>
        <v>2014</v>
      </c>
      <c r="J67" s="31">
        <f>IF(K67=0,"",IF(_ijour12=0,MIN(DATE(YEAR(_debamort12),MONTH(_debamort12)+(G67-1)*_imois12,_jour12),DATE(YEAR(_debamort12),MONTH(_debamort12)+1+(G67-1)*_imois12,0)),DATE(YEAR(_debamort12),MONTH(_debamort12),_jour12+(G67-1)*_ijour12)))</f>
        <v>41640</v>
      </c>
      <c r="K67" s="156">
        <f t="shared" si="6"/>
        <v>167353.62999999995</v>
      </c>
      <c r="L67" s="153">
        <f>IF(G67&lt;=_noeechmaxi1,ROUND(K67*'Données Projet 1 (2)'!A76,_nbdeci1t),0)</f>
        <v>259.39999999999998</v>
      </c>
      <c r="M67" s="152">
        <f>IF(OR(G67&lt;=_differe1t,G67&gt;_noeechmaxi1),IF(_difftotal1t,-L67,0),IF(G67&gt;=_noechremb1t,K67,IF('Données Projet 1 (2)'!B76-(L67*_echfixe1t)&gt;K67-2,K67,'Données Projet 1 (2)'!B76-(L67*_echfixe1t))))+B67</f>
        <v>347.52</v>
      </c>
      <c r="N67" s="154">
        <f t="shared" si="7"/>
        <v>15.6</v>
      </c>
      <c r="O67" s="157">
        <f t="shared" si="1"/>
        <v>622.52</v>
      </c>
      <c r="Q67" s="3"/>
      <c r="R67" s="164"/>
      <c r="S67" s="22"/>
      <c r="T67" s="21"/>
      <c r="U67" s="23"/>
      <c r="V67" s="10"/>
      <c r="W67" s="5">
        <f t="shared" si="8"/>
        <v>61</v>
      </c>
      <c r="X67" s="7">
        <f t="shared" si="9"/>
        <v>84</v>
      </c>
      <c r="Y67" s="8">
        <f t="shared" si="2"/>
        <v>2014</v>
      </c>
      <c r="Z67" s="31">
        <f>IF(AA67=0,"",IF(_ijour122=0,MIN(DATE(YEAR(_debamort122),MONTH(_debamort122)+(W67-1)*_imois122,__jou123),DATE(YEAR(_debamort122),MONTH(_debamort122)+1+(W67-1)*_imois122,0)),DATE(YEAR(_debamort122),MONTH(_debamort122),__jou123+(W67-1)*_ijour122)))</f>
        <v>41640</v>
      </c>
      <c r="AA67" s="156">
        <f t="shared" si="10"/>
        <v>240000</v>
      </c>
      <c r="AB67" s="153">
        <f>IF(W67&lt;=_noechmaxi1t,ROUND(AA67*'Données Projet 1 (2)'!H76,_nbdeci1t1),0)</f>
        <v>200</v>
      </c>
      <c r="AC67" s="152">
        <f>IF(OR(W67&lt;=_differe1t1t,W67&gt;_noechmaxi1t),IF(_difftotal1t1t,-AB67,0),IF(W67&gt;=_noechremb12,AA67,IF('Données Projet 1 (2)'!I76-(AB67*_echfixe12)&gt;AA67-2,AA67,'Données Projet 1 (2)'!I76-(AB67*_echfixe12))))+R67</f>
        <v>0</v>
      </c>
      <c r="AD67" s="154">
        <f t="shared" si="11"/>
        <v>20</v>
      </c>
      <c r="AE67" s="157">
        <f t="shared" si="3"/>
        <v>220</v>
      </c>
    </row>
    <row r="68" spans="1:31" x14ac:dyDescent="0.2">
      <c r="A68" s="3"/>
      <c r="B68" s="164"/>
      <c r="C68" s="22"/>
      <c r="D68" s="21"/>
      <c r="E68" s="23"/>
      <c r="F68" s="10"/>
      <c r="G68" s="5">
        <f t="shared" si="4"/>
        <v>62</v>
      </c>
      <c r="H68" s="7">
        <f t="shared" si="5"/>
        <v>359</v>
      </c>
      <c r="I68" s="8">
        <f t="shared" si="0"/>
        <v>2014</v>
      </c>
      <c r="J68" s="31">
        <f>IF(K68=0,"",IF(_ijour12=0,MIN(DATE(YEAR(_debamort12),MONTH(_debamort12)+_MoisD+(G68-1)*_imois12,_jour212),DATE(YEAR(_debamort12),MONTH(_debamort12)+_MoisD+1+(G68-1)*_imois12,0)),DATE(YEAR(_debamort12),MONTH(_debamort12),_jour12+(G68-1)*_ijour12)))</f>
        <v>41671</v>
      </c>
      <c r="K68" s="156">
        <f t="shared" si="6"/>
        <v>167006.10999999996</v>
      </c>
      <c r="L68" s="153">
        <f>IF(G68&lt;=_noeechmaxi1,ROUND(K68*'Données Projet 1 (2)'!A77,_nbdeci1t),0)</f>
        <v>258.86</v>
      </c>
      <c r="M68" s="152">
        <f>IF(OR(G68&lt;=_differe1t,G68&gt;_noeechmaxi1),IF(_difftotal1t,-L68,0),IF(G68&gt;=_noechremb1t,K68,IF('Données Projet 1 (2)'!B77-(L68*_echfixe1t)&gt;K68-2,K68,'Données Projet 1 (2)'!B77-(L68*_echfixe1t))))+B68</f>
        <v>348.05999999999995</v>
      </c>
      <c r="N68" s="154">
        <f t="shared" si="7"/>
        <v>15.6</v>
      </c>
      <c r="O68" s="157">
        <f t="shared" si="1"/>
        <v>622.52</v>
      </c>
      <c r="Q68" s="3"/>
      <c r="R68" s="164"/>
      <c r="S68" s="22"/>
      <c r="T68" s="21"/>
      <c r="U68" s="23"/>
      <c r="V68" s="10"/>
      <c r="W68" s="5">
        <f t="shared" si="8"/>
        <v>62</v>
      </c>
      <c r="X68" s="7">
        <f t="shared" si="9"/>
        <v>83</v>
      </c>
      <c r="Y68" s="8">
        <f t="shared" si="2"/>
        <v>2014</v>
      </c>
      <c r="Z68" s="31">
        <f>IF(AA68=0,"",IF(_ijour122=0,MIN(DATE(YEAR(_debamort122),MONTH(_debamort122)+_moisd12+(W68-1)*_imois122,__jou21),DATE(YEAR(_debamort122),MONTH(_debamort122)+_moisd12+1+(W68-1)*_imois122,0)),DATE(YEAR(_debamort122),MONTH(_debamort122),__jou123+(W68-1)*_ijour122)))</f>
        <v>41671</v>
      </c>
      <c r="AA68" s="156">
        <f t="shared" si="10"/>
        <v>240000</v>
      </c>
      <c r="AB68" s="153">
        <f>IF(W68&lt;=_noechmaxi1t,ROUND(AA68*'Données Projet 1 (2)'!H77,_nbdeci1t1),0)</f>
        <v>200</v>
      </c>
      <c r="AC68" s="152">
        <f>IF(OR(W68&lt;=_differe1t1t,W68&gt;_noechmaxi1t),IF(_difftotal1t1t,-AB68,0),IF(W68&gt;=_noechremb12,AA68,IF('Données Projet 1 (2)'!I77-(AB68*_echfixe12)&gt;AA68-2,AA68,'Données Projet 1 (2)'!I77-(AB68*_echfixe12))))+R68</f>
        <v>0</v>
      </c>
      <c r="AD68" s="154">
        <f t="shared" si="11"/>
        <v>20</v>
      </c>
      <c r="AE68" s="157">
        <f t="shared" si="3"/>
        <v>220</v>
      </c>
    </row>
    <row r="69" spans="1:31" x14ac:dyDescent="0.2">
      <c r="A69" s="3"/>
      <c r="B69" s="164"/>
      <c r="C69" s="22"/>
      <c r="D69" s="21"/>
      <c r="E69" s="23"/>
      <c r="F69" s="10"/>
      <c r="G69" s="5">
        <f t="shared" si="4"/>
        <v>63</v>
      </c>
      <c r="H69" s="7">
        <f t="shared" si="5"/>
        <v>358</v>
      </c>
      <c r="I69" s="8">
        <f t="shared" si="0"/>
        <v>2014</v>
      </c>
      <c r="J69" s="31">
        <f>IF(K69=0,"",IF(_ijour12=0,MIN(DATE(YEAR(_debamort12),MONTH(_debamort12)+(G69-1)*_imois12,_jour12),DATE(YEAR(_debamort12),MONTH(_debamort12)+1+(G69-1)*_imois12,0)),DATE(YEAR(_debamort12),MONTH(_debamort12),_jour12+(G69-1)*_ijour12)))</f>
        <v>41699</v>
      </c>
      <c r="K69" s="156">
        <f t="shared" si="6"/>
        <v>166658.04999999996</v>
      </c>
      <c r="L69" s="153">
        <f>IF(G69&lt;=_noeechmaxi1,ROUND(K69*'Données Projet 1 (2)'!A78,_nbdeci1t),0)</f>
        <v>258.32</v>
      </c>
      <c r="M69" s="152">
        <f>IF(OR(G69&lt;=_differe1t,G69&gt;_noeechmaxi1),IF(_difftotal1t,-L69,0),IF(G69&gt;=_noechremb1t,K69,IF('Données Projet 1 (2)'!B78-(L69*_echfixe1t)&gt;K69-2,K69,'Données Projet 1 (2)'!B78-(L69*_echfixe1t))))+B69</f>
        <v>348.59999999999997</v>
      </c>
      <c r="N69" s="154">
        <f t="shared" si="7"/>
        <v>15.6</v>
      </c>
      <c r="O69" s="157">
        <f t="shared" si="1"/>
        <v>622.52</v>
      </c>
      <c r="Q69" s="3"/>
      <c r="R69" s="164"/>
      <c r="S69" s="22"/>
      <c r="T69" s="21"/>
      <c r="U69" s="23"/>
      <c r="V69" s="10"/>
      <c r="W69" s="5">
        <f t="shared" si="8"/>
        <v>63</v>
      </c>
      <c r="X69" s="7">
        <f t="shared" si="9"/>
        <v>82</v>
      </c>
      <c r="Y69" s="8">
        <f t="shared" si="2"/>
        <v>2014</v>
      </c>
      <c r="Z69" s="31">
        <f>IF(AA69=0,"",IF(_ijour122=0,MIN(DATE(YEAR(_debamort122),MONTH(_debamort122)+(W69-1)*_imois122,__jou123),DATE(YEAR(_debamort122),MONTH(_debamort122)+1+(W69-1)*_imois122,0)),DATE(YEAR(_debamort122),MONTH(_debamort122),__jou123+(W69-1)*_ijour122)))</f>
        <v>41699</v>
      </c>
      <c r="AA69" s="156">
        <f t="shared" si="10"/>
        <v>240000</v>
      </c>
      <c r="AB69" s="153">
        <f>IF(W69&lt;=_noechmaxi1t,ROUND(AA69*'Données Projet 1 (2)'!H78,_nbdeci1t1),0)</f>
        <v>200</v>
      </c>
      <c r="AC69" s="152">
        <f>IF(OR(W69&lt;=_differe1t1t,W69&gt;_noechmaxi1t),IF(_difftotal1t1t,-AB69,0),IF(W69&gt;=_noechremb12,AA69,IF('Données Projet 1 (2)'!I78-(AB69*_echfixe12)&gt;AA69-2,AA69,'Données Projet 1 (2)'!I78-(AB69*_echfixe12))))+R69</f>
        <v>0</v>
      </c>
      <c r="AD69" s="154">
        <f t="shared" si="11"/>
        <v>20</v>
      </c>
      <c r="AE69" s="157">
        <f t="shared" si="3"/>
        <v>220</v>
      </c>
    </row>
    <row r="70" spans="1:31" x14ac:dyDescent="0.2">
      <c r="A70" s="3"/>
      <c r="B70" s="164"/>
      <c r="C70" s="22"/>
      <c r="D70" s="21"/>
      <c r="E70" s="23"/>
      <c r="F70" s="10"/>
      <c r="G70" s="5">
        <f t="shared" si="4"/>
        <v>64</v>
      </c>
      <c r="H70" s="7">
        <f t="shared" si="5"/>
        <v>357</v>
      </c>
      <c r="I70" s="8">
        <f t="shared" ref="I70:I133" si="12">IF(ISNUMBER(J70),YEAR(J70),"")</f>
        <v>2014</v>
      </c>
      <c r="J70" s="31">
        <f>IF(K70=0,"",IF(_ijour12=0,MIN(DATE(YEAR(_debamort12),MONTH(_debamort12)+_MoisD+(G70-1)*_imois12,_jour212),DATE(YEAR(_debamort12),MONTH(_debamort12)+_MoisD+1+(G70-1)*_imois12,0)),DATE(YEAR(_debamort12),MONTH(_debamort12),_jour12+(G70-1)*_ijour12)))</f>
        <v>41730</v>
      </c>
      <c r="K70" s="156">
        <f t="shared" si="6"/>
        <v>166309.44999999995</v>
      </c>
      <c r="L70" s="153">
        <f>IF(G70&lt;=_noeechmaxi1,ROUND(K70*'Données Projet 1 (2)'!A79,_nbdeci1t),0)</f>
        <v>257.77999999999997</v>
      </c>
      <c r="M70" s="152">
        <f>IF(OR(G70&lt;=_differe1t,G70&gt;_noeechmaxi1),IF(_difftotal1t,-L70,0),IF(G70&gt;=_noechremb1t,K70,IF('Données Projet 1 (2)'!B79-(L70*_echfixe1t)&gt;K70-2,K70,'Données Projet 1 (2)'!B79-(L70*_echfixe1t))))+B70</f>
        <v>349.14</v>
      </c>
      <c r="N70" s="154">
        <f t="shared" si="7"/>
        <v>15.6</v>
      </c>
      <c r="O70" s="157">
        <f t="shared" ref="O70:O133" si="13">SUM(L70:N70)</f>
        <v>622.52</v>
      </c>
      <c r="Q70" s="3"/>
      <c r="R70" s="164"/>
      <c r="S70" s="22"/>
      <c r="T70" s="21"/>
      <c r="U70" s="23"/>
      <c r="V70" s="10"/>
      <c r="W70" s="5">
        <f t="shared" si="8"/>
        <v>64</v>
      </c>
      <c r="X70" s="7">
        <f t="shared" si="9"/>
        <v>81</v>
      </c>
      <c r="Y70" s="8">
        <f t="shared" ref="Y70:Y133" si="14">IF(ISNUMBER(Z70),YEAR(Z70),"")</f>
        <v>2014</v>
      </c>
      <c r="Z70" s="31">
        <f>IF(AA70=0,"",IF(_ijour122=0,MIN(DATE(YEAR(_debamort122),MONTH(_debamort122)+_moisd12+(W70-1)*_imois122,__jou21),DATE(YEAR(_debamort122),MONTH(_debamort122)+_moisd12+1+(W70-1)*_imois122,0)),DATE(YEAR(_debamort122),MONTH(_debamort122),__jou123+(W70-1)*_ijour122)))</f>
        <v>41730</v>
      </c>
      <c r="AA70" s="156">
        <f t="shared" si="10"/>
        <v>240000</v>
      </c>
      <c r="AB70" s="153">
        <f>IF(W70&lt;=_noechmaxi1t,ROUND(AA70*'Données Projet 1 (2)'!H79,_nbdeci1t1),0)</f>
        <v>200</v>
      </c>
      <c r="AC70" s="152">
        <f>IF(OR(W70&lt;=_differe1t1t,W70&gt;_noechmaxi1t),IF(_difftotal1t1t,-AB70,0),IF(W70&gt;=_noechremb12,AA70,IF('Données Projet 1 (2)'!I79-(AB70*_echfixe12)&gt;AA70-2,AA70,'Données Projet 1 (2)'!I79-(AB70*_echfixe12))))+R70</f>
        <v>0</v>
      </c>
      <c r="AD70" s="154">
        <f t="shared" si="11"/>
        <v>20</v>
      </c>
      <c r="AE70" s="157">
        <f t="shared" ref="AE70:AE133" si="15">SUM(AB70:AD70)</f>
        <v>220</v>
      </c>
    </row>
    <row r="71" spans="1:31" x14ac:dyDescent="0.2">
      <c r="A71" s="3"/>
      <c r="B71" s="164"/>
      <c r="C71" s="22"/>
      <c r="D71" s="21"/>
      <c r="E71" s="23"/>
      <c r="F71" s="10"/>
      <c r="G71" s="5">
        <f t="shared" ref="G71:G134" si="16">IF(K71=0,"",G70+1)</f>
        <v>65</v>
      </c>
      <c r="H71" s="7">
        <f t="shared" ref="H71:H134" si="17">IF(K71&gt;0,_nbech123+_differe1t+1-G71,"")</f>
        <v>356</v>
      </c>
      <c r="I71" s="8">
        <f t="shared" si="12"/>
        <v>2014</v>
      </c>
      <c r="J71" s="31">
        <f>IF(K71=0,"",IF(_ijour12=0,MIN(DATE(YEAR(_debamort12),MONTH(_debamort12)+(G71-1)*_imois12,_jour12),DATE(YEAR(_debamort12),MONTH(_debamort12)+1+(G71-1)*_imois12,0)),DATE(YEAR(_debamort12),MONTH(_debamort12),_jour12+(G71-1)*_ijour12)))</f>
        <v>41760</v>
      </c>
      <c r="K71" s="156">
        <f t="shared" ref="K71:K134" si="18">K70-M70</f>
        <v>165960.30999999994</v>
      </c>
      <c r="L71" s="153">
        <f>IF(G71&lt;=_noeechmaxi1,ROUND(K71*'Données Projet 1 (2)'!A80,_nbdeci1t),0)</f>
        <v>257.24</v>
      </c>
      <c r="M71" s="152">
        <f>IF(OR(G71&lt;=_differe1t,G71&gt;_noeechmaxi1),IF(_difftotal1t,-L71,0),IF(G71&gt;=_noechremb1t,K71,IF('Données Projet 1 (2)'!B80-(L71*_echfixe1t)&gt;K71-2,K71,'Données Projet 1 (2)'!B80-(L71*_echfixe1t))))+B71</f>
        <v>349.67999999999995</v>
      </c>
      <c r="N71" s="154">
        <f t="shared" ref="N71:N134" si="19">IF(OR(K71=0,G71&gt;_noeechmaxi1),0,ROUND(_fraisf12+_fraisv12*K71,_nbdeci1t))+E71</f>
        <v>15.6</v>
      </c>
      <c r="O71" s="157">
        <f t="shared" si="13"/>
        <v>622.52</v>
      </c>
      <c r="Q71" s="3"/>
      <c r="R71" s="164"/>
      <c r="S71" s="22"/>
      <c r="T71" s="21"/>
      <c r="U71" s="23"/>
      <c r="V71" s="10"/>
      <c r="W71" s="5">
        <f t="shared" ref="W71:W134" si="20">IF(AA71=0,"",W70+1)</f>
        <v>65</v>
      </c>
      <c r="X71" s="7">
        <f t="shared" ref="X71:X134" si="21">IF(AA71&gt;0,_nbech1234+_differe1t1t+1-W71,"")</f>
        <v>80</v>
      </c>
      <c r="Y71" s="8">
        <f t="shared" si="14"/>
        <v>2014</v>
      </c>
      <c r="Z71" s="31">
        <f>IF(AA71=0,"",IF(_ijour122=0,MIN(DATE(YEAR(_debamort122),MONTH(_debamort122)+(W71-1)*_imois122,__jou123),DATE(YEAR(_debamort122),MONTH(_debamort122)+1+(W71-1)*_imois122,0)),DATE(YEAR(_debamort122),MONTH(_debamort122),__jou123+(W71-1)*_ijour122)))</f>
        <v>41760</v>
      </c>
      <c r="AA71" s="156">
        <f t="shared" ref="AA71:AA134" si="22">AA70-AC70</f>
        <v>240000</v>
      </c>
      <c r="AB71" s="153">
        <f>IF(W71&lt;=_noechmaxi1t,ROUND(AA71*'Données Projet 1 (2)'!H80,_nbdeci1t1),0)</f>
        <v>200</v>
      </c>
      <c r="AC71" s="152">
        <f>IF(OR(W71&lt;=_differe1t1t,W71&gt;_noechmaxi1t),IF(_difftotal1t1t,-AB71,0),IF(W71&gt;=_noechremb12,AA71,IF('Données Projet 1 (2)'!I80-(AB71*_echfixe12)&gt;AA71-2,AA71,'Données Projet 1 (2)'!I80-(AB71*_echfixe12))))+R71</f>
        <v>0</v>
      </c>
      <c r="AD71" s="154">
        <f t="shared" ref="AD71:AD134" si="23">IF(OR(AA71=0,W71&gt;_noechmaxi1t),0,ROUND(_fraisf123+_fraisv123*AA71,_nbdeci1t1))+U71</f>
        <v>20</v>
      </c>
      <c r="AE71" s="157">
        <f t="shared" si="15"/>
        <v>220</v>
      </c>
    </row>
    <row r="72" spans="1:31" x14ac:dyDescent="0.2">
      <c r="A72" s="3"/>
      <c r="B72" s="164"/>
      <c r="C72" s="22"/>
      <c r="D72" s="21"/>
      <c r="E72" s="23"/>
      <c r="F72" s="10"/>
      <c r="G72" s="5">
        <f t="shared" si="16"/>
        <v>66</v>
      </c>
      <c r="H72" s="7">
        <f t="shared" si="17"/>
        <v>355</v>
      </c>
      <c r="I72" s="8">
        <f t="shared" si="12"/>
        <v>2014</v>
      </c>
      <c r="J72" s="31">
        <f>IF(K72=0,"",IF(_ijour12=0,MIN(DATE(YEAR(_debamort12),MONTH(_debamort12)+_MoisD+(G72-1)*_imois12,_jour212),DATE(YEAR(_debamort12),MONTH(_debamort12)+_MoisD+1+(G72-1)*_imois12,0)),DATE(YEAR(_debamort12),MONTH(_debamort12),_jour12+(G72-1)*_ijour12)))</f>
        <v>41791</v>
      </c>
      <c r="K72" s="156">
        <f t="shared" si="18"/>
        <v>165610.62999999995</v>
      </c>
      <c r="L72" s="153">
        <f>IF(G72&lt;=_noeechmaxi1,ROUND(K72*'Données Projet 1 (2)'!A81,_nbdeci1t),0)</f>
        <v>256.7</v>
      </c>
      <c r="M72" s="152">
        <f>IF(OR(G72&lt;=_differe1t,G72&gt;_noeechmaxi1),IF(_difftotal1t,-L72,0),IF(G72&gt;=_noechremb1t,K72,IF('Données Projet 1 (2)'!B81-(L72*_echfixe1t)&gt;K72-2,K72,'Données Projet 1 (2)'!B81-(L72*_echfixe1t))))+B72</f>
        <v>350.21999999999997</v>
      </c>
      <c r="N72" s="154">
        <f t="shared" si="19"/>
        <v>15.6</v>
      </c>
      <c r="O72" s="157">
        <f t="shared" si="13"/>
        <v>622.52</v>
      </c>
      <c r="Q72" s="3"/>
      <c r="R72" s="164"/>
      <c r="S72" s="22"/>
      <c r="T72" s="21"/>
      <c r="U72" s="23"/>
      <c r="V72" s="10"/>
      <c r="W72" s="5">
        <f t="shared" si="20"/>
        <v>66</v>
      </c>
      <c r="X72" s="7">
        <f t="shared" si="21"/>
        <v>79</v>
      </c>
      <c r="Y72" s="8">
        <f t="shared" si="14"/>
        <v>2014</v>
      </c>
      <c r="Z72" s="31">
        <f>IF(AA72=0,"",IF(_ijour122=0,MIN(DATE(YEAR(_debamort122),MONTH(_debamort122)+_moisd12+(W72-1)*_imois122,__jou21),DATE(YEAR(_debamort122),MONTH(_debamort122)+_moisd12+1+(W72-1)*_imois122,0)),DATE(YEAR(_debamort122),MONTH(_debamort122),__jou123+(W72-1)*_ijour122)))</f>
        <v>41791</v>
      </c>
      <c r="AA72" s="156">
        <f t="shared" si="22"/>
        <v>240000</v>
      </c>
      <c r="AB72" s="153">
        <f>IF(W72&lt;=_noechmaxi1t,ROUND(AA72*'Données Projet 1 (2)'!H81,_nbdeci1t1),0)</f>
        <v>200</v>
      </c>
      <c r="AC72" s="152">
        <f>IF(OR(W72&lt;=_differe1t1t,W72&gt;_noechmaxi1t),IF(_difftotal1t1t,-AB72,0),IF(W72&gt;=_noechremb12,AA72,IF('Données Projet 1 (2)'!I81-(AB72*_echfixe12)&gt;AA72-2,AA72,'Données Projet 1 (2)'!I81-(AB72*_echfixe12))))+R72</f>
        <v>0</v>
      </c>
      <c r="AD72" s="154">
        <f t="shared" si="23"/>
        <v>20</v>
      </c>
      <c r="AE72" s="157">
        <f t="shared" si="15"/>
        <v>220</v>
      </c>
    </row>
    <row r="73" spans="1:31" x14ac:dyDescent="0.2">
      <c r="A73" s="3"/>
      <c r="B73" s="164"/>
      <c r="C73" s="22"/>
      <c r="D73" s="21"/>
      <c r="E73" s="23"/>
      <c r="F73" s="10"/>
      <c r="G73" s="5">
        <f t="shared" si="16"/>
        <v>67</v>
      </c>
      <c r="H73" s="7">
        <f t="shared" si="17"/>
        <v>354</v>
      </c>
      <c r="I73" s="8">
        <f t="shared" si="12"/>
        <v>2014</v>
      </c>
      <c r="J73" s="31">
        <f>IF(K73=0,"",IF(_ijour12=0,MIN(DATE(YEAR(_debamort12),MONTH(_debamort12)+(G73-1)*_imois12,_jour12),DATE(YEAR(_debamort12),MONTH(_debamort12)+1+(G73-1)*_imois12,0)),DATE(YEAR(_debamort12),MONTH(_debamort12),_jour12+(G73-1)*_ijour12)))</f>
        <v>41821</v>
      </c>
      <c r="K73" s="156">
        <f t="shared" si="18"/>
        <v>165260.40999999995</v>
      </c>
      <c r="L73" s="153">
        <f>IF(G73&lt;=_noeechmaxi1,ROUND(K73*'Données Projet 1 (2)'!A82,_nbdeci1t),0)</f>
        <v>256.14999999999998</v>
      </c>
      <c r="M73" s="152">
        <f>IF(OR(G73&lt;=_differe1t,G73&gt;_noeechmaxi1),IF(_difftotal1t,-L73,0),IF(G73&gt;=_noechremb1t,K73,IF('Données Projet 1 (2)'!B82-(L73*_echfixe1t)&gt;K73-2,K73,'Données Projet 1 (2)'!B82-(L73*_echfixe1t))))+B73</f>
        <v>350.77</v>
      </c>
      <c r="N73" s="154">
        <f t="shared" si="19"/>
        <v>15.6</v>
      </c>
      <c r="O73" s="157">
        <f t="shared" si="13"/>
        <v>622.52</v>
      </c>
      <c r="Q73" s="3"/>
      <c r="R73" s="164"/>
      <c r="S73" s="22"/>
      <c r="T73" s="21"/>
      <c r="U73" s="23"/>
      <c r="V73" s="10"/>
      <c r="W73" s="5">
        <f t="shared" si="20"/>
        <v>67</v>
      </c>
      <c r="X73" s="7">
        <f t="shared" si="21"/>
        <v>78</v>
      </c>
      <c r="Y73" s="8">
        <f t="shared" si="14"/>
        <v>2014</v>
      </c>
      <c r="Z73" s="31">
        <f>IF(AA73=0,"",IF(_ijour122=0,MIN(DATE(YEAR(_debamort122),MONTH(_debamort122)+(W73-1)*_imois122,__jou123),DATE(YEAR(_debamort122),MONTH(_debamort122)+1+(W73-1)*_imois122,0)),DATE(YEAR(_debamort122),MONTH(_debamort122),__jou123+(W73-1)*_ijour122)))</f>
        <v>41821</v>
      </c>
      <c r="AA73" s="156">
        <f t="shared" si="22"/>
        <v>240000</v>
      </c>
      <c r="AB73" s="153">
        <f>IF(W73&lt;=_noechmaxi1t,ROUND(AA73*'Données Projet 1 (2)'!H82,_nbdeci1t1),0)</f>
        <v>200</v>
      </c>
      <c r="AC73" s="152">
        <f>IF(OR(W73&lt;=_differe1t1t,W73&gt;_noechmaxi1t),IF(_difftotal1t1t,-AB73,0),IF(W73&gt;=_noechremb12,AA73,IF('Données Projet 1 (2)'!I82-(AB73*_echfixe12)&gt;AA73-2,AA73,'Données Projet 1 (2)'!I82-(AB73*_echfixe12))))+R73</f>
        <v>0</v>
      </c>
      <c r="AD73" s="154">
        <f t="shared" si="23"/>
        <v>20</v>
      </c>
      <c r="AE73" s="157">
        <f t="shared" si="15"/>
        <v>220</v>
      </c>
    </row>
    <row r="74" spans="1:31" x14ac:dyDescent="0.2">
      <c r="A74" s="3"/>
      <c r="B74" s="164"/>
      <c r="C74" s="22"/>
      <c r="D74" s="21"/>
      <c r="E74" s="23"/>
      <c r="F74" s="10"/>
      <c r="G74" s="5">
        <f t="shared" si="16"/>
        <v>68</v>
      </c>
      <c r="H74" s="7">
        <f t="shared" si="17"/>
        <v>353</v>
      </c>
      <c r="I74" s="8">
        <f t="shared" si="12"/>
        <v>2014</v>
      </c>
      <c r="J74" s="31">
        <f>IF(K74=0,"",IF(_ijour12=0,MIN(DATE(YEAR(_debamort12),MONTH(_debamort12)+_MoisD+(G74-1)*_imois12,_jour212),DATE(YEAR(_debamort12),MONTH(_debamort12)+_MoisD+1+(G74-1)*_imois12,0)),DATE(YEAR(_debamort12),MONTH(_debamort12),_jour12+(G74-1)*_ijour12)))</f>
        <v>41852</v>
      </c>
      <c r="K74" s="156">
        <f t="shared" si="18"/>
        <v>164909.63999999996</v>
      </c>
      <c r="L74" s="153">
        <f>IF(G74&lt;=_noeechmaxi1,ROUND(K74*'Données Projet 1 (2)'!A83,_nbdeci1t),0)</f>
        <v>255.61</v>
      </c>
      <c r="M74" s="152">
        <f>IF(OR(G74&lt;=_differe1t,G74&gt;_noeechmaxi1),IF(_difftotal1t,-L74,0),IF(G74&gt;=_noechremb1t,K74,IF('Données Projet 1 (2)'!B83-(L74*_echfixe1t)&gt;K74-2,K74,'Données Projet 1 (2)'!B83-(L74*_echfixe1t))))+B74</f>
        <v>351.30999999999995</v>
      </c>
      <c r="N74" s="154">
        <f t="shared" si="19"/>
        <v>15.6</v>
      </c>
      <c r="O74" s="157">
        <f t="shared" si="13"/>
        <v>622.52</v>
      </c>
      <c r="Q74" s="3"/>
      <c r="R74" s="164"/>
      <c r="S74" s="22"/>
      <c r="T74" s="21"/>
      <c r="U74" s="23"/>
      <c r="V74" s="10"/>
      <c r="W74" s="5">
        <f t="shared" si="20"/>
        <v>68</v>
      </c>
      <c r="X74" s="7">
        <f t="shared" si="21"/>
        <v>77</v>
      </c>
      <c r="Y74" s="8">
        <f t="shared" si="14"/>
        <v>2014</v>
      </c>
      <c r="Z74" s="31">
        <f>IF(AA74=0,"",IF(_ijour122=0,MIN(DATE(YEAR(_debamort122),MONTH(_debamort122)+_moisd12+(W74-1)*_imois122,__jou21),DATE(YEAR(_debamort122),MONTH(_debamort122)+_moisd12+1+(W74-1)*_imois122,0)),DATE(YEAR(_debamort122),MONTH(_debamort122),__jou123+(W74-1)*_ijour122)))</f>
        <v>41852</v>
      </c>
      <c r="AA74" s="156">
        <f t="shared" si="22"/>
        <v>240000</v>
      </c>
      <c r="AB74" s="153">
        <f>IF(W74&lt;=_noechmaxi1t,ROUND(AA74*'Données Projet 1 (2)'!H83,_nbdeci1t1),0)</f>
        <v>200</v>
      </c>
      <c r="AC74" s="152">
        <f>IF(OR(W74&lt;=_differe1t1t,W74&gt;_noechmaxi1t),IF(_difftotal1t1t,-AB74,0),IF(W74&gt;=_noechremb12,AA74,IF('Données Projet 1 (2)'!I83-(AB74*_echfixe12)&gt;AA74-2,AA74,'Données Projet 1 (2)'!I83-(AB74*_echfixe12))))+R74</f>
        <v>0</v>
      </c>
      <c r="AD74" s="154">
        <f t="shared" si="23"/>
        <v>20</v>
      </c>
      <c r="AE74" s="157">
        <f t="shared" si="15"/>
        <v>220</v>
      </c>
    </row>
    <row r="75" spans="1:31" x14ac:dyDescent="0.2">
      <c r="A75" s="3"/>
      <c r="B75" s="164"/>
      <c r="C75" s="22"/>
      <c r="D75" s="21"/>
      <c r="E75" s="23"/>
      <c r="F75" s="10"/>
      <c r="G75" s="5">
        <f t="shared" si="16"/>
        <v>69</v>
      </c>
      <c r="H75" s="7">
        <f t="shared" si="17"/>
        <v>352</v>
      </c>
      <c r="I75" s="8">
        <f t="shared" si="12"/>
        <v>2014</v>
      </c>
      <c r="J75" s="31">
        <f>IF(K75=0,"",IF(_ijour12=0,MIN(DATE(YEAR(_debamort12),MONTH(_debamort12)+(G75-1)*_imois12,_jour12),DATE(YEAR(_debamort12),MONTH(_debamort12)+1+(G75-1)*_imois12,0)),DATE(YEAR(_debamort12),MONTH(_debamort12),_jour12+(G75-1)*_ijour12)))</f>
        <v>41883</v>
      </c>
      <c r="K75" s="156">
        <f t="shared" si="18"/>
        <v>164558.32999999996</v>
      </c>
      <c r="L75" s="153">
        <f>IF(G75&lt;=_noeechmaxi1,ROUND(K75*'Données Projet 1 (2)'!A84,_nbdeci1t),0)</f>
        <v>255.07</v>
      </c>
      <c r="M75" s="152">
        <f>IF(OR(G75&lt;=_differe1t,G75&gt;_noeechmaxi1),IF(_difftotal1t,-L75,0),IF(G75&gt;=_noechremb1t,K75,IF('Données Projet 1 (2)'!B84-(L75*_echfixe1t)&gt;K75-2,K75,'Données Projet 1 (2)'!B84-(L75*_echfixe1t))))+B75</f>
        <v>351.84999999999997</v>
      </c>
      <c r="N75" s="154">
        <f t="shared" si="19"/>
        <v>15.6</v>
      </c>
      <c r="O75" s="157">
        <f t="shared" si="13"/>
        <v>622.52</v>
      </c>
      <c r="Q75" s="3"/>
      <c r="R75" s="164"/>
      <c r="S75" s="22"/>
      <c r="T75" s="21"/>
      <c r="U75" s="23"/>
      <c r="V75" s="10"/>
      <c r="W75" s="5">
        <f t="shared" si="20"/>
        <v>69</v>
      </c>
      <c r="X75" s="7">
        <f t="shared" si="21"/>
        <v>76</v>
      </c>
      <c r="Y75" s="8">
        <f t="shared" si="14"/>
        <v>2014</v>
      </c>
      <c r="Z75" s="31">
        <f>IF(AA75=0,"",IF(_ijour122=0,MIN(DATE(YEAR(_debamort122),MONTH(_debamort122)+(W75-1)*_imois122,__jou123),DATE(YEAR(_debamort122),MONTH(_debamort122)+1+(W75-1)*_imois122,0)),DATE(YEAR(_debamort122),MONTH(_debamort122),__jou123+(W75-1)*_ijour122)))</f>
        <v>41883</v>
      </c>
      <c r="AA75" s="156">
        <f t="shared" si="22"/>
        <v>240000</v>
      </c>
      <c r="AB75" s="153">
        <f>IF(W75&lt;=_noechmaxi1t,ROUND(AA75*'Données Projet 1 (2)'!H84,_nbdeci1t1),0)</f>
        <v>200</v>
      </c>
      <c r="AC75" s="152">
        <f>IF(OR(W75&lt;=_differe1t1t,W75&gt;_noechmaxi1t),IF(_difftotal1t1t,-AB75,0),IF(W75&gt;=_noechremb12,AA75,IF('Données Projet 1 (2)'!I84-(AB75*_echfixe12)&gt;AA75-2,AA75,'Données Projet 1 (2)'!I84-(AB75*_echfixe12))))+R75</f>
        <v>0</v>
      </c>
      <c r="AD75" s="154">
        <f t="shared" si="23"/>
        <v>20</v>
      </c>
      <c r="AE75" s="157">
        <f t="shared" si="15"/>
        <v>220</v>
      </c>
    </row>
    <row r="76" spans="1:31" x14ac:dyDescent="0.2">
      <c r="A76" s="3"/>
      <c r="B76" s="164"/>
      <c r="C76" s="22"/>
      <c r="D76" s="21"/>
      <c r="E76" s="23"/>
      <c r="F76" s="10"/>
      <c r="G76" s="5">
        <f t="shared" si="16"/>
        <v>70</v>
      </c>
      <c r="H76" s="7">
        <f t="shared" si="17"/>
        <v>351</v>
      </c>
      <c r="I76" s="8">
        <f t="shared" si="12"/>
        <v>2014</v>
      </c>
      <c r="J76" s="31">
        <f>IF(K76=0,"",IF(_ijour12=0,MIN(DATE(YEAR(_debamort12),MONTH(_debamort12)+_MoisD+(G76-1)*_imois12,_jour212),DATE(YEAR(_debamort12),MONTH(_debamort12)+_MoisD+1+(G76-1)*_imois12,0)),DATE(YEAR(_debamort12),MONTH(_debamort12),_jour12+(G76-1)*_ijour12)))</f>
        <v>41913</v>
      </c>
      <c r="K76" s="156">
        <f t="shared" si="18"/>
        <v>164206.47999999995</v>
      </c>
      <c r="L76" s="153">
        <f>IF(G76&lt;=_noeechmaxi1,ROUND(K76*'Données Projet 1 (2)'!A85,_nbdeci1t),0)</f>
        <v>254.52</v>
      </c>
      <c r="M76" s="152">
        <f>IF(OR(G76&lt;=_differe1t,G76&gt;_noeechmaxi1),IF(_difftotal1t,-L76,0),IF(G76&gt;=_noechremb1t,K76,IF('Données Projet 1 (2)'!B85-(L76*_echfixe1t)&gt;K76-2,K76,'Données Projet 1 (2)'!B85-(L76*_echfixe1t))))+B76</f>
        <v>352.4</v>
      </c>
      <c r="N76" s="154">
        <f t="shared" si="19"/>
        <v>15.6</v>
      </c>
      <c r="O76" s="157">
        <f t="shared" si="13"/>
        <v>622.52</v>
      </c>
      <c r="Q76" s="3"/>
      <c r="R76" s="164"/>
      <c r="S76" s="22"/>
      <c r="T76" s="21"/>
      <c r="U76" s="23"/>
      <c r="V76" s="10"/>
      <c r="W76" s="5">
        <f t="shared" si="20"/>
        <v>70</v>
      </c>
      <c r="X76" s="7">
        <f t="shared" si="21"/>
        <v>75</v>
      </c>
      <c r="Y76" s="8">
        <f t="shared" si="14"/>
        <v>2014</v>
      </c>
      <c r="Z76" s="31">
        <f>IF(AA76=0,"",IF(_ijour122=0,MIN(DATE(YEAR(_debamort122),MONTH(_debamort122)+_moisd12+(W76-1)*_imois122,__jou21),DATE(YEAR(_debamort122),MONTH(_debamort122)+_moisd12+1+(W76-1)*_imois122,0)),DATE(YEAR(_debamort122),MONTH(_debamort122),__jou123+(W76-1)*_ijour122)))</f>
        <v>41913</v>
      </c>
      <c r="AA76" s="156">
        <f t="shared" si="22"/>
        <v>240000</v>
      </c>
      <c r="AB76" s="153">
        <f>IF(W76&lt;=_noechmaxi1t,ROUND(AA76*'Données Projet 1 (2)'!H85,_nbdeci1t1),0)</f>
        <v>200</v>
      </c>
      <c r="AC76" s="152">
        <f>IF(OR(W76&lt;=_differe1t1t,W76&gt;_noechmaxi1t),IF(_difftotal1t1t,-AB76,0),IF(W76&gt;=_noechremb12,AA76,IF('Données Projet 1 (2)'!I85-(AB76*_echfixe12)&gt;AA76-2,AA76,'Données Projet 1 (2)'!I85-(AB76*_echfixe12))))+R76</f>
        <v>0</v>
      </c>
      <c r="AD76" s="154">
        <f t="shared" si="23"/>
        <v>20</v>
      </c>
      <c r="AE76" s="157">
        <f t="shared" si="15"/>
        <v>220</v>
      </c>
    </row>
    <row r="77" spans="1:31" x14ac:dyDescent="0.2">
      <c r="A77" s="3"/>
      <c r="B77" s="164"/>
      <c r="C77" s="22"/>
      <c r="D77" s="21"/>
      <c r="E77" s="23"/>
      <c r="F77" s="10"/>
      <c r="G77" s="5">
        <f t="shared" si="16"/>
        <v>71</v>
      </c>
      <c r="H77" s="7">
        <f t="shared" si="17"/>
        <v>350</v>
      </c>
      <c r="I77" s="8">
        <f t="shared" si="12"/>
        <v>2014</v>
      </c>
      <c r="J77" s="31">
        <f>IF(K77=0,"",IF(_ijour12=0,MIN(DATE(YEAR(_debamort12),MONTH(_debamort12)+(G77-1)*_imois12,_jour12),DATE(YEAR(_debamort12),MONTH(_debamort12)+1+(G77-1)*_imois12,0)),DATE(YEAR(_debamort12),MONTH(_debamort12),_jour12+(G77-1)*_ijour12)))</f>
        <v>41944</v>
      </c>
      <c r="K77" s="156">
        <f t="shared" si="18"/>
        <v>163854.07999999996</v>
      </c>
      <c r="L77" s="153">
        <f>IF(G77&lt;=_noeechmaxi1,ROUND(K77*'Données Projet 1 (2)'!A86,_nbdeci1t),0)</f>
        <v>253.97</v>
      </c>
      <c r="M77" s="152">
        <f>IF(OR(G77&lt;=_differe1t,G77&gt;_noeechmaxi1),IF(_difftotal1t,-L77,0),IF(G77&gt;=_noechremb1t,K77,IF('Données Projet 1 (2)'!B86-(L77*_echfixe1t)&gt;K77-2,K77,'Données Projet 1 (2)'!B86-(L77*_echfixe1t))))+B77</f>
        <v>352.94999999999993</v>
      </c>
      <c r="N77" s="154">
        <f t="shared" si="19"/>
        <v>15.6</v>
      </c>
      <c r="O77" s="157">
        <f t="shared" si="13"/>
        <v>622.52</v>
      </c>
      <c r="Q77" s="3"/>
      <c r="R77" s="164"/>
      <c r="S77" s="22"/>
      <c r="T77" s="21"/>
      <c r="U77" s="23"/>
      <c r="V77" s="10"/>
      <c r="W77" s="5">
        <f t="shared" si="20"/>
        <v>71</v>
      </c>
      <c r="X77" s="7">
        <f t="shared" si="21"/>
        <v>74</v>
      </c>
      <c r="Y77" s="8">
        <f t="shared" si="14"/>
        <v>2014</v>
      </c>
      <c r="Z77" s="31">
        <f>IF(AA77=0,"",IF(_ijour122=0,MIN(DATE(YEAR(_debamort122),MONTH(_debamort122)+(W77-1)*_imois122,__jou123),DATE(YEAR(_debamort122),MONTH(_debamort122)+1+(W77-1)*_imois122,0)),DATE(YEAR(_debamort122),MONTH(_debamort122),__jou123+(W77-1)*_ijour122)))</f>
        <v>41944</v>
      </c>
      <c r="AA77" s="156">
        <f t="shared" si="22"/>
        <v>240000</v>
      </c>
      <c r="AB77" s="153">
        <f>IF(W77&lt;=_noechmaxi1t,ROUND(AA77*'Données Projet 1 (2)'!H86,_nbdeci1t1),0)</f>
        <v>200</v>
      </c>
      <c r="AC77" s="152">
        <f>IF(OR(W77&lt;=_differe1t1t,W77&gt;_noechmaxi1t),IF(_difftotal1t1t,-AB77,0),IF(W77&gt;=_noechremb12,AA77,IF('Données Projet 1 (2)'!I86-(AB77*_echfixe12)&gt;AA77-2,AA77,'Données Projet 1 (2)'!I86-(AB77*_echfixe12))))+R77</f>
        <v>0</v>
      </c>
      <c r="AD77" s="154">
        <f t="shared" si="23"/>
        <v>20</v>
      </c>
      <c r="AE77" s="157">
        <f t="shared" si="15"/>
        <v>220</v>
      </c>
    </row>
    <row r="78" spans="1:31" x14ac:dyDescent="0.2">
      <c r="A78" s="3"/>
      <c r="B78" s="164"/>
      <c r="C78" s="22"/>
      <c r="D78" s="21"/>
      <c r="E78" s="23"/>
      <c r="F78" s="10"/>
      <c r="G78" s="5">
        <f t="shared" si="16"/>
        <v>72</v>
      </c>
      <c r="H78" s="7">
        <f t="shared" si="17"/>
        <v>349</v>
      </c>
      <c r="I78" s="8">
        <f t="shared" si="12"/>
        <v>2014</v>
      </c>
      <c r="J78" s="31">
        <f>IF(K78=0,"",IF(_ijour12=0,MIN(DATE(YEAR(_debamort12),MONTH(_debamort12)+_MoisD+(G78-1)*_imois12,_jour212),DATE(YEAR(_debamort12),MONTH(_debamort12)+_MoisD+1+(G78-1)*_imois12,0)),DATE(YEAR(_debamort12),MONTH(_debamort12),_jour12+(G78-1)*_ijour12)))</f>
        <v>41974</v>
      </c>
      <c r="K78" s="156">
        <f t="shared" si="18"/>
        <v>163501.12999999995</v>
      </c>
      <c r="L78" s="153">
        <f>IF(G78&lt;=_noeechmaxi1,ROUND(K78*'Données Projet 1 (2)'!A87,_nbdeci1t),0)</f>
        <v>253.43</v>
      </c>
      <c r="M78" s="152">
        <f>IF(OR(G78&lt;=_differe1t,G78&gt;_noeechmaxi1),IF(_difftotal1t,-L78,0),IF(G78&gt;=_noechremb1t,K78,IF('Données Projet 1 (2)'!B87-(L78*_echfixe1t)&gt;K78-2,K78,'Données Projet 1 (2)'!B87-(L78*_echfixe1t))))+B78</f>
        <v>353.48999999999995</v>
      </c>
      <c r="N78" s="154">
        <f t="shared" si="19"/>
        <v>15.6</v>
      </c>
      <c r="O78" s="157">
        <f t="shared" si="13"/>
        <v>622.52</v>
      </c>
      <c r="Q78" s="3"/>
      <c r="R78" s="164"/>
      <c r="S78" s="22"/>
      <c r="T78" s="21"/>
      <c r="U78" s="23"/>
      <c r="V78" s="10"/>
      <c r="W78" s="5">
        <f t="shared" si="20"/>
        <v>72</v>
      </c>
      <c r="X78" s="7">
        <f t="shared" si="21"/>
        <v>73</v>
      </c>
      <c r="Y78" s="8">
        <f t="shared" si="14"/>
        <v>2014</v>
      </c>
      <c r="Z78" s="31">
        <f>IF(AA78=0,"",IF(_ijour122=0,MIN(DATE(YEAR(_debamort122),MONTH(_debamort122)+_moisd12+(W78-1)*_imois122,__jou21),DATE(YEAR(_debamort122),MONTH(_debamort122)+_moisd12+1+(W78-1)*_imois122,0)),DATE(YEAR(_debamort122),MONTH(_debamort122),__jou123+(W78-1)*_ijour122)))</f>
        <v>41974</v>
      </c>
      <c r="AA78" s="156">
        <f t="shared" si="22"/>
        <v>240000</v>
      </c>
      <c r="AB78" s="153">
        <f>IF(W78&lt;=_noechmaxi1t,ROUND(AA78*'Données Projet 1 (2)'!H87,_nbdeci1t1),0)</f>
        <v>200</v>
      </c>
      <c r="AC78" s="152">
        <f>IF(OR(W78&lt;=_differe1t1t,W78&gt;_noechmaxi1t),IF(_difftotal1t1t,-AB78,0),IF(W78&gt;=_noechremb12,AA78,IF('Données Projet 1 (2)'!I87-(AB78*_echfixe12)&gt;AA78-2,AA78,'Données Projet 1 (2)'!I87-(AB78*_echfixe12))))+R78</f>
        <v>0</v>
      </c>
      <c r="AD78" s="154">
        <f t="shared" si="23"/>
        <v>20</v>
      </c>
      <c r="AE78" s="157">
        <f t="shared" si="15"/>
        <v>220</v>
      </c>
    </row>
    <row r="79" spans="1:31" x14ac:dyDescent="0.2">
      <c r="A79" s="3"/>
      <c r="B79" s="164"/>
      <c r="C79" s="22"/>
      <c r="D79" s="21"/>
      <c r="E79" s="23"/>
      <c r="F79" s="10"/>
      <c r="G79" s="5">
        <f t="shared" si="16"/>
        <v>73</v>
      </c>
      <c r="H79" s="7">
        <f t="shared" si="17"/>
        <v>348</v>
      </c>
      <c r="I79" s="8">
        <f t="shared" si="12"/>
        <v>2015</v>
      </c>
      <c r="J79" s="31">
        <f>IF(K79=0,"",IF(_ijour12=0,MIN(DATE(YEAR(_debamort12),MONTH(_debamort12)+(G79-1)*_imois12,_jour12),DATE(YEAR(_debamort12),MONTH(_debamort12)+1+(G79-1)*_imois12,0)),DATE(YEAR(_debamort12),MONTH(_debamort12),_jour12+(G79-1)*_ijour12)))</f>
        <v>42005</v>
      </c>
      <c r="K79" s="156">
        <f t="shared" si="18"/>
        <v>163147.63999999996</v>
      </c>
      <c r="L79" s="153">
        <f>IF(G79&lt;=_noeechmaxi1,ROUND(K79*'Données Projet 1 (2)'!A88,_nbdeci1t),0)</f>
        <v>252.88</v>
      </c>
      <c r="M79" s="152">
        <f>IF(OR(G79&lt;=_differe1t,G79&gt;_noeechmaxi1),IF(_difftotal1t,-L79,0),IF(G79&gt;=_noechremb1t,K79,IF('Données Projet 1 (2)'!B88-(L79*_echfixe1t)&gt;K79-2,K79,'Données Projet 1 (2)'!B88-(L79*_echfixe1t))))+B79</f>
        <v>354.03999999999996</v>
      </c>
      <c r="N79" s="154">
        <f t="shared" si="19"/>
        <v>15.6</v>
      </c>
      <c r="O79" s="157">
        <f t="shared" si="13"/>
        <v>622.52</v>
      </c>
      <c r="Q79" s="3"/>
      <c r="R79" s="164"/>
      <c r="S79" s="22"/>
      <c r="T79" s="21"/>
      <c r="U79" s="23"/>
      <c r="V79" s="10"/>
      <c r="W79" s="5">
        <f t="shared" si="20"/>
        <v>73</v>
      </c>
      <c r="X79" s="7">
        <f t="shared" si="21"/>
        <v>72</v>
      </c>
      <c r="Y79" s="8">
        <f t="shared" si="14"/>
        <v>2015</v>
      </c>
      <c r="Z79" s="31">
        <f>IF(AA79=0,"",IF(_ijour122=0,MIN(DATE(YEAR(_debamort122),MONTH(_debamort122)+(W79-1)*_imois122,__jou123),DATE(YEAR(_debamort122),MONTH(_debamort122)+1+(W79-1)*_imois122,0)),DATE(YEAR(_debamort122),MONTH(_debamort122),__jou123+(W79-1)*_ijour122)))</f>
        <v>42005</v>
      </c>
      <c r="AA79" s="156">
        <f t="shared" si="22"/>
        <v>240000</v>
      </c>
      <c r="AB79" s="153">
        <f>IF(W79&lt;=_noechmaxi1t,ROUND(AA79*'Données Projet 1 (2)'!H88,_nbdeci1t1),0)</f>
        <v>200</v>
      </c>
      <c r="AC79" s="152">
        <f>IF(OR(W79&lt;=_differe1t1t,W79&gt;_noechmaxi1t),IF(_difftotal1t1t,-AB79,0),IF(W79&gt;=_noechremb12,AA79,IF('Données Projet 1 (2)'!I88-(AB79*_echfixe12)&gt;AA79-2,AA79,'Données Projet 1 (2)'!I88-(AB79*_echfixe12))))+R79</f>
        <v>0</v>
      </c>
      <c r="AD79" s="154">
        <f t="shared" si="23"/>
        <v>20</v>
      </c>
      <c r="AE79" s="157">
        <f t="shared" si="15"/>
        <v>220</v>
      </c>
    </row>
    <row r="80" spans="1:31" x14ac:dyDescent="0.2">
      <c r="A80" s="3"/>
      <c r="B80" s="164"/>
      <c r="C80" s="22"/>
      <c r="D80" s="21"/>
      <c r="E80" s="23"/>
      <c r="F80" s="10"/>
      <c r="G80" s="5">
        <f t="shared" si="16"/>
        <v>74</v>
      </c>
      <c r="H80" s="7">
        <f t="shared" si="17"/>
        <v>347</v>
      </c>
      <c r="I80" s="8">
        <f t="shared" si="12"/>
        <v>2015</v>
      </c>
      <c r="J80" s="31">
        <f>IF(K80=0,"",IF(_ijour12=0,MIN(DATE(YEAR(_debamort12),MONTH(_debamort12)+_MoisD+(G80-1)*_imois12,_jour212),DATE(YEAR(_debamort12),MONTH(_debamort12)+_MoisD+1+(G80-1)*_imois12,0)),DATE(YEAR(_debamort12),MONTH(_debamort12),_jour12+(G80-1)*_ijour12)))</f>
        <v>42036</v>
      </c>
      <c r="K80" s="156">
        <f t="shared" si="18"/>
        <v>162793.59999999995</v>
      </c>
      <c r="L80" s="153">
        <f>IF(G80&lt;=_noeechmaxi1,ROUND(K80*'Données Projet 1 (2)'!A89,_nbdeci1t),0)</f>
        <v>252.33</v>
      </c>
      <c r="M80" s="152">
        <f>IF(OR(G80&lt;=_differe1t,G80&gt;_noeechmaxi1),IF(_difftotal1t,-L80,0),IF(G80&gt;=_noechremb1t,K80,IF('Données Projet 1 (2)'!B89-(L80*_echfixe1t)&gt;K80-2,K80,'Données Projet 1 (2)'!B89-(L80*_echfixe1t))))+B80</f>
        <v>354.58999999999992</v>
      </c>
      <c r="N80" s="154">
        <f t="shared" si="19"/>
        <v>15.6</v>
      </c>
      <c r="O80" s="157">
        <f t="shared" si="13"/>
        <v>622.52</v>
      </c>
      <c r="Q80" s="3"/>
      <c r="R80" s="164"/>
      <c r="S80" s="22"/>
      <c r="T80" s="21"/>
      <c r="U80" s="23"/>
      <c r="V80" s="10"/>
      <c r="W80" s="5">
        <f t="shared" si="20"/>
        <v>74</v>
      </c>
      <c r="X80" s="7">
        <f t="shared" si="21"/>
        <v>71</v>
      </c>
      <c r="Y80" s="8">
        <f t="shared" si="14"/>
        <v>2015</v>
      </c>
      <c r="Z80" s="31">
        <f>IF(AA80=0,"",IF(_ijour122=0,MIN(DATE(YEAR(_debamort122),MONTH(_debamort122)+_moisd12+(W80-1)*_imois122,__jou21),DATE(YEAR(_debamort122),MONTH(_debamort122)+_moisd12+1+(W80-1)*_imois122,0)),DATE(YEAR(_debamort122),MONTH(_debamort122),__jou123+(W80-1)*_ijour122)))</f>
        <v>42036</v>
      </c>
      <c r="AA80" s="156">
        <f t="shared" si="22"/>
        <v>240000</v>
      </c>
      <c r="AB80" s="153">
        <f>IF(W80&lt;=_noechmaxi1t,ROUND(AA80*'Données Projet 1 (2)'!H89,_nbdeci1t1),0)</f>
        <v>200</v>
      </c>
      <c r="AC80" s="152">
        <f>IF(OR(W80&lt;=_differe1t1t,W80&gt;_noechmaxi1t),IF(_difftotal1t1t,-AB80,0),IF(W80&gt;=_noechremb12,AA80,IF('Données Projet 1 (2)'!I89-(AB80*_echfixe12)&gt;AA80-2,AA80,'Données Projet 1 (2)'!I89-(AB80*_echfixe12))))+R80</f>
        <v>0</v>
      </c>
      <c r="AD80" s="154">
        <f t="shared" si="23"/>
        <v>20</v>
      </c>
      <c r="AE80" s="157">
        <f t="shared" si="15"/>
        <v>220</v>
      </c>
    </row>
    <row r="81" spans="1:31" x14ac:dyDescent="0.2">
      <c r="A81" s="3"/>
      <c r="B81" s="164"/>
      <c r="C81" s="22"/>
      <c r="D81" s="21"/>
      <c r="E81" s="23"/>
      <c r="F81" s="10"/>
      <c r="G81" s="5">
        <f t="shared" si="16"/>
        <v>75</v>
      </c>
      <c r="H81" s="7">
        <f t="shared" si="17"/>
        <v>346</v>
      </c>
      <c r="I81" s="8">
        <f t="shared" si="12"/>
        <v>2015</v>
      </c>
      <c r="J81" s="31">
        <f>IF(K81=0,"",IF(_ijour12=0,MIN(DATE(YEAR(_debamort12),MONTH(_debamort12)+(G81-1)*_imois12,_jour12),DATE(YEAR(_debamort12),MONTH(_debamort12)+1+(G81-1)*_imois12,0)),DATE(YEAR(_debamort12),MONTH(_debamort12),_jour12+(G81-1)*_ijour12)))</f>
        <v>42064</v>
      </c>
      <c r="K81" s="156">
        <f t="shared" si="18"/>
        <v>162439.00999999995</v>
      </c>
      <c r="L81" s="153">
        <f>IF(G81&lt;=_noeechmaxi1,ROUND(K81*'Données Projet 1 (2)'!A90,_nbdeci1t),0)</f>
        <v>251.78</v>
      </c>
      <c r="M81" s="152">
        <f>IF(OR(G81&lt;=_differe1t,G81&gt;_noeechmaxi1),IF(_difftotal1t,-L81,0),IF(G81&gt;=_noechremb1t,K81,IF('Données Projet 1 (2)'!B90-(L81*_echfixe1t)&gt;K81-2,K81,'Données Projet 1 (2)'!B90-(L81*_echfixe1t))))+B81</f>
        <v>355.14</v>
      </c>
      <c r="N81" s="154">
        <f t="shared" si="19"/>
        <v>15.6</v>
      </c>
      <c r="O81" s="157">
        <f t="shared" si="13"/>
        <v>622.52</v>
      </c>
      <c r="Q81" s="3"/>
      <c r="R81" s="164"/>
      <c r="S81" s="22"/>
      <c r="T81" s="21"/>
      <c r="U81" s="23"/>
      <c r="V81" s="10"/>
      <c r="W81" s="5">
        <f t="shared" si="20"/>
        <v>75</v>
      </c>
      <c r="X81" s="7">
        <f t="shared" si="21"/>
        <v>70</v>
      </c>
      <c r="Y81" s="8">
        <f t="shared" si="14"/>
        <v>2015</v>
      </c>
      <c r="Z81" s="31">
        <f>IF(AA81=0,"",IF(_ijour122=0,MIN(DATE(YEAR(_debamort122),MONTH(_debamort122)+(W81-1)*_imois122,__jou123),DATE(YEAR(_debamort122),MONTH(_debamort122)+1+(W81-1)*_imois122,0)),DATE(YEAR(_debamort122),MONTH(_debamort122),__jou123+(W81-1)*_ijour122)))</f>
        <v>42064</v>
      </c>
      <c r="AA81" s="156">
        <f t="shared" si="22"/>
        <v>240000</v>
      </c>
      <c r="AB81" s="153">
        <f>IF(W81&lt;=_noechmaxi1t,ROUND(AA81*'Données Projet 1 (2)'!H90,_nbdeci1t1),0)</f>
        <v>200</v>
      </c>
      <c r="AC81" s="152">
        <f>IF(OR(W81&lt;=_differe1t1t,W81&gt;_noechmaxi1t),IF(_difftotal1t1t,-AB81,0),IF(W81&gt;=_noechremb12,AA81,IF('Données Projet 1 (2)'!I90-(AB81*_echfixe12)&gt;AA81-2,AA81,'Données Projet 1 (2)'!I90-(AB81*_echfixe12))))+R81</f>
        <v>0</v>
      </c>
      <c r="AD81" s="154">
        <f t="shared" si="23"/>
        <v>20</v>
      </c>
      <c r="AE81" s="157">
        <f t="shared" si="15"/>
        <v>220</v>
      </c>
    </row>
    <row r="82" spans="1:31" x14ac:dyDescent="0.2">
      <c r="A82" s="3"/>
      <c r="B82" s="164"/>
      <c r="C82" s="22"/>
      <c r="D82" s="21"/>
      <c r="E82" s="23"/>
      <c r="F82" s="10"/>
      <c r="G82" s="5">
        <f t="shared" si="16"/>
        <v>76</v>
      </c>
      <c r="H82" s="7">
        <f t="shared" si="17"/>
        <v>345</v>
      </c>
      <c r="I82" s="8">
        <f t="shared" si="12"/>
        <v>2015</v>
      </c>
      <c r="J82" s="31">
        <f>IF(K82=0,"",IF(_ijour12=0,MIN(DATE(YEAR(_debamort12),MONTH(_debamort12)+_MoisD+(G82-1)*_imois12,_jour212),DATE(YEAR(_debamort12),MONTH(_debamort12)+_MoisD+1+(G82-1)*_imois12,0)),DATE(YEAR(_debamort12),MONTH(_debamort12),_jour12+(G82-1)*_ijour12)))</f>
        <v>42095</v>
      </c>
      <c r="K82" s="156">
        <f t="shared" si="18"/>
        <v>162083.86999999994</v>
      </c>
      <c r="L82" s="153">
        <f>IF(G82&lt;=_noeechmaxi1,ROUND(K82*'Données Projet 1 (2)'!A91,_nbdeci1t),0)</f>
        <v>251.23</v>
      </c>
      <c r="M82" s="152">
        <f>IF(OR(G82&lt;=_differe1t,G82&gt;_noeechmaxi1),IF(_difftotal1t,-L82,0),IF(G82&gt;=_noechremb1t,K82,IF('Données Projet 1 (2)'!B91-(L82*_echfixe1t)&gt;K82-2,K82,'Données Projet 1 (2)'!B91-(L82*_echfixe1t))))+B82</f>
        <v>355.68999999999994</v>
      </c>
      <c r="N82" s="154">
        <f t="shared" si="19"/>
        <v>15.6</v>
      </c>
      <c r="O82" s="157">
        <f t="shared" si="13"/>
        <v>622.52</v>
      </c>
      <c r="Q82" s="3"/>
      <c r="R82" s="164"/>
      <c r="S82" s="22"/>
      <c r="T82" s="21"/>
      <c r="U82" s="23"/>
      <c r="V82" s="10"/>
      <c r="W82" s="5">
        <f t="shared" si="20"/>
        <v>76</v>
      </c>
      <c r="X82" s="7">
        <f t="shared" si="21"/>
        <v>69</v>
      </c>
      <c r="Y82" s="8">
        <f t="shared" si="14"/>
        <v>2015</v>
      </c>
      <c r="Z82" s="31">
        <f>IF(AA82=0,"",IF(_ijour122=0,MIN(DATE(YEAR(_debamort122),MONTH(_debamort122)+_moisd12+(W82-1)*_imois122,__jou21),DATE(YEAR(_debamort122),MONTH(_debamort122)+_moisd12+1+(W82-1)*_imois122,0)),DATE(YEAR(_debamort122),MONTH(_debamort122),__jou123+(W82-1)*_ijour122)))</f>
        <v>42095</v>
      </c>
      <c r="AA82" s="156">
        <f t="shared" si="22"/>
        <v>240000</v>
      </c>
      <c r="AB82" s="153">
        <f>IF(W82&lt;=_noechmaxi1t,ROUND(AA82*'Données Projet 1 (2)'!H91,_nbdeci1t1),0)</f>
        <v>200</v>
      </c>
      <c r="AC82" s="152">
        <f>IF(OR(W82&lt;=_differe1t1t,W82&gt;_noechmaxi1t),IF(_difftotal1t1t,-AB82,0),IF(W82&gt;=_noechremb12,AA82,IF('Données Projet 1 (2)'!I91-(AB82*_echfixe12)&gt;AA82-2,AA82,'Données Projet 1 (2)'!I91-(AB82*_echfixe12))))+R82</f>
        <v>0</v>
      </c>
      <c r="AD82" s="154">
        <f t="shared" si="23"/>
        <v>20</v>
      </c>
      <c r="AE82" s="157">
        <f t="shared" si="15"/>
        <v>220</v>
      </c>
    </row>
    <row r="83" spans="1:31" x14ac:dyDescent="0.2">
      <c r="A83" s="3"/>
      <c r="B83" s="164"/>
      <c r="C83" s="22"/>
      <c r="D83" s="21"/>
      <c r="E83" s="23"/>
      <c r="F83" s="10"/>
      <c r="G83" s="5">
        <f t="shared" si="16"/>
        <v>77</v>
      </c>
      <c r="H83" s="7">
        <f t="shared" si="17"/>
        <v>344</v>
      </c>
      <c r="I83" s="8">
        <f t="shared" si="12"/>
        <v>2015</v>
      </c>
      <c r="J83" s="31">
        <f>IF(K83=0,"",IF(_ijour12=0,MIN(DATE(YEAR(_debamort12),MONTH(_debamort12)+(G83-1)*_imois12,_jour12),DATE(YEAR(_debamort12),MONTH(_debamort12)+1+(G83-1)*_imois12,0)),DATE(YEAR(_debamort12),MONTH(_debamort12),_jour12+(G83-1)*_ijour12)))</f>
        <v>42125</v>
      </c>
      <c r="K83" s="156">
        <f t="shared" si="18"/>
        <v>161728.17999999993</v>
      </c>
      <c r="L83" s="153">
        <f>IF(G83&lt;=_noeechmaxi1,ROUND(K83*'Données Projet 1 (2)'!A92,_nbdeci1t),0)</f>
        <v>250.68</v>
      </c>
      <c r="M83" s="152">
        <f>IF(OR(G83&lt;=_differe1t,G83&gt;_noeechmaxi1),IF(_difftotal1t,-L83,0),IF(G83&gt;=_noechremb1t,K83,IF('Données Projet 1 (2)'!B92-(L83*_echfixe1t)&gt;K83-2,K83,'Données Projet 1 (2)'!B92-(L83*_echfixe1t))))+B83</f>
        <v>356.23999999999995</v>
      </c>
      <c r="N83" s="154">
        <f t="shared" si="19"/>
        <v>15.6</v>
      </c>
      <c r="O83" s="157">
        <f t="shared" si="13"/>
        <v>622.52</v>
      </c>
      <c r="Q83" s="3"/>
      <c r="R83" s="164"/>
      <c r="S83" s="22"/>
      <c r="T83" s="21"/>
      <c r="U83" s="23"/>
      <c r="V83" s="10"/>
      <c r="W83" s="5">
        <f t="shared" si="20"/>
        <v>77</v>
      </c>
      <c r="X83" s="7">
        <f t="shared" si="21"/>
        <v>68</v>
      </c>
      <c r="Y83" s="8">
        <f t="shared" si="14"/>
        <v>2015</v>
      </c>
      <c r="Z83" s="31">
        <f>IF(AA83=0,"",IF(_ijour122=0,MIN(DATE(YEAR(_debamort122),MONTH(_debamort122)+(W83-1)*_imois122,__jou123),DATE(YEAR(_debamort122),MONTH(_debamort122)+1+(W83-1)*_imois122,0)),DATE(YEAR(_debamort122),MONTH(_debamort122),__jou123+(W83-1)*_ijour122)))</f>
        <v>42125</v>
      </c>
      <c r="AA83" s="156">
        <f t="shared" si="22"/>
        <v>240000</v>
      </c>
      <c r="AB83" s="153">
        <f>IF(W83&lt;=_noechmaxi1t,ROUND(AA83*'Données Projet 1 (2)'!H92,_nbdeci1t1),0)</f>
        <v>200</v>
      </c>
      <c r="AC83" s="152">
        <f>IF(OR(W83&lt;=_differe1t1t,W83&gt;_noechmaxi1t),IF(_difftotal1t1t,-AB83,0),IF(W83&gt;=_noechremb12,AA83,IF('Données Projet 1 (2)'!I92-(AB83*_echfixe12)&gt;AA83-2,AA83,'Données Projet 1 (2)'!I92-(AB83*_echfixe12))))+R83</f>
        <v>0</v>
      </c>
      <c r="AD83" s="154">
        <f t="shared" si="23"/>
        <v>20</v>
      </c>
      <c r="AE83" s="157">
        <f t="shared" si="15"/>
        <v>220</v>
      </c>
    </row>
    <row r="84" spans="1:31" x14ac:dyDescent="0.2">
      <c r="A84" s="3"/>
      <c r="B84" s="164"/>
      <c r="C84" s="22"/>
      <c r="D84" s="21"/>
      <c r="E84" s="23"/>
      <c r="F84" s="10"/>
      <c r="G84" s="5">
        <f t="shared" si="16"/>
        <v>78</v>
      </c>
      <c r="H84" s="7">
        <f t="shared" si="17"/>
        <v>343</v>
      </c>
      <c r="I84" s="8">
        <f t="shared" si="12"/>
        <v>2015</v>
      </c>
      <c r="J84" s="31">
        <f>IF(K84=0,"",IF(_ijour12=0,MIN(DATE(YEAR(_debamort12),MONTH(_debamort12)+_MoisD+(G84-1)*_imois12,_jour212),DATE(YEAR(_debamort12),MONTH(_debamort12)+_MoisD+1+(G84-1)*_imois12,0)),DATE(YEAR(_debamort12),MONTH(_debamort12),_jour12+(G84-1)*_ijour12)))</f>
        <v>42156</v>
      </c>
      <c r="K84" s="156">
        <f t="shared" si="18"/>
        <v>161371.93999999994</v>
      </c>
      <c r="L84" s="153">
        <f>IF(G84&lt;=_noeechmaxi1,ROUND(K84*'Données Projet 1 (2)'!A93,_nbdeci1t),0)</f>
        <v>250.13</v>
      </c>
      <c r="M84" s="152">
        <f>IF(OR(G84&lt;=_differe1t,G84&gt;_noeechmaxi1),IF(_difftotal1t,-L84,0),IF(G84&gt;=_noechremb1t,K84,IF('Données Projet 1 (2)'!B93-(L84*_echfixe1t)&gt;K84-2,K84,'Données Projet 1 (2)'!B93-(L84*_echfixe1t))))+B84</f>
        <v>356.78999999999996</v>
      </c>
      <c r="N84" s="154">
        <f t="shared" si="19"/>
        <v>15.6</v>
      </c>
      <c r="O84" s="157">
        <f t="shared" si="13"/>
        <v>622.52</v>
      </c>
      <c r="Q84" s="3"/>
      <c r="R84" s="164"/>
      <c r="S84" s="22"/>
      <c r="T84" s="21"/>
      <c r="U84" s="23"/>
      <c r="V84" s="10"/>
      <c r="W84" s="5">
        <f t="shared" si="20"/>
        <v>78</v>
      </c>
      <c r="X84" s="7">
        <f t="shared" si="21"/>
        <v>67</v>
      </c>
      <c r="Y84" s="8">
        <f t="shared" si="14"/>
        <v>2015</v>
      </c>
      <c r="Z84" s="31">
        <f>IF(AA84=0,"",IF(_ijour122=0,MIN(DATE(YEAR(_debamort122),MONTH(_debamort122)+_moisd12+(W84-1)*_imois122,__jou21),DATE(YEAR(_debamort122),MONTH(_debamort122)+_moisd12+1+(W84-1)*_imois122,0)),DATE(YEAR(_debamort122),MONTH(_debamort122),__jou123+(W84-1)*_ijour122)))</f>
        <v>42156</v>
      </c>
      <c r="AA84" s="156">
        <f t="shared" si="22"/>
        <v>240000</v>
      </c>
      <c r="AB84" s="153">
        <f>IF(W84&lt;=_noechmaxi1t,ROUND(AA84*'Données Projet 1 (2)'!H93,_nbdeci1t1),0)</f>
        <v>200</v>
      </c>
      <c r="AC84" s="152">
        <f>IF(OR(W84&lt;=_differe1t1t,W84&gt;_noechmaxi1t),IF(_difftotal1t1t,-AB84,0),IF(W84&gt;=_noechremb12,AA84,IF('Données Projet 1 (2)'!I93-(AB84*_echfixe12)&gt;AA84-2,AA84,'Données Projet 1 (2)'!I93-(AB84*_echfixe12))))+R84</f>
        <v>0</v>
      </c>
      <c r="AD84" s="154">
        <f t="shared" si="23"/>
        <v>20</v>
      </c>
      <c r="AE84" s="157">
        <f t="shared" si="15"/>
        <v>220</v>
      </c>
    </row>
    <row r="85" spans="1:31" x14ac:dyDescent="0.2">
      <c r="A85" s="3"/>
      <c r="B85" s="164"/>
      <c r="C85" s="22"/>
      <c r="D85" s="21"/>
      <c r="E85" s="23"/>
      <c r="F85" s="10"/>
      <c r="G85" s="5">
        <f t="shared" si="16"/>
        <v>79</v>
      </c>
      <c r="H85" s="7">
        <f t="shared" si="17"/>
        <v>342</v>
      </c>
      <c r="I85" s="8">
        <f t="shared" si="12"/>
        <v>2015</v>
      </c>
      <c r="J85" s="31">
        <f>IF(K85=0,"",IF(_ijour12=0,MIN(DATE(YEAR(_debamort12),MONTH(_debamort12)+(G85-1)*_imois12,_jour12),DATE(YEAR(_debamort12),MONTH(_debamort12)+1+(G85-1)*_imois12,0)),DATE(YEAR(_debamort12),MONTH(_debamort12),_jour12+(G85-1)*_ijour12)))</f>
        <v>42186</v>
      </c>
      <c r="K85" s="156">
        <f t="shared" si="18"/>
        <v>161015.14999999994</v>
      </c>
      <c r="L85" s="153">
        <f>IF(G85&lt;=_noeechmaxi1,ROUND(K85*'Données Projet 1 (2)'!A94,_nbdeci1t),0)</f>
        <v>249.57</v>
      </c>
      <c r="M85" s="152">
        <f>IF(OR(G85&lt;=_differe1t,G85&gt;_noeechmaxi1),IF(_difftotal1t,-L85,0),IF(G85&gt;=_noechremb1t,K85,IF('Données Projet 1 (2)'!B94-(L85*_echfixe1t)&gt;K85-2,K85,'Données Projet 1 (2)'!B94-(L85*_echfixe1t))))+B85</f>
        <v>357.34999999999997</v>
      </c>
      <c r="N85" s="154">
        <f t="shared" si="19"/>
        <v>15.6</v>
      </c>
      <c r="O85" s="157">
        <f t="shared" si="13"/>
        <v>622.52</v>
      </c>
      <c r="Q85" s="3"/>
      <c r="R85" s="164"/>
      <c r="S85" s="22"/>
      <c r="T85" s="21"/>
      <c r="U85" s="23"/>
      <c r="V85" s="10"/>
      <c r="W85" s="5">
        <f t="shared" si="20"/>
        <v>79</v>
      </c>
      <c r="X85" s="7">
        <f t="shared" si="21"/>
        <v>66</v>
      </c>
      <c r="Y85" s="8">
        <f t="shared" si="14"/>
        <v>2015</v>
      </c>
      <c r="Z85" s="31">
        <f>IF(AA85=0,"",IF(_ijour122=0,MIN(DATE(YEAR(_debamort122),MONTH(_debamort122)+(W85-1)*_imois122,__jou123),DATE(YEAR(_debamort122),MONTH(_debamort122)+1+(W85-1)*_imois122,0)),DATE(YEAR(_debamort122),MONTH(_debamort122),__jou123+(W85-1)*_ijour122)))</f>
        <v>42186</v>
      </c>
      <c r="AA85" s="156">
        <f t="shared" si="22"/>
        <v>240000</v>
      </c>
      <c r="AB85" s="153">
        <f>IF(W85&lt;=_noechmaxi1t,ROUND(AA85*'Données Projet 1 (2)'!H94,_nbdeci1t1),0)</f>
        <v>200</v>
      </c>
      <c r="AC85" s="152">
        <f>IF(OR(W85&lt;=_differe1t1t,W85&gt;_noechmaxi1t),IF(_difftotal1t1t,-AB85,0),IF(W85&gt;=_noechremb12,AA85,IF('Données Projet 1 (2)'!I94-(AB85*_echfixe12)&gt;AA85-2,AA85,'Données Projet 1 (2)'!I94-(AB85*_echfixe12))))+R85</f>
        <v>0</v>
      </c>
      <c r="AD85" s="154">
        <f t="shared" si="23"/>
        <v>20</v>
      </c>
      <c r="AE85" s="157">
        <f t="shared" si="15"/>
        <v>220</v>
      </c>
    </row>
    <row r="86" spans="1:31" x14ac:dyDescent="0.2">
      <c r="A86" s="3"/>
      <c r="B86" s="164"/>
      <c r="C86" s="22"/>
      <c r="D86" s="21"/>
      <c r="E86" s="23"/>
      <c r="F86" s="10"/>
      <c r="G86" s="5">
        <f t="shared" si="16"/>
        <v>80</v>
      </c>
      <c r="H86" s="7">
        <f t="shared" si="17"/>
        <v>341</v>
      </c>
      <c r="I86" s="8">
        <f t="shared" si="12"/>
        <v>2015</v>
      </c>
      <c r="J86" s="31">
        <f>IF(K86=0,"",IF(_ijour12=0,MIN(DATE(YEAR(_debamort12),MONTH(_debamort12)+_MoisD+(G86-1)*_imois12,_jour212),DATE(YEAR(_debamort12),MONTH(_debamort12)+_MoisD+1+(G86-1)*_imois12,0)),DATE(YEAR(_debamort12),MONTH(_debamort12),_jour12+(G86-1)*_ijour12)))</f>
        <v>42217</v>
      </c>
      <c r="K86" s="156">
        <f t="shared" si="18"/>
        <v>160657.79999999993</v>
      </c>
      <c r="L86" s="153">
        <f>IF(G86&lt;=_noeechmaxi1,ROUND(K86*'Données Projet 1 (2)'!A95,_nbdeci1t),0)</f>
        <v>249.02</v>
      </c>
      <c r="M86" s="152">
        <f>IF(OR(G86&lt;=_differe1t,G86&gt;_noeechmaxi1),IF(_difftotal1t,-L86,0),IF(G86&gt;=_noechremb1t,K86,IF('Données Projet 1 (2)'!B95-(L86*_echfixe1t)&gt;K86-2,K86,'Données Projet 1 (2)'!B95-(L86*_echfixe1t))))+B86</f>
        <v>357.9</v>
      </c>
      <c r="N86" s="154">
        <f t="shared" si="19"/>
        <v>15.6</v>
      </c>
      <c r="O86" s="157">
        <f t="shared" si="13"/>
        <v>622.52</v>
      </c>
      <c r="Q86" s="3"/>
      <c r="R86" s="164"/>
      <c r="S86" s="22"/>
      <c r="T86" s="21"/>
      <c r="U86" s="23"/>
      <c r="V86" s="10"/>
      <c r="W86" s="5">
        <f t="shared" si="20"/>
        <v>80</v>
      </c>
      <c r="X86" s="7">
        <f t="shared" si="21"/>
        <v>65</v>
      </c>
      <c r="Y86" s="8">
        <f t="shared" si="14"/>
        <v>2015</v>
      </c>
      <c r="Z86" s="31">
        <f>IF(AA86=0,"",IF(_ijour122=0,MIN(DATE(YEAR(_debamort122),MONTH(_debamort122)+_moisd12+(W86-1)*_imois122,__jou21),DATE(YEAR(_debamort122),MONTH(_debamort122)+_moisd12+1+(W86-1)*_imois122,0)),DATE(YEAR(_debamort122),MONTH(_debamort122),__jou123+(W86-1)*_ijour122)))</f>
        <v>42217</v>
      </c>
      <c r="AA86" s="156">
        <f t="shared" si="22"/>
        <v>240000</v>
      </c>
      <c r="AB86" s="153">
        <f>IF(W86&lt;=_noechmaxi1t,ROUND(AA86*'Données Projet 1 (2)'!H95,_nbdeci1t1),0)</f>
        <v>200</v>
      </c>
      <c r="AC86" s="152">
        <f>IF(OR(W86&lt;=_differe1t1t,W86&gt;_noechmaxi1t),IF(_difftotal1t1t,-AB86,0),IF(W86&gt;=_noechremb12,AA86,IF('Données Projet 1 (2)'!I95-(AB86*_echfixe12)&gt;AA86-2,AA86,'Données Projet 1 (2)'!I95-(AB86*_echfixe12))))+R86</f>
        <v>0</v>
      </c>
      <c r="AD86" s="154">
        <f t="shared" si="23"/>
        <v>20</v>
      </c>
      <c r="AE86" s="157">
        <f t="shared" si="15"/>
        <v>220</v>
      </c>
    </row>
    <row r="87" spans="1:31" x14ac:dyDescent="0.2">
      <c r="A87" s="3"/>
      <c r="B87" s="164"/>
      <c r="C87" s="22"/>
      <c r="D87" s="21"/>
      <c r="E87" s="23"/>
      <c r="F87" s="10"/>
      <c r="G87" s="5">
        <f t="shared" si="16"/>
        <v>81</v>
      </c>
      <c r="H87" s="7">
        <f t="shared" si="17"/>
        <v>340</v>
      </c>
      <c r="I87" s="8">
        <f t="shared" si="12"/>
        <v>2015</v>
      </c>
      <c r="J87" s="31">
        <f>IF(K87=0,"",IF(_ijour12=0,MIN(DATE(YEAR(_debamort12),MONTH(_debamort12)+(G87-1)*_imois12,_jour12),DATE(YEAR(_debamort12),MONTH(_debamort12)+1+(G87-1)*_imois12,0)),DATE(YEAR(_debamort12),MONTH(_debamort12),_jour12+(G87-1)*_ijour12)))</f>
        <v>42248</v>
      </c>
      <c r="K87" s="156">
        <f t="shared" si="18"/>
        <v>160299.89999999994</v>
      </c>
      <c r="L87" s="153">
        <f>IF(G87&lt;=_noeechmaxi1,ROUND(K87*'Données Projet 1 (2)'!A96,_nbdeci1t),0)</f>
        <v>248.46</v>
      </c>
      <c r="M87" s="152">
        <f>IF(OR(G87&lt;=_differe1t,G87&gt;_noeechmaxi1),IF(_difftotal1t,-L87,0),IF(G87&gt;=_noechremb1t,K87,IF('Données Projet 1 (2)'!B96-(L87*_echfixe1t)&gt;K87-2,K87,'Données Projet 1 (2)'!B96-(L87*_echfixe1t))))+B87</f>
        <v>358.45999999999992</v>
      </c>
      <c r="N87" s="154">
        <f t="shared" si="19"/>
        <v>15.6</v>
      </c>
      <c r="O87" s="157">
        <f t="shared" si="13"/>
        <v>622.52</v>
      </c>
      <c r="Q87" s="3"/>
      <c r="R87" s="164"/>
      <c r="S87" s="22"/>
      <c r="T87" s="21"/>
      <c r="U87" s="23"/>
      <c r="V87" s="10"/>
      <c r="W87" s="5">
        <f t="shared" si="20"/>
        <v>81</v>
      </c>
      <c r="X87" s="7">
        <f t="shared" si="21"/>
        <v>64</v>
      </c>
      <c r="Y87" s="8">
        <f t="shared" si="14"/>
        <v>2015</v>
      </c>
      <c r="Z87" s="31">
        <f>IF(AA87=0,"",IF(_ijour122=0,MIN(DATE(YEAR(_debamort122),MONTH(_debamort122)+(W87-1)*_imois122,__jou123),DATE(YEAR(_debamort122),MONTH(_debamort122)+1+(W87-1)*_imois122,0)),DATE(YEAR(_debamort122),MONTH(_debamort122),__jou123+(W87-1)*_ijour122)))</f>
        <v>42248</v>
      </c>
      <c r="AA87" s="156">
        <f t="shared" si="22"/>
        <v>240000</v>
      </c>
      <c r="AB87" s="153">
        <f>IF(W87&lt;=_noechmaxi1t,ROUND(AA87*'Données Projet 1 (2)'!H96,_nbdeci1t1),0)</f>
        <v>200</v>
      </c>
      <c r="AC87" s="152">
        <f>IF(OR(W87&lt;=_differe1t1t,W87&gt;_noechmaxi1t),IF(_difftotal1t1t,-AB87,0),IF(W87&gt;=_noechremb12,AA87,IF('Données Projet 1 (2)'!I96-(AB87*_echfixe12)&gt;AA87-2,AA87,'Données Projet 1 (2)'!I96-(AB87*_echfixe12))))+R87</f>
        <v>0</v>
      </c>
      <c r="AD87" s="154">
        <f t="shared" si="23"/>
        <v>20</v>
      </c>
      <c r="AE87" s="157">
        <f t="shared" si="15"/>
        <v>220</v>
      </c>
    </row>
    <row r="88" spans="1:31" x14ac:dyDescent="0.2">
      <c r="A88" s="3"/>
      <c r="B88" s="164"/>
      <c r="C88" s="22"/>
      <c r="D88" s="21"/>
      <c r="E88" s="23"/>
      <c r="F88" s="10"/>
      <c r="G88" s="5">
        <f t="shared" si="16"/>
        <v>82</v>
      </c>
      <c r="H88" s="7">
        <f t="shared" si="17"/>
        <v>339</v>
      </c>
      <c r="I88" s="8">
        <f t="shared" si="12"/>
        <v>2015</v>
      </c>
      <c r="J88" s="31">
        <f>IF(K88=0,"",IF(_ijour12=0,MIN(DATE(YEAR(_debamort12),MONTH(_debamort12)+_MoisD+(G88-1)*_imois12,_jour212),DATE(YEAR(_debamort12),MONTH(_debamort12)+_MoisD+1+(G88-1)*_imois12,0)),DATE(YEAR(_debamort12),MONTH(_debamort12),_jour12+(G88-1)*_ijour12)))</f>
        <v>42278</v>
      </c>
      <c r="K88" s="156">
        <f t="shared" si="18"/>
        <v>159941.43999999994</v>
      </c>
      <c r="L88" s="153">
        <f>IF(G88&lt;=_noeechmaxi1,ROUND(K88*'Données Projet 1 (2)'!A97,_nbdeci1t),0)</f>
        <v>247.91</v>
      </c>
      <c r="M88" s="152">
        <f>IF(OR(G88&lt;=_differe1t,G88&gt;_noeechmaxi1),IF(_difftotal1t,-L88,0),IF(G88&gt;=_noechremb1t,K88,IF('Données Projet 1 (2)'!B97-(L88*_echfixe1t)&gt;K88-2,K88,'Données Projet 1 (2)'!B97-(L88*_echfixe1t))))+B88</f>
        <v>359.01</v>
      </c>
      <c r="N88" s="154">
        <f t="shared" si="19"/>
        <v>15.6</v>
      </c>
      <c r="O88" s="157">
        <f t="shared" si="13"/>
        <v>622.52</v>
      </c>
      <c r="Q88" s="3"/>
      <c r="R88" s="164"/>
      <c r="S88" s="22"/>
      <c r="T88" s="21"/>
      <c r="U88" s="23"/>
      <c r="V88" s="10"/>
      <c r="W88" s="5">
        <f t="shared" si="20"/>
        <v>82</v>
      </c>
      <c r="X88" s="7">
        <f t="shared" si="21"/>
        <v>63</v>
      </c>
      <c r="Y88" s="8">
        <f t="shared" si="14"/>
        <v>2015</v>
      </c>
      <c r="Z88" s="31">
        <f>IF(AA88=0,"",IF(_ijour122=0,MIN(DATE(YEAR(_debamort122),MONTH(_debamort122)+_moisd12+(W88-1)*_imois122,__jou21),DATE(YEAR(_debamort122),MONTH(_debamort122)+_moisd12+1+(W88-1)*_imois122,0)),DATE(YEAR(_debamort122),MONTH(_debamort122),__jou123+(W88-1)*_ijour122)))</f>
        <v>42278</v>
      </c>
      <c r="AA88" s="156">
        <f t="shared" si="22"/>
        <v>240000</v>
      </c>
      <c r="AB88" s="153">
        <f>IF(W88&lt;=_noechmaxi1t,ROUND(AA88*'Données Projet 1 (2)'!H97,_nbdeci1t1),0)</f>
        <v>200</v>
      </c>
      <c r="AC88" s="152">
        <f>IF(OR(W88&lt;=_differe1t1t,W88&gt;_noechmaxi1t),IF(_difftotal1t1t,-AB88,0),IF(W88&gt;=_noechremb12,AA88,IF('Données Projet 1 (2)'!I97-(AB88*_echfixe12)&gt;AA88-2,AA88,'Données Projet 1 (2)'!I97-(AB88*_echfixe12))))+R88</f>
        <v>0</v>
      </c>
      <c r="AD88" s="154">
        <f t="shared" si="23"/>
        <v>20</v>
      </c>
      <c r="AE88" s="157">
        <f t="shared" si="15"/>
        <v>220</v>
      </c>
    </row>
    <row r="89" spans="1:31" x14ac:dyDescent="0.2">
      <c r="A89" s="3"/>
      <c r="B89" s="164"/>
      <c r="C89" s="22"/>
      <c r="D89" s="21"/>
      <c r="E89" s="23"/>
      <c r="F89" s="10"/>
      <c r="G89" s="5">
        <f t="shared" si="16"/>
        <v>83</v>
      </c>
      <c r="H89" s="7">
        <f t="shared" si="17"/>
        <v>338</v>
      </c>
      <c r="I89" s="8">
        <f t="shared" si="12"/>
        <v>2015</v>
      </c>
      <c r="J89" s="31">
        <f>IF(K89=0,"",IF(_ijour12=0,MIN(DATE(YEAR(_debamort12),MONTH(_debamort12)+(G89-1)*_imois12,_jour12),DATE(YEAR(_debamort12),MONTH(_debamort12)+1+(G89-1)*_imois12,0)),DATE(YEAR(_debamort12),MONTH(_debamort12),_jour12+(G89-1)*_ijour12)))</f>
        <v>42309</v>
      </c>
      <c r="K89" s="156">
        <f t="shared" si="18"/>
        <v>159582.42999999993</v>
      </c>
      <c r="L89" s="153">
        <f>IF(G89&lt;=_noeechmaxi1,ROUND(K89*'Données Projet 1 (2)'!A98,_nbdeci1t),0)</f>
        <v>247.35</v>
      </c>
      <c r="M89" s="152">
        <f>IF(OR(G89&lt;=_differe1t,G89&gt;_noeechmaxi1),IF(_difftotal1t,-L89,0),IF(G89&gt;=_noechremb1t,K89,IF('Données Projet 1 (2)'!B98-(L89*_echfixe1t)&gt;K89-2,K89,'Données Projet 1 (2)'!B98-(L89*_echfixe1t))))+B89</f>
        <v>359.56999999999994</v>
      </c>
      <c r="N89" s="154">
        <f t="shared" si="19"/>
        <v>15.6</v>
      </c>
      <c r="O89" s="157">
        <f t="shared" si="13"/>
        <v>622.52</v>
      </c>
      <c r="Q89" s="3"/>
      <c r="R89" s="164"/>
      <c r="S89" s="22"/>
      <c r="T89" s="21"/>
      <c r="U89" s="23"/>
      <c r="V89" s="10"/>
      <c r="W89" s="5">
        <f t="shared" si="20"/>
        <v>83</v>
      </c>
      <c r="X89" s="7">
        <f t="shared" si="21"/>
        <v>62</v>
      </c>
      <c r="Y89" s="8">
        <f t="shared" si="14"/>
        <v>2015</v>
      </c>
      <c r="Z89" s="31">
        <f>IF(AA89=0,"",IF(_ijour122=0,MIN(DATE(YEAR(_debamort122),MONTH(_debamort122)+(W89-1)*_imois122,__jou123),DATE(YEAR(_debamort122),MONTH(_debamort122)+1+(W89-1)*_imois122,0)),DATE(YEAR(_debamort122),MONTH(_debamort122),__jou123+(W89-1)*_ijour122)))</f>
        <v>42309</v>
      </c>
      <c r="AA89" s="156">
        <f t="shared" si="22"/>
        <v>240000</v>
      </c>
      <c r="AB89" s="153">
        <f>IF(W89&lt;=_noechmaxi1t,ROUND(AA89*'Données Projet 1 (2)'!H98,_nbdeci1t1),0)</f>
        <v>200</v>
      </c>
      <c r="AC89" s="152">
        <f>IF(OR(W89&lt;=_differe1t1t,W89&gt;_noechmaxi1t),IF(_difftotal1t1t,-AB89,0),IF(W89&gt;=_noechremb12,AA89,IF('Données Projet 1 (2)'!I98-(AB89*_echfixe12)&gt;AA89-2,AA89,'Données Projet 1 (2)'!I98-(AB89*_echfixe12))))+R89</f>
        <v>0</v>
      </c>
      <c r="AD89" s="154">
        <f t="shared" si="23"/>
        <v>20</v>
      </c>
      <c r="AE89" s="157">
        <f t="shared" si="15"/>
        <v>220</v>
      </c>
    </row>
    <row r="90" spans="1:31" x14ac:dyDescent="0.2">
      <c r="A90" s="3"/>
      <c r="B90" s="164"/>
      <c r="C90" s="22"/>
      <c r="D90" s="21"/>
      <c r="E90" s="23"/>
      <c r="F90" s="10"/>
      <c r="G90" s="5">
        <f t="shared" si="16"/>
        <v>84</v>
      </c>
      <c r="H90" s="7">
        <f t="shared" si="17"/>
        <v>337</v>
      </c>
      <c r="I90" s="8">
        <f t="shared" si="12"/>
        <v>2015</v>
      </c>
      <c r="J90" s="31">
        <f>IF(K90=0,"",IF(_ijour12=0,MIN(DATE(YEAR(_debamort12),MONTH(_debamort12)+_MoisD+(G90-1)*_imois12,_jour212),DATE(YEAR(_debamort12),MONTH(_debamort12)+_MoisD+1+(G90-1)*_imois12,0)),DATE(YEAR(_debamort12),MONTH(_debamort12),_jour12+(G90-1)*_ijour12)))</f>
        <v>42339</v>
      </c>
      <c r="K90" s="156">
        <f t="shared" si="18"/>
        <v>159222.85999999993</v>
      </c>
      <c r="L90" s="153">
        <f>IF(G90&lt;=_noeechmaxi1,ROUND(K90*'Données Projet 1 (2)'!A99,_nbdeci1t),0)</f>
        <v>246.8</v>
      </c>
      <c r="M90" s="152">
        <f>IF(OR(G90&lt;=_differe1t,G90&gt;_noeechmaxi1),IF(_difftotal1t,-L90,0),IF(G90&gt;=_noechremb1t,K90,IF('Données Projet 1 (2)'!B99-(L90*_echfixe1t)&gt;K90-2,K90,'Données Projet 1 (2)'!B99-(L90*_echfixe1t))))+B90</f>
        <v>360.11999999999995</v>
      </c>
      <c r="N90" s="154">
        <f t="shared" si="19"/>
        <v>15.6</v>
      </c>
      <c r="O90" s="157">
        <f t="shared" si="13"/>
        <v>622.52</v>
      </c>
      <c r="Q90" s="3"/>
      <c r="R90" s="164"/>
      <c r="S90" s="22"/>
      <c r="T90" s="21"/>
      <c r="U90" s="23"/>
      <c r="V90" s="10"/>
      <c r="W90" s="5">
        <f t="shared" si="20"/>
        <v>84</v>
      </c>
      <c r="X90" s="7">
        <f t="shared" si="21"/>
        <v>61</v>
      </c>
      <c r="Y90" s="8">
        <f t="shared" si="14"/>
        <v>2015</v>
      </c>
      <c r="Z90" s="31">
        <f>IF(AA90=0,"",IF(_ijour122=0,MIN(DATE(YEAR(_debamort122),MONTH(_debamort122)+_moisd12+(W90-1)*_imois122,__jou21),DATE(YEAR(_debamort122),MONTH(_debamort122)+_moisd12+1+(W90-1)*_imois122,0)),DATE(YEAR(_debamort122),MONTH(_debamort122),__jou123+(W90-1)*_ijour122)))</f>
        <v>42339</v>
      </c>
      <c r="AA90" s="156">
        <f t="shared" si="22"/>
        <v>240000</v>
      </c>
      <c r="AB90" s="153">
        <f>IF(W90&lt;=_noechmaxi1t,ROUND(AA90*'Données Projet 1 (2)'!H99,_nbdeci1t1),0)</f>
        <v>200</v>
      </c>
      <c r="AC90" s="152">
        <f>IF(OR(W90&lt;=_differe1t1t,W90&gt;_noechmaxi1t),IF(_difftotal1t1t,-AB90,0),IF(W90&gt;=_noechremb12,AA90,IF('Données Projet 1 (2)'!I99-(AB90*_echfixe12)&gt;AA90-2,AA90,'Données Projet 1 (2)'!I99-(AB90*_echfixe12))))+R90</f>
        <v>0</v>
      </c>
      <c r="AD90" s="154">
        <f t="shared" si="23"/>
        <v>20</v>
      </c>
      <c r="AE90" s="157">
        <f t="shared" si="15"/>
        <v>220</v>
      </c>
    </row>
    <row r="91" spans="1:31" x14ac:dyDescent="0.2">
      <c r="A91" s="3"/>
      <c r="B91" s="164"/>
      <c r="C91" s="22"/>
      <c r="D91" s="21"/>
      <c r="E91" s="23"/>
      <c r="F91" s="10"/>
      <c r="G91" s="5">
        <f t="shared" si="16"/>
        <v>85</v>
      </c>
      <c r="H91" s="7">
        <f t="shared" si="17"/>
        <v>336</v>
      </c>
      <c r="I91" s="8">
        <f t="shared" si="12"/>
        <v>2016</v>
      </c>
      <c r="J91" s="31">
        <f>IF(K91=0,"",IF(_ijour12=0,MIN(DATE(YEAR(_debamort12),MONTH(_debamort12)+(G91-1)*_imois12,_jour12),DATE(YEAR(_debamort12),MONTH(_debamort12)+1+(G91-1)*_imois12,0)),DATE(YEAR(_debamort12),MONTH(_debamort12),_jour12+(G91-1)*_ijour12)))</f>
        <v>42370</v>
      </c>
      <c r="K91" s="156">
        <f t="shared" si="18"/>
        <v>158862.73999999993</v>
      </c>
      <c r="L91" s="153">
        <f>IF(G91&lt;=_noeechmaxi1,ROUND(K91*'Données Projet 1 (2)'!A100,_nbdeci1t),0)</f>
        <v>246.24</v>
      </c>
      <c r="M91" s="152">
        <f>IF(OR(G91&lt;=_differe1t,G91&gt;_noeechmaxi1),IF(_difftotal1t,-L91,0),IF(G91&gt;=_noechremb1t,K91,IF('Données Projet 1 (2)'!B100-(L91*_echfixe1t)&gt;K91-2,K91,'Données Projet 1 (2)'!B100-(L91*_echfixe1t))))+B91</f>
        <v>360.67999999999995</v>
      </c>
      <c r="N91" s="154">
        <f t="shared" si="19"/>
        <v>15.6</v>
      </c>
      <c r="O91" s="157">
        <f t="shared" si="13"/>
        <v>622.52</v>
      </c>
      <c r="Q91" s="3"/>
      <c r="R91" s="164"/>
      <c r="S91" s="22"/>
      <c r="T91" s="21"/>
      <c r="U91" s="23"/>
      <c r="V91" s="10"/>
      <c r="W91" s="5">
        <f t="shared" si="20"/>
        <v>85</v>
      </c>
      <c r="X91" s="7">
        <f t="shared" si="21"/>
        <v>60</v>
      </c>
      <c r="Y91" s="8">
        <f t="shared" si="14"/>
        <v>2016</v>
      </c>
      <c r="Z91" s="31">
        <f>IF(AA91=0,"",IF(_ijour122=0,MIN(DATE(YEAR(_debamort122),MONTH(_debamort122)+(W91-1)*_imois122,__jou123),DATE(YEAR(_debamort122),MONTH(_debamort122)+1+(W91-1)*_imois122,0)),DATE(YEAR(_debamort122),MONTH(_debamort122),__jou123+(W91-1)*_ijour122)))</f>
        <v>42370</v>
      </c>
      <c r="AA91" s="156">
        <f t="shared" si="22"/>
        <v>240000</v>
      </c>
      <c r="AB91" s="153">
        <f>IF(W91&lt;=_noechmaxi1t,ROUND(AA91*'Données Projet 1 (2)'!H100,_nbdeci1t1),0)</f>
        <v>200</v>
      </c>
      <c r="AC91" s="152">
        <f>IF(OR(W91&lt;=_differe1t1t,W91&gt;_noechmaxi1t),IF(_difftotal1t1t,-AB91,0),IF(W91&gt;=_noechremb12,AA91,IF('Données Projet 1 (2)'!I100-(AB91*_echfixe12)&gt;AA91-2,AA91,'Données Projet 1 (2)'!I100-(AB91*_echfixe12))))+R91</f>
        <v>0</v>
      </c>
      <c r="AD91" s="154">
        <f t="shared" si="23"/>
        <v>20</v>
      </c>
      <c r="AE91" s="157">
        <f t="shared" si="15"/>
        <v>220</v>
      </c>
    </row>
    <row r="92" spans="1:31" x14ac:dyDescent="0.2">
      <c r="A92" s="3"/>
      <c r="B92" s="164"/>
      <c r="C92" s="22"/>
      <c r="D92" s="21"/>
      <c r="E92" s="23"/>
      <c r="F92" s="10"/>
      <c r="G92" s="5">
        <f t="shared" si="16"/>
        <v>86</v>
      </c>
      <c r="H92" s="7">
        <f t="shared" si="17"/>
        <v>335</v>
      </c>
      <c r="I92" s="8">
        <f t="shared" si="12"/>
        <v>2016</v>
      </c>
      <c r="J92" s="31">
        <f>IF(K92=0,"",IF(_ijour12=0,MIN(DATE(YEAR(_debamort12),MONTH(_debamort12)+_MoisD+(G92-1)*_imois12,_jour212),DATE(YEAR(_debamort12),MONTH(_debamort12)+_MoisD+1+(G92-1)*_imois12,0)),DATE(YEAR(_debamort12),MONTH(_debamort12),_jour12+(G92-1)*_ijour12)))</f>
        <v>42401</v>
      </c>
      <c r="K92" s="156">
        <f t="shared" si="18"/>
        <v>158502.05999999994</v>
      </c>
      <c r="L92" s="153">
        <f>IF(G92&lt;=_noeechmaxi1,ROUND(K92*'Données Projet 1 (2)'!A101,_nbdeci1t),0)</f>
        <v>245.68</v>
      </c>
      <c r="M92" s="152">
        <f>IF(OR(G92&lt;=_differe1t,G92&gt;_noeechmaxi1),IF(_difftotal1t,-L92,0),IF(G92&gt;=_noechremb1t,K92,IF('Données Projet 1 (2)'!B101-(L92*_echfixe1t)&gt;K92-2,K92,'Données Projet 1 (2)'!B101-(L92*_echfixe1t))))+B92</f>
        <v>361.23999999999995</v>
      </c>
      <c r="N92" s="154">
        <f t="shared" si="19"/>
        <v>15.6</v>
      </c>
      <c r="O92" s="157">
        <f t="shared" si="13"/>
        <v>622.52</v>
      </c>
      <c r="Q92" s="3"/>
      <c r="R92" s="164"/>
      <c r="S92" s="22"/>
      <c r="T92" s="21"/>
      <c r="U92" s="23"/>
      <c r="V92" s="10"/>
      <c r="W92" s="5">
        <f t="shared" si="20"/>
        <v>86</v>
      </c>
      <c r="X92" s="7">
        <f t="shared" si="21"/>
        <v>59</v>
      </c>
      <c r="Y92" s="8">
        <f t="shared" si="14"/>
        <v>2016</v>
      </c>
      <c r="Z92" s="31">
        <f>IF(AA92=0,"",IF(_ijour122=0,MIN(DATE(YEAR(_debamort122),MONTH(_debamort122)+_moisd12+(W92-1)*_imois122,__jou21),DATE(YEAR(_debamort122),MONTH(_debamort122)+_moisd12+1+(W92-1)*_imois122,0)),DATE(YEAR(_debamort122),MONTH(_debamort122),__jou123+(W92-1)*_ijour122)))</f>
        <v>42401</v>
      </c>
      <c r="AA92" s="156">
        <f t="shared" si="22"/>
        <v>240000</v>
      </c>
      <c r="AB92" s="153">
        <f>IF(W92&lt;=_noechmaxi1t,ROUND(AA92*'Données Projet 1 (2)'!H101,_nbdeci1t1),0)</f>
        <v>200</v>
      </c>
      <c r="AC92" s="152">
        <f>IF(OR(W92&lt;=_differe1t1t,W92&gt;_noechmaxi1t),IF(_difftotal1t1t,-AB92,0),IF(W92&gt;=_noechremb12,AA92,IF('Données Projet 1 (2)'!I101-(AB92*_echfixe12)&gt;AA92-2,AA92,'Données Projet 1 (2)'!I101-(AB92*_echfixe12))))+R92</f>
        <v>0</v>
      </c>
      <c r="AD92" s="154">
        <f t="shared" si="23"/>
        <v>20</v>
      </c>
      <c r="AE92" s="157">
        <f t="shared" si="15"/>
        <v>220</v>
      </c>
    </row>
    <row r="93" spans="1:31" x14ac:dyDescent="0.2">
      <c r="A93" s="3"/>
      <c r="B93" s="164"/>
      <c r="C93" s="22"/>
      <c r="D93" s="21"/>
      <c r="E93" s="23"/>
      <c r="F93" s="10"/>
      <c r="G93" s="5">
        <f t="shared" si="16"/>
        <v>87</v>
      </c>
      <c r="H93" s="7">
        <f t="shared" si="17"/>
        <v>334</v>
      </c>
      <c r="I93" s="8">
        <f t="shared" si="12"/>
        <v>2016</v>
      </c>
      <c r="J93" s="31">
        <f>IF(K93=0,"",IF(_ijour12=0,MIN(DATE(YEAR(_debamort12),MONTH(_debamort12)+(G93-1)*_imois12,_jour12),DATE(YEAR(_debamort12),MONTH(_debamort12)+1+(G93-1)*_imois12,0)),DATE(YEAR(_debamort12),MONTH(_debamort12),_jour12+(G93-1)*_ijour12)))</f>
        <v>42430</v>
      </c>
      <c r="K93" s="156">
        <f t="shared" si="18"/>
        <v>158140.81999999995</v>
      </c>
      <c r="L93" s="153">
        <f>IF(G93&lt;=_noeechmaxi1,ROUND(K93*'Données Projet 1 (2)'!A102,_nbdeci1t),0)</f>
        <v>245.12</v>
      </c>
      <c r="M93" s="152">
        <f>IF(OR(G93&lt;=_differe1t,G93&gt;_noeechmaxi1),IF(_difftotal1t,-L93,0),IF(G93&gt;=_noechremb1t,K93,IF('Données Projet 1 (2)'!B102-(L93*_echfixe1t)&gt;K93-2,K93,'Données Projet 1 (2)'!B102-(L93*_echfixe1t))))+B93</f>
        <v>361.79999999999995</v>
      </c>
      <c r="N93" s="154">
        <f t="shared" si="19"/>
        <v>15.6</v>
      </c>
      <c r="O93" s="157">
        <f t="shared" si="13"/>
        <v>622.52</v>
      </c>
      <c r="Q93" s="3"/>
      <c r="R93" s="164"/>
      <c r="S93" s="22"/>
      <c r="T93" s="21"/>
      <c r="U93" s="23"/>
      <c r="V93" s="10"/>
      <c r="W93" s="5">
        <f t="shared" si="20"/>
        <v>87</v>
      </c>
      <c r="X93" s="7">
        <f t="shared" si="21"/>
        <v>58</v>
      </c>
      <c r="Y93" s="8">
        <f t="shared" si="14"/>
        <v>2016</v>
      </c>
      <c r="Z93" s="31">
        <f>IF(AA93=0,"",IF(_ijour122=0,MIN(DATE(YEAR(_debamort122),MONTH(_debamort122)+(W93-1)*_imois122,__jou123),DATE(YEAR(_debamort122),MONTH(_debamort122)+1+(W93-1)*_imois122,0)),DATE(YEAR(_debamort122),MONTH(_debamort122),__jou123+(W93-1)*_ijour122)))</f>
        <v>42430</v>
      </c>
      <c r="AA93" s="156">
        <f t="shared" si="22"/>
        <v>240000</v>
      </c>
      <c r="AB93" s="153">
        <f>IF(W93&lt;=_noechmaxi1t,ROUND(AA93*'Données Projet 1 (2)'!H102,_nbdeci1t1),0)</f>
        <v>200</v>
      </c>
      <c r="AC93" s="152">
        <f>IF(OR(W93&lt;=_differe1t1t,W93&gt;_noechmaxi1t),IF(_difftotal1t1t,-AB93,0),IF(W93&gt;=_noechremb12,AA93,IF('Données Projet 1 (2)'!I102-(AB93*_echfixe12)&gt;AA93-2,AA93,'Données Projet 1 (2)'!I102-(AB93*_echfixe12))))+R93</f>
        <v>0</v>
      </c>
      <c r="AD93" s="154">
        <f t="shared" si="23"/>
        <v>20</v>
      </c>
      <c r="AE93" s="157">
        <f t="shared" si="15"/>
        <v>220</v>
      </c>
    </row>
    <row r="94" spans="1:31" x14ac:dyDescent="0.2">
      <c r="A94" s="3"/>
      <c r="B94" s="164"/>
      <c r="C94" s="22"/>
      <c r="D94" s="21"/>
      <c r="E94" s="23"/>
      <c r="F94" s="10"/>
      <c r="G94" s="5">
        <f t="shared" si="16"/>
        <v>88</v>
      </c>
      <c r="H94" s="7">
        <f t="shared" si="17"/>
        <v>333</v>
      </c>
      <c r="I94" s="8">
        <f t="shared" si="12"/>
        <v>2016</v>
      </c>
      <c r="J94" s="31">
        <f>IF(K94=0,"",IF(_ijour12=0,MIN(DATE(YEAR(_debamort12),MONTH(_debamort12)+_MoisD+(G94-1)*_imois12,_jour212),DATE(YEAR(_debamort12),MONTH(_debamort12)+_MoisD+1+(G94-1)*_imois12,0)),DATE(YEAR(_debamort12),MONTH(_debamort12),_jour12+(G94-1)*_ijour12)))</f>
        <v>42461</v>
      </c>
      <c r="K94" s="156">
        <f t="shared" si="18"/>
        <v>157779.01999999996</v>
      </c>
      <c r="L94" s="153">
        <f>IF(G94&lt;=_noeechmaxi1,ROUND(K94*'Données Projet 1 (2)'!A103,_nbdeci1t),0)</f>
        <v>244.56</v>
      </c>
      <c r="M94" s="152">
        <f>IF(OR(G94&lt;=_differe1t,G94&gt;_noeechmaxi1),IF(_difftotal1t,-L94,0),IF(G94&gt;=_noechremb1t,K94,IF('Données Projet 1 (2)'!B103-(L94*_echfixe1t)&gt;K94-2,K94,'Données Projet 1 (2)'!B103-(L94*_echfixe1t))))+B94</f>
        <v>362.35999999999996</v>
      </c>
      <c r="N94" s="154">
        <f t="shared" si="19"/>
        <v>15.6</v>
      </c>
      <c r="O94" s="157">
        <f t="shared" si="13"/>
        <v>622.52</v>
      </c>
      <c r="Q94" s="3"/>
      <c r="R94" s="164"/>
      <c r="S94" s="22"/>
      <c r="T94" s="21"/>
      <c r="U94" s="23"/>
      <c r="V94" s="10"/>
      <c r="W94" s="5">
        <f t="shared" si="20"/>
        <v>88</v>
      </c>
      <c r="X94" s="7">
        <f t="shared" si="21"/>
        <v>57</v>
      </c>
      <c r="Y94" s="8">
        <f t="shared" si="14"/>
        <v>2016</v>
      </c>
      <c r="Z94" s="31">
        <f>IF(AA94=0,"",IF(_ijour122=0,MIN(DATE(YEAR(_debamort122),MONTH(_debamort122)+_moisd12+(W94-1)*_imois122,__jou21),DATE(YEAR(_debamort122),MONTH(_debamort122)+_moisd12+1+(W94-1)*_imois122,0)),DATE(YEAR(_debamort122),MONTH(_debamort122),__jou123+(W94-1)*_ijour122)))</f>
        <v>42461</v>
      </c>
      <c r="AA94" s="156">
        <f t="shared" si="22"/>
        <v>240000</v>
      </c>
      <c r="AB94" s="153">
        <f>IF(W94&lt;=_noechmaxi1t,ROUND(AA94*'Données Projet 1 (2)'!H103,_nbdeci1t1),0)</f>
        <v>200</v>
      </c>
      <c r="AC94" s="152">
        <f>IF(OR(W94&lt;=_differe1t1t,W94&gt;_noechmaxi1t),IF(_difftotal1t1t,-AB94,0),IF(W94&gt;=_noechremb12,AA94,IF('Données Projet 1 (2)'!I103-(AB94*_echfixe12)&gt;AA94-2,AA94,'Données Projet 1 (2)'!I103-(AB94*_echfixe12))))+R94</f>
        <v>0</v>
      </c>
      <c r="AD94" s="154">
        <f t="shared" si="23"/>
        <v>20</v>
      </c>
      <c r="AE94" s="157">
        <f t="shared" si="15"/>
        <v>220</v>
      </c>
    </row>
    <row r="95" spans="1:31" x14ac:dyDescent="0.2">
      <c r="A95" s="3"/>
      <c r="B95" s="164"/>
      <c r="C95" s="22"/>
      <c r="D95" s="21"/>
      <c r="E95" s="23"/>
      <c r="F95" s="10"/>
      <c r="G95" s="5">
        <f t="shared" si="16"/>
        <v>89</v>
      </c>
      <c r="H95" s="7">
        <f t="shared" si="17"/>
        <v>332</v>
      </c>
      <c r="I95" s="8">
        <f t="shared" si="12"/>
        <v>2016</v>
      </c>
      <c r="J95" s="31">
        <f>IF(K95=0,"",IF(_ijour12=0,MIN(DATE(YEAR(_debamort12),MONTH(_debamort12)+(G95-1)*_imois12,_jour12),DATE(YEAR(_debamort12),MONTH(_debamort12)+1+(G95-1)*_imois12,0)),DATE(YEAR(_debamort12),MONTH(_debamort12),_jour12+(G95-1)*_ijour12)))</f>
        <v>42491</v>
      </c>
      <c r="K95" s="156">
        <f t="shared" si="18"/>
        <v>157416.65999999997</v>
      </c>
      <c r="L95" s="153">
        <f>IF(G95&lt;=_noeechmaxi1,ROUND(K95*'Données Projet 1 (2)'!A104,_nbdeci1t),0)</f>
        <v>244</v>
      </c>
      <c r="M95" s="152">
        <f>IF(OR(G95&lt;=_differe1t,G95&gt;_noeechmaxi1),IF(_difftotal1t,-L95,0),IF(G95&gt;=_noechremb1t,K95,IF('Données Projet 1 (2)'!B104-(L95*_echfixe1t)&gt;K95-2,K95,'Données Projet 1 (2)'!B104-(L95*_echfixe1t))))+B95</f>
        <v>362.91999999999996</v>
      </c>
      <c r="N95" s="154">
        <f t="shared" si="19"/>
        <v>15.6</v>
      </c>
      <c r="O95" s="157">
        <f t="shared" si="13"/>
        <v>622.52</v>
      </c>
      <c r="Q95" s="3"/>
      <c r="R95" s="164"/>
      <c r="S95" s="22"/>
      <c r="T95" s="21"/>
      <c r="U95" s="23"/>
      <c r="V95" s="10"/>
      <c r="W95" s="5">
        <f t="shared" si="20"/>
        <v>89</v>
      </c>
      <c r="X95" s="7">
        <f t="shared" si="21"/>
        <v>56</v>
      </c>
      <c r="Y95" s="8">
        <f t="shared" si="14"/>
        <v>2016</v>
      </c>
      <c r="Z95" s="31">
        <f>IF(AA95=0,"",IF(_ijour122=0,MIN(DATE(YEAR(_debamort122),MONTH(_debamort122)+(W95-1)*_imois122,__jou123),DATE(YEAR(_debamort122),MONTH(_debamort122)+1+(W95-1)*_imois122,0)),DATE(YEAR(_debamort122),MONTH(_debamort122),__jou123+(W95-1)*_ijour122)))</f>
        <v>42491</v>
      </c>
      <c r="AA95" s="156">
        <f t="shared" si="22"/>
        <v>240000</v>
      </c>
      <c r="AB95" s="153">
        <f>IF(W95&lt;=_noechmaxi1t,ROUND(AA95*'Données Projet 1 (2)'!H104,_nbdeci1t1),0)</f>
        <v>200</v>
      </c>
      <c r="AC95" s="152">
        <f>IF(OR(W95&lt;=_differe1t1t,W95&gt;_noechmaxi1t),IF(_difftotal1t1t,-AB95,0),IF(W95&gt;=_noechremb12,AA95,IF('Données Projet 1 (2)'!I104-(AB95*_echfixe12)&gt;AA95-2,AA95,'Données Projet 1 (2)'!I104-(AB95*_echfixe12))))+R95</f>
        <v>0</v>
      </c>
      <c r="AD95" s="154">
        <f t="shared" si="23"/>
        <v>20</v>
      </c>
      <c r="AE95" s="157">
        <f t="shared" si="15"/>
        <v>220</v>
      </c>
    </row>
    <row r="96" spans="1:31" x14ac:dyDescent="0.2">
      <c r="A96" s="3"/>
      <c r="B96" s="164"/>
      <c r="C96" s="22"/>
      <c r="D96" s="21"/>
      <c r="E96" s="23"/>
      <c r="F96" s="10"/>
      <c r="G96" s="5">
        <f t="shared" si="16"/>
        <v>90</v>
      </c>
      <c r="H96" s="7">
        <f t="shared" si="17"/>
        <v>331</v>
      </c>
      <c r="I96" s="8">
        <f t="shared" si="12"/>
        <v>2016</v>
      </c>
      <c r="J96" s="31">
        <f>IF(K96=0,"",IF(_ijour12=0,MIN(DATE(YEAR(_debamort12),MONTH(_debamort12)+_MoisD+(G96-1)*_imois12,_jour212),DATE(YEAR(_debamort12),MONTH(_debamort12)+_MoisD+1+(G96-1)*_imois12,0)),DATE(YEAR(_debamort12),MONTH(_debamort12),_jour12+(G96-1)*_ijour12)))</f>
        <v>42522</v>
      </c>
      <c r="K96" s="156">
        <f t="shared" si="18"/>
        <v>157053.73999999996</v>
      </c>
      <c r="L96" s="153">
        <f>IF(G96&lt;=_noeechmaxi1,ROUND(K96*'Données Projet 1 (2)'!A105,_nbdeci1t),0)</f>
        <v>243.43</v>
      </c>
      <c r="M96" s="152">
        <f>IF(OR(G96&lt;=_differe1t,G96&gt;_noeechmaxi1),IF(_difftotal1t,-L96,0),IF(G96&gt;=_noechremb1t,K96,IF('Données Projet 1 (2)'!B105-(L96*_echfixe1t)&gt;K96-2,K96,'Données Projet 1 (2)'!B105-(L96*_echfixe1t))))+B96</f>
        <v>363.48999999999995</v>
      </c>
      <c r="N96" s="154">
        <f t="shared" si="19"/>
        <v>15.6</v>
      </c>
      <c r="O96" s="157">
        <f t="shared" si="13"/>
        <v>622.52</v>
      </c>
      <c r="Q96" s="3"/>
      <c r="R96" s="164"/>
      <c r="S96" s="22"/>
      <c r="T96" s="21"/>
      <c r="U96" s="23"/>
      <c r="V96" s="10"/>
      <c r="W96" s="5">
        <f t="shared" si="20"/>
        <v>90</v>
      </c>
      <c r="X96" s="7">
        <f t="shared" si="21"/>
        <v>55</v>
      </c>
      <c r="Y96" s="8">
        <f t="shared" si="14"/>
        <v>2016</v>
      </c>
      <c r="Z96" s="31">
        <f>IF(AA96=0,"",IF(_ijour122=0,MIN(DATE(YEAR(_debamort122),MONTH(_debamort122)+_moisd12+(W96-1)*_imois122,__jou21),DATE(YEAR(_debamort122),MONTH(_debamort122)+_moisd12+1+(W96-1)*_imois122,0)),DATE(YEAR(_debamort122),MONTH(_debamort122),__jou123+(W96-1)*_ijour122)))</f>
        <v>42522</v>
      </c>
      <c r="AA96" s="156">
        <f t="shared" si="22"/>
        <v>240000</v>
      </c>
      <c r="AB96" s="153">
        <f>IF(W96&lt;=_noechmaxi1t,ROUND(AA96*'Données Projet 1 (2)'!H105,_nbdeci1t1),0)</f>
        <v>200</v>
      </c>
      <c r="AC96" s="152">
        <f>IF(OR(W96&lt;=_differe1t1t,W96&gt;_noechmaxi1t),IF(_difftotal1t1t,-AB96,0),IF(W96&gt;=_noechremb12,AA96,IF('Données Projet 1 (2)'!I105-(AB96*_echfixe12)&gt;AA96-2,AA96,'Données Projet 1 (2)'!I105-(AB96*_echfixe12))))+R96</f>
        <v>0</v>
      </c>
      <c r="AD96" s="154">
        <f t="shared" si="23"/>
        <v>20</v>
      </c>
      <c r="AE96" s="157">
        <f t="shared" si="15"/>
        <v>220</v>
      </c>
    </row>
    <row r="97" spans="1:31" x14ac:dyDescent="0.2">
      <c r="A97" s="3"/>
      <c r="B97" s="164"/>
      <c r="C97" s="22"/>
      <c r="D97" s="21"/>
      <c r="E97" s="23"/>
      <c r="F97" s="10"/>
      <c r="G97" s="5">
        <f t="shared" si="16"/>
        <v>91</v>
      </c>
      <c r="H97" s="7">
        <f t="shared" si="17"/>
        <v>330</v>
      </c>
      <c r="I97" s="8">
        <f t="shared" si="12"/>
        <v>2016</v>
      </c>
      <c r="J97" s="31">
        <f>IF(K97=0,"",IF(_ijour12=0,MIN(DATE(YEAR(_debamort12),MONTH(_debamort12)+(G97-1)*_imois12,_jour12),DATE(YEAR(_debamort12),MONTH(_debamort12)+1+(G97-1)*_imois12,0)),DATE(YEAR(_debamort12),MONTH(_debamort12),_jour12+(G97-1)*_ijour12)))</f>
        <v>42552</v>
      </c>
      <c r="K97" s="156">
        <f t="shared" si="18"/>
        <v>156690.24999999997</v>
      </c>
      <c r="L97" s="153">
        <f>IF(G97&lt;=_noeechmaxi1,ROUND(K97*'Données Projet 1 (2)'!A106,_nbdeci1t),0)</f>
        <v>242.87</v>
      </c>
      <c r="M97" s="152">
        <f>IF(OR(G97&lt;=_differe1t,G97&gt;_noeechmaxi1),IF(_difftotal1t,-L97,0),IF(G97&gt;=_noechremb1t,K97,IF('Données Projet 1 (2)'!B106-(L97*_echfixe1t)&gt;K97-2,K97,'Données Projet 1 (2)'!B106-(L97*_echfixe1t))))+B97</f>
        <v>364.04999999999995</v>
      </c>
      <c r="N97" s="154">
        <f t="shared" si="19"/>
        <v>15.6</v>
      </c>
      <c r="O97" s="157">
        <f t="shared" si="13"/>
        <v>622.52</v>
      </c>
      <c r="Q97" s="3"/>
      <c r="R97" s="164"/>
      <c r="S97" s="22"/>
      <c r="T97" s="21"/>
      <c r="U97" s="23"/>
      <c r="V97" s="10"/>
      <c r="W97" s="5">
        <f t="shared" si="20"/>
        <v>91</v>
      </c>
      <c r="X97" s="7">
        <f t="shared" si="21"/>
        <v>54</v>
      </c>
      <c r="Y97" s="8">
        <f t="shared" si="14"/>
        <v>2016</v>
      </c>
      <c r="Z97" s="31">
        <f>IF(AA97=0,"",IF(_ijour122=0,MIN(DATE(YEAR(_debamort122),MONTH(_debamort122)+(W97-1)*_imois122,__jou123),DATE(YEAR(_debamort122),MONTH(_debamort122)+1+(W97-1)*_imois122,0)),DATE(YEAR(_debamort122),MONTH(_debamort122),__jou123+(W97-1)*_ijour122)))</f>
        <v>42552</v>
      </c>
      <c r="AA97" s="156">
        <f t="shared" si="22"/>
        <v>240000</v>
      </c>
      <c r="AB97" s="153">
        <f>IF(W97&lt;=_noechmaxi1t,ROUND(AA97*'Données Projet 1 (2)'!H106,_nbdeci1t1),0)</f>
        <v>200</v>
      </c>
      <c r="AC97" s="152">
        <f>IF(OR(W97&lt;=_differe1t1t,W97&gt;_noechmaxi1t),IF(_difftotal1t1t,-AB97,0),IF(W97&gt;=_noechremb12,AA97,IF('Données Projet 1 (2)'!I106-(AB97*_echfixe12)&gt;AA97-2,AA97,'Données Projet 1 (2)'!I106-(AB97*_echfixe12))))+R97</f>
        <v>0</v>
      </c>
      <c r="AD97" s="154">
        <f t="shared" si="23"/>
        <v>20</v>
      </c>
      <c r="AE97" s="157">
        <f t="shared" si="15"/>
        <v>220</v>
      </c>
    </row>
    <row r="98" spans="1:31" x14ac:dyDescent="0.2">
      <c r="A98" s="3"/>
      <c r="B98" s="164"/>
      <c r="C98" s="22"/>
      <c r="D98" s="21"/>
      <c r="E98" s="23"/>
      <c r="F98" s="10"/>
      <c r="G98" s="5">
        <f t="shared" si="16"/>
        <v>92</v>
      </c>
      <c r="H98" s="7">
        <f t="shared" si="17"/>
        <v>329</v>
      </c>
      <c r="I98" s="8">
        <f t="shared" si="12"/>
        <v>2016</v>
      </c>
      <c r="J98" s="31">
        <f>IF(K98=0,"",IF(_ijour12=0,MIN(DATE(YEAR(_debamort12),MONTH(_debamort12)+_MoisD+(G98-1)*_imois12,_jour212),DATE(YEAR(_debamort12),MONTH(_debamort12)+_MoisD+1+(G98-1)*_imois12,0)),DATE(YEAR(_debamort12),MONTH(_debamort12),_jour12+(G98-1)*_ijour12)))</f>
        <v>42583</v>
      </c>
      <c r="K98" s="156">
        <f t="shared" si="18"/>
        <v>156326.19999999998</v>
      </c>
      <c r="L98" s="153">
        <f>IF(G98&lt;=_noeechmaxi1,ROUND(K98*'Données Projet 1 (2)'!A107,_nbdeci1t),0)</f>
        <v>242.31</v>
      </c>
      <c r="M98" s="152">
        <f>IF(OR(G98&lt;=_differe1t,G98&gt;_noeechmaxi1),IF(_difftotal1t,-L98,0),IF(G98&gt;=_noechremb1t,K98,IF('Données Projet 1 (2)'!B107-(L98*_echfixe1t)&gt;K98-2,K98,'Données Projet 1 (2)'!B107-(L98*_echfixe1t))))+B98</f>
        <v>364.60999999999996</v>
      </c>
      <c r="N98" s="154">
        <f t="shared" si="19"/>
        <v>15.6</v>
      </c>
      <c r="O98" s="157">
        <f t="shared" si="13"/>
        <v>622.52</v>
      </c>
      <c r="Q98" s="3"/>
      <c r="R98" s="164"/>
      <c r="S98" s="22"/>
      <c r="T98" s="21"/>
      <c r="U98" s="23"/>
      <c r="V98" s="10"/>
      <c r="W98" s="5">
        <f t="shared" si="20"/>
        <v>92</v>
      </c>
      <c r="X98" s="7">
        <f t="shared" si="21"/>
        <v>53</v>
      </c>
      <c r="Y98" s="8">
        <f t="shared" si="14"/>
        <v>2016</v>
      </c>
      <c r="Z98" s="31">
        <f>IF(AA98=0,"",IF(_ijour122=0,MIN(DATE(YEAR(_debamort122),MONTH(_debamort122)+_moisd12+(W98-1)*_imois122,__jou21),DATE(YEAR(_debamort122),MONTH(_debamort122)+_moisd12+1+(W98-1)*_imois122,0)),DATE(YEAR(_debamort122),MONTH(_debamort122),__jou123+(W98-1)*_ijour122)))</f>
        <v>42583</v>
      </c>
      <c r="AA98" s="156">
        <f t="shared" si="22"/>
        <v>240000</v>
      </c>
      <c r="AB98" s="153">
        <f>IF(W98&lt;=_noechmaxi1t,ROUND(AA98*'Données Projet 1 (2)'!H107,_nbdeci1t1),0)</f>
        <v>200</v>
      </c>
      <c r="AC98" s="152">
        <f>IF(OR(W98&lt;=_differe1t1t,W98&gt;_noechmaxi1t),IF(_difftotal1t1t,-AB98,0),IF(W98&gt;=_noechremb12,AA98,IF('Données Projet 1 (2)'!I107-(AB98*_echfixe12)&gt;AA98-2,AA98,'Données Projet 1 (2)'!I107-(AB98*_echfixe12))))+R98</f>
        <v>0</v>
      </c>
      <c r="AD98" s="154">
        <f t="shared" si="23"/>
        <v>20</v>
      </c>
      <c r="AE98" s="157">
        <f t="shared" si="15"/>
        <v>220</v>
      </c>
    </row>
    <row r="99" spans="1:31" x14ac:dyDescent="0.2">
      <c r="A99" s="3"/>
      <c r="B99" s="164"/>
      <c r="C99" s="22"/>
      <c r="D99" s="21"/>
      <c r="E99" s="23"/>
      <c r="F99" s="10"/>
      <c r="G99" s="5">
        <f t="shared" si="16"/>
        <v>93</v>
      </c>
      <c r="H99" s="7">
        <f t="shared" si="17"/>
        <v>328</v>
      </c>
      <c r="I99" s="8">
        <f t="shared" si="12"/>
        <v>2016</v>
      </c>
      <c r="J99" s="31">
        <f>IF(K99=0,"",IF(_ijour12=0,MIN(DATE(YEAR(_debamort12),MONTH(_debamort12)+(G99-1)*_imois12,_jour12),DATE(YEAR(_debamort12),MONTH(_debamort12)+1+(G99-1)*_imois12,0)),DATE(YEAR(_debamort12),MONTH(_debamort12),_jour12+(G99-1)*_ijour12)))</f>
        <v>42614</v>
      </c>
      <c r="K99" s="156">
        <f t="shared" si="18"/>
        <v>155961.59</v>
      </c>
      <c r="L99" s="153">
        <f>IF(G99&lt;=_noeechmaxi1,ROUND(K99*'Données Projet 1 (2)'!A108,_nbdeci1t),0)</f>
        <v>241.74</v>
      </c>
      <c r="M99" s="152">
        <f>IF(OR(G99&lt;=_differe1t,G99&gt;_noeechmaxi1),IF(_difftotal1t,-L99,0),IF(G99&gt;=_noechremb1t,K99,IF('Données Projet 1 (2)'!B108-(L99*_echfixe1t)&gt;K99-2,K99,'Données Projet 1 (2)'!B108-(L99*_echfixe1t))))+B99</f>
        <v>365.17999999999995</v>
      </c>
      <c r="N99" s="154">
        <f t="shared" si="19"/>
        <v>15.6</v>
      </c>
      <c r="O99" s="157">
        <f t="shared" si="13"/>
        <v>622.52</v>
      </c>
      <c r="Q99" s="3"/>
      <c r="R99" s="164"/>
      <c r="S99" s="22"/>
      <c r="T99" s="21"/>
      <c r="U99" s="23"/>
      <c r="V99" s="10"/>
      <c r="W99" s="5">
        <f t="shared" si="20"/>
        <v>93</v>
      </c>
      <c r="X99" s="7">
        <f t="shared" si="21"/>
        <v>52</v>
      </c>
      <c r="Y99" s="8">
        <f t="shared" si="14"/>
        <v>2016</v>
      </c>
      <c r="Z99" s="31">
        <f>IF(AA99=0,"",IF(_ijour122=0,MIN(DATE(YEAR(_debamort122),MONTH(_debamort122)+(W99-1)*_imois122,__jou123),DATE(YEAR(_debamort122),MONTH(_debamort122)+1+(W99-1)*_imois122,0)),DATE(YEAR(_debamort122),MONTH(_debamort122),__jou123+(W99-1)*_ijour122)))</f>
        <v>42614</v>
      </c>
      <c r="AA99" s="156">
        <f t="shared" si="22"/>
        <v>240000</v>
      </c>
      <c r="AB99" s="153">
        <f>IF(W99&lt;=_noechmaxi1t,ROUND(AA99*'Données Projet 1 (2)'!H108,_nbdeci1t1),0)</f>
        <v>200</v>
      </c>
      <c r="AC99" s="152">
        <f>IF(OR(W99&lt;=_differe1t1t,W99&gt;_noechmaxi1t),IF(_difftotal1t1t,-AB99,0),IF(W99&gt;=_noechremb12,AA99,IF('Données Projet 1 (2)'!I108-(AB99*_echfixe12)&gt;AA99-2,AA99,'Données Projet 1 (2)'!I108-(AB99*_echfixe12))))+R99</f>
        <v>0</v>
      </c>
      <c r="AD99" s="154">
        <f t="shared" si="23"/>
        <v>20</v>
      </c>
      <c r="AE99" s="157">
        <f t="shared" si="15"/>
        <v>220</v>
      </c>
    </row>
    <row r="100" spans="1:31" x14ac:dyDescent="0.2">
      <c r="A100" s="3"/>
      <c r="B100" s="164"/>
      <c r="C100" s="22"/>
      <c r="D100" s="21"/>
      <c r="E100" s="23"/>
      <c r="F100" s="10"/>
      <c r="G100" s="5">
        <f t="shared" si="16"/>
        <v>94</v>
      </c>
      <c r="H100" s="7">
        <f t="shared" si="17"/>
        <v>327</v>
      </c>
      <c r="I100" s="8">
        <f t="shared" si="12"/>
        <v>2016</v>
      </c>
      <c r="J100" s="31">
        <f>IF(K100=0,"",IF(_ijour12=0,MIN(DATE(YEAR(_debamort12),MONTH(_debamort12)+_MoisD+(G100-1)*_imois12,_jour212),DATE(YEAR(_debamort12),MONTH(_debamort12)+_MoisD+1+(G100-1)*_imois12,0)),DATE(YEAR(_debamort12),MONTH(_debamort12),_jour12+(G100-1)*_ijour12)))</f>
        <v>42644</v>
      </c>
      <c r="K100" s="156">
        <f t="shared" si="18"/>
        <v>155596.41</v>
      </c>
      <c r="L100" s="153">
        <f>IF(G100&lt;=_noeechmaxi1,ROUND(K100*'Données Projet 1 (2)'!A109,_nbdeci1t),0)</f>
        <v>241.17</v>
      </c>
      <c r="M100" s="152">
        <f>IF(OR(G100&lt;=_differe1t,G100&gt;_noeechmaxi1),IF(_difftotal1t,-L100,0),IF(G100&gt;=_noechremb1t,K100,IF('Données Projet 1 (2)'!B109-(L100*_echfixe1t)&gt;K100-2,K100,'Données Projet 1 (2)'!B109-(L100*_echfixe1t))))+B100</f>
        <v>365.75</v>
      </c>
      <c r="N100" s="154">
        <f t="shared" si="19"/>
        <v>15.6</v>
      </c>
      <c r="O100" s="157">
        <f t="shared" si="13"/>
        <v>622.52</v>
      </c>
      <c r="Q100" s="3"/>
      <c r="R100" s="164"/>
      <c r="S100" s="22"/>
      <c r="T100" s="21"/>
      <c r="U100" s="23"/>
      <c r="V100" s="10"/>
      <c r="W100" s="5">
        <f t="shared" si="20"/>
        <v>94</v>
      </c>
      <c r="X100" s="7">
        <f t="shared" si="21"/>
        <v>51</v>
      </c>
      <c r="Y100" s="8">
        <f t="shared" si="14"/>
        <v>2016</v>
      </c>
      <c r="Z100" s="31">
        <f>IF(AA100=0,"",IF(_ijour122=0,MIN(DATE(YEAR(_debamort122),MONTH(_debamort122)+_moisd12+(W100-1)*_imois122,__jou21),DATE(YEAR(_debamort122),MONTH(_debamort122)+_moisd12+1+(W100-1)*_imois122,0)),DATE(YEAR(_debamort122),MONTH(_debamort122),__jou123+(W100-1)*_ijour122)))</f>
        <v>42644</v>
      </c>
      <c r="AA100" s="156">
        <f t="shared" si="22"/>
        <v>240000</v>
      </c>
      <c r="AB100" s="153">
        <f>IF(W100&lt;=_noechmaxi1t,ROUND(AA100*'Données Projet 1 (2)'!H109,_nbdeci1t1),0)</f>
        <v>200</v>
      </c>
      <c r="AC100" s="152">
        <f>IF(OR(W100&lt;=_differe1t1t,W100&gt;_noechmaxi1t),IF(_difftotal1t1t,-AB100,0),IF(W100&gt;=_noechremb12,AA100,IF('Données Projet 1 (2)'!I109-(AB100*_echfixe12)&gt;AA100-2,AA100,'Données Projet 1 (2)'!I109-(AB100*_echfixe12))))+R100</f>
        <v>0</v>
      </c>
      <c r="AD100" s="154">
        <f t="shared" si="23"/>
        <v>20</v>
      </c>
      <c r="AE100" s="157">
        <f t="shared" si="15"/>
        <v>220</v>
      </c>
    </row>
    <row r="101" spans="1:31" x14ac:dyDescent="0.2">
      <c r="A101" s="3"/>
      <c r="B101" s="164"/>
      <c r="C101" s="22"/>
      <c r="D101" s="21"/>
      <c r="E101" s="23"/>
      <c r="F101" s="10"/>
      <c r="G101" s="5">
        <f t="shared" si="16"/>
        <v>95</v>
      </c>
      <c r="H101" s="7">
        <f t="shared" si="17"/>
        <v>326</v>
      </c>
      <c r="I101" s="8">
        <f t="shared" si="12"/>
        <v>2016</v>
      </c>
      <c r="J101" s="31">
        <f>IF(K101=0,"",IF(_ijour12=0,MIN(DATE(YEAR(_debamort12),MONTH(_debamort12)+(G101-1)*_imois12,_jour12),DATE(YEAR(_debamort12),MONTH(_debamort12)+1+(G101-1)*_imois12,0)),DATE(YEAR(_debamort12),MONTH(_debamort12),_jour12+(G101-1)*_ijour12)))</f>
        <v>42675</v>
      </c>
      <c r="K101" s="156">
        <f t="shared" si="18"/>
        <v>155230.66</v>
      </c>
      <c r="L101" s="153">
        <f>IF(G101&lt;=_noeechmaxi1,ROUND(K101*'Données Projet 1 (2)'!A110,_nbdeci1t),0)</f>
        <v>240.61</v>
      </c>
      <c r="M101" s="152">
        <f>IF(OR(G101&lt;=_differe1t,G101&gt;_noeechmaxi1),IF(_difftotal1t,-L101,0),IF(G101&gt;=_noechremb1t,K101,IF('Données Projet 1 (2)'!B110-(L101*_echfixe1t)&gt;K101-2,K101,'Données Projet 1 (2)'!B110-(L101*_echfixe1t))))+B101</f>
        <v>366.30999999999995</v>
      </c>
      <c r="N101" s="154">
        <f t="shared" si="19"/>
        <v>15.6</v>
      </c>
      <c r="O101" s="157">
        <f t="shared" si="13"/>
        <v>622.52</v>
      </c>
      <c r="Q101" s="3"/>
      <c r="R101" s="164"/>
      <c r="S101" s="22"/>
      <c r="T101" s="21"/>
      <c r="U101" s="23"/>
      <c r="V101" s="10"/>
      <c r="W101" s="5">
        <f t="shared" si="20"/>
        <v>95</v>
      </c>
      <c r="X101" s="7">
        <f t="shared" si="21"/>
        <v>50</v>
      </c>
      <c r="Y101" s="8">
        <f t="shared" si="14"/>
        <v>2016</v>
      </c>
      <c r="Z101" s="31">
        <f>IF(AA101=0,"",IF(_ijour122=0,MIN(DATE(YEAR(_debamort122),MONTH(_debamort122)+(W101-1)*_imois122,__jou123),DATE(YEAR(_debamort122),MONTH(_debamort122)+1+(W101-1)*_imois122,0)),DATE(YEAR(_debamort122),MONTH(_debamort122),__jou123+(W101-1)*_ijour122)))</f>
        <v>42675</v>
      </c>
      <c r="AA101" s="156">
        <f t="shared" si="22"/>
        <v>240000</v>
      </c>
      <c r="AB101" s="153">
        <f>IF(W101&lt;=_noechmaxi1t,ROUND(AA101*'Données Projet 1 (2)'!H110,_nbdeci1t1),0)</f>
        <v>200</v>
      </c>
      <c r="AC101" s="152">
        <f>IF(OR(W101&lt;=_differe1t1t,W101&gt;_noechmaxi1t),IF(_difftotal1t1t,-AB101,0),IF(W101&gt;=_noechremb12,AA101,IF('Données Projet 1 (2)'!I110-(AB101*_echfixe12)&gt;AA101-2,AA101,'Données Projet 1 (2)'!I110-(AB101*_echfixe12))))+R101</f>
        <v>0</v>
      </c>
      <c r="AD101" s="154">
        <f t="shared" si="23"/>
        <v>20</v>
      </c>
      <c r="AE101" s="157">
        <f t="shared" si="15"/>
        <v>220</v>
      </c>
    </row>
    <row r="102" spans="1:31" x14ac:dyDescent="0.2">
      <c r="A102" s="3"/>
      <c r="B102" s="164"/>
      <c r="C102" s="22"/>
      <c r="D102" s="21"/>
      <c r="E102" s="23"/>
      <c r="F102" s="10"/>
      <c r="G102" s="5">
        <f t="shared" si="16"/>
        <v>96</v>
      </c>
      <c r="H102" s="7">
        <f t="shared" si="17"/>
        <v>325</v>
      </c>
      <c r="I102" s="8">
        <f t="shared" si="12"/>
        <v>2016</v>
      </c>
      <c r="J102" s="31">
        <f>IF(K102=0,"",IF(_ijour12=0,MIN(DATE(YEAR(_debamort12),MONTH(_debamort12)+_MoisD+(G102-1)*_imois12,_jour212),DATE(YEAR(_debamort12),MONTH(_debamort12)+_MoisD+1+(G102-1)*_imois12,0)),DATE(YEAR(_debamort12),MONTH(_debamort12),_jour12+(G102-1)*_ijour12)))</f>
        <v>42705</v>
      </c>
      <c r="K102" s="156">
        <f t="shared" si="18"/>
        <v>154864.35</v>
      </c>
      <c r="L102" s="153">
        <f>IF(G102&lt;=_noeechmaxi1,ROUND(K102*'Données Projet 1 (2)'!A111,_nbdeci1t),0)</f>
        <v>240.04</v>
      </c>
      <c r="M102" s="152">
        <f>IF(OR(G102&lt;=_differe1t,G102&gt;_noeechmaxi1),IF(_difftotal1t,-L102,0),IF(G102&gt;=_noechremb1t,K102,IF('Données Projet 1 (2)'!B111-(L102*_echfixe1t)&gt;K102-2,K102,'Données Projet 1 (2)'!B111-(L102*_echfixe1t))))+B102</f>
        <v>366.88</v>
      </c>
      <c r="N102" s="154">
        <f t="shared" si="19"/>
        <v>15.6</v>
      </c>
      <c r="O102" s="157">
        <f t="shared" si="13"/>
        <v>622.52</v>
      </c>
      <c r="Q102" s="3"/>
      <c r="R102" s="164"/>
      <c r="S102" s="22"/>
      <c r="T102" s="21"/>
      <c r="U102" s="23"/>
      <c r="V102" s="10"/>
      <c r="W102" s="5">
        <f t="shared" si="20"/>
        <v>96</v>
      </c>
      <c r="X102" s="7">
        <f t="shared" si="21"/>
        <v>49</v>
      </c>
      <c r="Y102" s="8">
        <f t="shared" si="14"/>
        <v>2016</v>
      </c>
      <c r="Z102" s="31">
        <f>IF(AA102=0,"",IF(_ijour122=0,MIN(DATE(YEAR(_debamort122),MONTH(_debamort122)+_moisd12+(W102-1)*_imois122,__jou21),DATE(YEAR(_debamort122),MONTH(_debamort122)+_moisd12+1+(W102-1)*_imois122,0)),DATE(YEAR(_debamort122),MONTH(_debamort122),__jou123+(W102-1)*_ijour122)))</f>
        <v>42705</v>
      </c>
      <c r="AA102" s="156">
        <f t="shared" si="22"/>
        <v>240000</v>
      </c>
      <c r="AB102" s="153">
        <f>IF(W102&lt;=_noechmaxi1t,ROUND(AA102*'Données Projet 1 (2)'!H111,_nbdeci1t1),0)</f>
        <v>200</v>
      </c>
      <c r="AC102" s="152">
        <f>IF(OR(W102&lt;=_differe1t1t,W102&gt;_noechmaxi1t),IF(_difftotal1t1t,-AB102,0),IF(W102&gt;=_noechremb12,AA102,IF('Données Projet 1 (2)'!I111-(AB102*_echfixe12)&gt;AA102-2,AA102,'Données Projet 1 (2)'!I111-(AB102*_echfixe12))))+R102</f>
        <v>0</v>
      </c>
      <c r="AD102" s="154">
        <f t="shared" si="23"/>
        <v>20</v>
      </c>
      <c r="AE102" s="157">
        <f t="shared" si="15"/>
        <v>220</v>
      </c>
    </row>
    <row r="103" spans="1:31" x14ac:dyDescent="0.2">
      <c r="A103" s="3"/>
      <c r="B103" s="164"/>
      <c r="C103" s="22"/>
      <c r="D103" s="21"/>
      <c r="E103" s="23"/>
      <c r="F103" s="10"/>
      <c r="G103" s="5">
        <f t="shared" si="16"/>
        <v>97</v>
      </c>
      <c r="H103" s="7">
        <f t="shared" si="17"/>
        <v>324</v>
      </c>
      <c r="I103" s="8">
        <f t="shared" si="12"/>
        <v>2017</v>
      </c>
      <c r="J103" s="31">
        <f>IF(K103=0,"",IF(_ijour12=0,MIN(DATE(YEAR(_debamort12),MONTH(_debamort12)+(G103-1)*_imois12,_jour12),DATE(YEAR(_debamort12),MONTH(_debamort12)+1+(G103-1)*_imois12,0)),DATE(YEAR(_debamort12),MONTH(_debamort12),_jour12+(G103-1)*_ijour12)))</f>
        <v>42736</v>
      </c>
      <c r="K103" s="156">
        <f t="shared" si="18"/>
        <v>154497.47</v>
      </c>
      <c r="L103" s="153">
        <f>IF(G103&lt;=_noeechmaxi1,ROUND(K103*'Données Projet 1 (2)'!A112,_nbdeci1t),0)</f>
        <v>239.47</v>
      </c>
      <c r="M103" s="152">
        <f>IF(OR(G103&lt;=_differe1t,G103&gt;_noeechmaxi1),IF(_difftotal1t,-L103,0),IF(G103&gt;=_noechremb1t,K103,IF('Données Projet 1 (2)'!B112-(L103*_echfixe1t)&gt;K103-2,K103,'Données Projet 1 (2)'!B112-(L103*_echfixe1t))))+B103</f>
        <v>367.44999999999993</v>
      </c>
      <c r="N103" s="154">
        <f t="shared" si="19"/>
        <v>15.6</v>
      </c>
      <c r="O103" s="157">
        <f t="shared" si="13"/>
        <v>622.52</v>
      </c>
      <c r="Q103" s="3"/>
      <c r="R103" s="164"/>
      <c r="S103" s="22"/>
      <c r="T103" s="21"/>
      <c r="U103" s="23"/>
      <c r="V103" s="10"/>
      <c r="W103" s="5">
        <f t="shared" si="20"/>
        <v>97</v>
      </c>
      <c r="X103" s="7">
        <f t="shared" si="21"/>
        <v>48</v>
      </c>
      <c r="Y103" s="8">
        <f t="shared" si="14"/>
        <v>2017</v>
      </c>
      <c r="Z103" s="31">
        <f>IF(AA103=0,"",IF(_ijour122=0,MIN(DATE(YEAR(_debamort122),MONTH(_debamort122)+(W103-1)*_imois122,__jou123),DATE(YEAR(_debamort122),MONTH(_debamort122)+1+(W103-1)*_imois122,0)),DATE(YEAR(_debamort122),MONTH(_debamort122),__jou123+(W103-1)*_ijour122)))</f>
        <v>42736</v>
      </c>
      <c r="AA103" s="156">
        <f t="shared" si="22"/>
        <v>240000</v>
      </c>
      <c r="AB103" s="153">
        <f>IF(W103&lt;=_noechmaxi1t,ROUND(AA103*'Données Projet 1 (2)'!H112,_nbdeci1t1),0)</f>
        <v>200</v>
      </c>
      <c r="AC103" s="152">
        <f>IF(OR(W103&lt;=_differe1t1t,W103&gt;_noechmaxi1t),IF(_difftotal1t1t,-AB103,0),IF(W103&gt;=_noechremb12,AA103,IF('Données Projet 1 (2)'!I112-(AB103*_echfixe12)&gt;AA103-2,AA103,'Données Projet 1 (2)'!I112-(AB103*_echfixe12))))+R103</f>
        <v>0</v>
      </c>
      <c r="AD103" s="154">
        <f t="shared" si="23"/>
        <v>20</v>
      </c>
      <c r="AE103" s="157">
        <f t="shared" si="15"/>
        <v>220</v>
      </c>
    </row>
    <row r="104" spans="1:31" x14ac:dyDescent="0.2">
      <c r="A104" s="3"/>
      <c r="B104" s="164"/>
      <c r="C104" s="22"/>
      <c r="D104" s="21"/>
      <c r="E104" s="23"/>
      <c r="F104" s="10"/>
      <c r="G104" s="5">
        <f t="shared" si="16"/>
        <v>98</v>
      </c>
      <c r="H104" s="7">
        <f t="shared" si="17"/>
        <v>323</v>
      </c>
      <c r="I104" s="8">
        <f t="shared" si="12"/>
        <v>2017</v>
      </c>
      <c r="J104" s="31">
        <f>IF(K104=0,"",IF(_ijour12=0,MIN(DATE(YEAR(_debamort12),MONTH(_debamort12)+_MoisD+(G104-1)*_imois12,_jour212),DATE(YEAR(_debamort12),MONTH(_debamort12)+_MoisD+1+(G104-1)*_imois12,0)),DATE(YEAR(_debamort12),MONTH(_debamort12),_jour12+(G104-1)*_ijour12)))</f>
        <v>42767</v>
      </c>
      <c r="K104" s="156">
        <f t="shared" si="18"/>
        <v>154130.01999999999</v>
      </c>
      <c r="L104" s="153">
        <f>IF(G104&lt;=_noeechmaxi1,ROUND(K104*'Données Projet 1 (2)'!A113,_nbdeci1t),0)</f>
        <v>238.9</v>
      </c>
      <c r="M104" s="152">
        <f>IF(OR(G104&lt;=_differe1t,G104&gt;_noeechmaxi1),IF(_difftotal1t,-L104,0),IF(G104&gt;=_noechremb1t,K104,IF('Données Projet 1 (2)'!B113-(L104*_echfixe1t)&gt;K104-2,K104,'Données Projet 1 (2)'!B113-(L104*_echfixe1t))))+B104</f>
        <v>368.02</v>
      </c>
      <c r="N104" s="154">
        <f t="shared" si="19"/>
        <v>15.6</v>
      </c>
      <c r="O104" s="157">
        <f t="shared" si="13"/>
        <v>622.52</v>
      </c>
      <c r="Q104" s="3"/>
      <c r="R104" s="164"/>
      <c r="S104" s="22"/>
      <c r="T104" s="21"/>
      <c r="U104" s="23"/>
      <c r="V104" s="10"/>
      <c r="W104" s="5">
        <f t="shared" si="20"/>
        <v>98</v>
      </c>
      <c r="X104" s="7">
        <f t="shared" si="21"/>
        <v>47</v>
      </c>
      <c r="Y104" s="8">
        <f t="shared" si="14"/>
        <v>2017</v>
      </c>
      <c r="Z104" s="31">
        <f>IF(AA104=0,"",IF(_ijour122=0,MIN(DATE(YEAR(_debamort122),MONTH(_debamort122)+_moisd12+(W104-1)*_imois122,__jou21),DATE(YEAR(_debamort122),MONTH(_debamort122)+_moisd12+1+(W104-1)*_imois122,0)),DATE(YEAR(_debamort122),MONTH(_debamort122),__jou123+(W104-1)*_ijour122)))</f>
        <v>42767</v>
      </c>
      <c r="AA104" s="156">
        <f t="shared" si="22"/>
        <v>240000</v>
      </c>
      <c r="AB104" s="153">
        <f>IF(W104&lt;=_noechmaxi1t,ROUND(AA104*'Données Projet 1 (2)'!H113,_nbdeci1t1),0)</f>
        <v>200</v>
      </c>
      <c r="AC104" s="152">
        <f>IF(OR(W104&lt;=_differe1t1t,W104&gt;_noechmaxi1t),IF(_difftotal1t1t,-AB104,0),IF(W104&gt;=_noechremb12,AA104,IF('Données Projet 1 (2)'!I113-(AB104*_echfixe12)&gt;AA104-2,AA104,'Données Projet 1 (2)'!I113-(AB104*_echfixe12))))+R104</f>
        <v>0</v>
      </c>
      <c r="AD104" s="154">
        <f t="shared" si="23"/>
        <v>20</v>
      </c>
      <c r="AE104" s="157">
        <f t="shared" si="15"/>
        <v>220</v>
      </c>
    </row>
    <row r="105" spans="1:31" x14ac:dyDescent="0.2">
      <c r="A105" s="3"/>
      <c r="B105" s="164"/>
      <c r="C105" s="22"/>
      <c r="D105" s="21"/>
      <c r="E105" s="23"/>
      <c r="F105" s="10"/>
      <c r="G105" s="5">
        <f t="shared" si="16"/>
        <v>99</v>
      </c>
      <c r="H105" s="7">
        <f t="shared" si="17"/>
        <v>322</v>
      </c>
      <c r="I105" s="8">
        <f t="shared" si="12"/>
        <v>2017</v>
      </c>
      <c r="J105" s="31">
        <f>IF(K105=0,"",IF(_ijour12=0,MIN(DATE(YEAR(_debamort12),MONTH(_debamort12)+(G105-1)*_imois12,_jour12),DATE(YEAR(_debamort12),MONTH(_debamort12)+1+(G105-1)*_imois12,0)),DATE(YEAR(_debamort12),MONTH(_debamort12),_jour12+(G105-1)*_ijour12)))</f>
        <v>42795</v>
      </c>
      <c r="K105" s="156">
        <f t="shared" si="18"/>
        <v>153762</v>
      </c>
      <c r="L105" s="153">
        <f>IF(G105&lt;=_noeechmaxi1,ROUND(K105*'Données Projet 1 (2)'!A114,_nbdeci1t),0)</f>
        <v>238.33</v>
      </c>
      <c r="M105" s="152">
        <f>IF(OR(G105&lt;=_differe1t,G105&gt;_noeechmaxi1),IF(_difftotal1t,-L105,0),IF(G105&gt;=_noechremb1t,K105,IF('Données Projet 1 (2)'!B114-(L105*_echfixe1t)&gt;K105-2,K105,'Données Projet 1 (2)'!B114-(L105*_echfixe1t))))+B105</f>
        <v>368.58999999999992</v>
      </c>
      <c r="N105" s="154">
        <f t="shared" si="19"/>
        <v>15.6</v>
      </c>
      <c r="O105" s="157">
        <f t="shared" si="13"/>
        <v>622.52</v>
      </c>
      <c r="Q105" s="3"/>
      <c r="R105" s="164"/>
      <c r="S105" s="22"/>
      <c r="T105" s="21"/>
      <c r="U105" s="23"/>
      <c r="V105" s="10"/>
      <c r="W105" s="5">
        <f t="shared" si="20"/>
        <v>99</v>
      </c>
      <c r="X105" s="7">
        <f t="shared" si="21"/>
        <v>46</v>
      </c>
      <c r="Y105" s="8">
        <f t="shared" si="14"/>
        <v>2017</v>
      </c>
      <c r="Z105" s="31">
        <f>IF(AA105=0,"",IF(_ijour122=0,MIN(DATE(YEAR(_debamort122),MONTH(_debamort122)+(W105-1)*_imois122,__jou123),DATE(YEAR(_debamort122),MONTH(_debamort122)+1+(W105-1)*_imois122,0)),DATE(YEAR(_debamort122),MONTH(_debamort122),__jou123+(W105-1)*_ijour122)))</f>
        <v>42795</v>
      </c>
      <c r="AA105" s="156">
        <f t="shared" si="22"/>
        <v>240000</v>
      </c>
      <c r="AB105" s="153">
        <f>IF(W105&lt;=_noechmaxi1t,ROUND(AA105*'Données Projet 1 (2)'!H114,_nbdeci1t1),0)</f>
        <v>200</v>
      </c>
      <c r="AC105" s="152">
        <f>IF(OR(W105&lt;=_differe1t1t,W105&gt;_noechmaxi1t),IF(_difftotal1t1t,-AB105,0),IF(W105&gt;=_noechremb12,AA105,IF('Données Projet 1 (2)'!I114-(AB105*_echfixe12)&gt;AA105-2,AA105,'Données Projet 1 (2)'!I114-(AB105*_echfixe12))))+R105</f>
        <v>0</v>
      </c>
      <c r="AD105" s="154">
        <f t="shared" si="23"/>
        <v>20</v>
      </c>
      <c r="AE105" s="157">
        <f t="shared" si="15"/>
        <v>220</v>
      </c>
    </row>
    <row r="106" spans="1:31" x14ac:dyDescent="0.2">
      <c r="A106" s="3"/>
      <c r="B106" s="164"/>
      <c r="C106" s="22"/>
      <c r="D106" s="21"/>
      <c r="E106" s="23"/>
      <c r="F106" s="10"/>
      <c r="G106" s="5">
        <f t="shared" si="16"/>
        <v>100</v>
      </c>
      <c r="H106" s="7">
        <f t="shared" si="17"/>
        <v>321</v>
      </c>
      <c r="I106" s="8">
        <f t="shared" si="12"/>
        <v>2017</v>
      </c>
      <c r="J106" s="31">
        <f>IF(K106=0,"",IF(_ijour12=0,MIN(DATE(YEAR(_debamort12),MONTH(_debamort12)+_MoisD+(G106-1)*_imois12,_jour212),DATE(YEAR(_debamort12),MONTH(_debamort12)+_MoisD+1+(G106-1)*_imois12,0)),DATE(YEAR(_debamort12),MONTH(_debamort12),_jour12+(G106-1)*_ijour12)))</f>
        <v>42826</v>
      </c>
      <c r="K106" s="156">
        <f t="shared" si="18"/>
        <v>153393.41</v>
      </c>
      <c r="L106" s="153">
        <f>IF(G106&lt;=_noeechmaxi1,ROUND(K106*'Données Projet 1 (2)'!A115,_nbdeci1t),0)</f>
        <v>237.76</v>
      </c>
      <c r="M106" s="152">
        <f>IF(OR(G106&lt;=_differe1t,G106&gt;_noeechmaxi1),IF(_difftotal1t,-L106,0),IF(G106&gt;=_noechremb1t,K106,IF('Données Projet 1 (2)'!B115-(L106*_echfixe1t)&gt;K106-2,K106,'Données Projet 1 (2)'!B115-(L106*_echfixe1t))))+B106</f>
        <v>369.15999999999997</v>
      </c>
      <c r="N106" s="154">
        <f t="shared" si="19"/>
        <v>15.6</v>
      </c>
      <c r="O106" s="157">
        <f t="shared" si="13"/>
        <v>622.52</v>
      </c>
      <c r="Q106" s="3"/>
      <c r="R106" s="164"/>
      <c r="S106" s="22"/>
      <c r="T106" s="21"/>
      <c r="U106" s="23"/>
      <c r="V106" s="10"/>
      <c r="W106" s="5">
        <f t="shared" si="20"/>
        <v>100</v>
      </c>
      <c r="X106" s="7">
        <f t="shared" si="21"/>
        <v>45</v>
      </c>
      <c r="Y106" s="8">
        <f t="shared" si="14"/>
        <v>2017</v>
      </c>
      <c r="Z106" s="31">
        <f>IF(AA106=0,"",IF(_ijour122=0,MIN(DATE(YEAR(_debamort122),MONTH(_debamort122)+_moisd12+(W106-1)*_imois122,__jou21),DATE(YEAR(_debamort122),MONTH(_debamort122)+_moisd12+1+(W106-1)*_imois122,0)),DATE(YEAR(_debamort122),MONTH(_debamort122),__jou123+(W106-1)*_ijour122)))</f>
        <v>42826</v>
      </c>
      <c r="AA106" s="156">
        <f t="shared" si="22"/>
        <v>240000</v>
      </c>
      <c r="AB106" s="153">
        <f>IF(W106&lt;=_noechmaxi1t,ROUND(AA106*'Données Projet 1 (2)'!H115,_nbdeci1t1),0)</f>
        <v>200</v>
      </c>
      <c r="AC106" s="152">
        <f>IF(OR(W106&lt;=_differe1t1t,W106&gt;_noechmaxi1t),IF(_difftotal1t1t,-AB106,0),IF(W106&gt;=_noechremb12,AA106,IF('Données Projet 1 (2)'!I115-(AB106*_echfixe12)&gt;AA106-2,AA106,'Données Projet 1 (2)'!I115-(AB106*_echfixe12))))+R106</f>
        <v>0</v>
      </c>
      <c r="AD106" s="154">
        <f t="shared" si="23"/>
        <v>20</v>
      </c>
      <c r="AE106" s="157">
        <f t="shared" si="15"/>
        <v>220</v>
      </c>
    </row>
    <row r="107" spans="1:31" x14ac:dyDescent="0.2">
      <c r="A107" s="3"/>
      <c r="B107" s="164"/>
      <c r="C107" s="22"/>
      <c r="D107" s="21"/>
      <c r="E107" s="23"/>
      <c r="F107" s="10"/>
      <c r="G107" s="5">
        <f t="shared" si="16"/>
        <v>101</v>
      </c>
      <c r="H107" s="7">
        <f t="shared" si="17"/>
        <v>320</v>
      </c>
      <c r="I107" s="8">
        <f t="shared" si="12"/>
        <v>2017</v>
      </c>
      <c r="J107" s="31">
        <f>IF(K107=0,"",IF(_ijour12=0,MIN(DATE(YEAR(_debamort12),MONTH(_debamort12)+(G107-1)*_imois12,_jour12),DATE(YEAR(_debamort12),MONTH(_debamort12)+1+(G107-1)*_imois12,0)),DATE(YEAR(_debamort12),MONTH(_debamort12),_jour12+(G107-1)*_ijour12)))</f>
        <v>42856</v>
      </c>
      <c r="K107" s="156">
        <f t="shared" si="18"/>
        <v>153024.25</v>
      </c>
      <c r="L107" s="153">
        <f>IF(G107&lt;=_noeechmaxi1,ROUND(K107*'Données Projet 1 (2)'!A116,_nbdeci1t),0)</f>
        <v>237.19</v>
      </c>
      <c r="M107" s="152">
        <f>IF(OR(G107&lt;=_differe1t,G107&gt;_noeechmaxi1),IF(_difftotal1t,-L107,0),IF(G107&gt;=_noechremb1t,K107,IF('Données Projet 1 (2)'!B116-(L107*_echfixe1t)&gt;K107-2,K107,'Données Projet 1 (2)'!B116-(L107*_echfixe1t))))+B107</f>
        <v>369.72999999999996</v>
      </c>
      <c r="N107" s="154">
        <f t="shared" si="19"/>
        <v>15.6</v>
      </c>
      <c r="O107" s="157">
        <f t="shared" si="13"/>
        <v>622.52</v>
      </c>
      <c r="Q107" s="3"/>
      <c r="R107" s="164"/>
      <c r="S107" s="22"/>
      <c r="T107" s="21"/>
      <c r="U107" s="23"/>
      <c r="V107" s="10"/>
      <c r="W107" s="5">
        <f t="shared" si="20"/>
        <v>101</v>
      </c>
      <c r="X107" s="7">
        <f t="shared" si="21"/>
        <v>44</v>
      </c>
      <c r="Y107" s="8">
        <f t="shared" si="14"/>
        <v>2017</v>
      </c>
      <c r="Z107" s="31">
        <f>IF(AA107=0,"",IF(_ijour122=0,MIN(DATE(YEAR(_debamort122),MONTH(_debamort122)+(W107-1)*_imois122,__jou123),DATE(YEAR(_debamort122),MONTH(_debamort122)+1+(W107-1)*_imois122,0)),DATE(YEAR(_debamort122),MONTH(_debamort122),__jou123+(W107-1)*_ijour122)))</f>
        <v>42856</v>
      </c>
      <c r="AA107" s="156">
        <f t="shared" si="22"/>
        <v>240000</v>
      </c>
      <c r="AB107" s="153">
        <f>IF(W107&lt;=_noechmaxi1t,ROUND(AA107*'Données Projet 1 (2)'!H116,_nbdeci1t1),0)</f>
        <v>200</v>
      </c>
      <c r="AC107" s="152">
        <f>IF(OR(W107&lt;=_differe1t1t,W107&gt;_noechmaxi1t),IF(_difftotal1t1t,-AB107,0),IF(W107&gt;=_noechremb12,AA107,IF('Données Projet 1 (2)'!I116-(AB107*_echfixe12)&gt;AA107-2,AA107,'Données Projet 1 (2)'!I116-(AB107*_echfixe12))))+R107</f>
        <v>0</v>
      </c>
      <c r="AD107" s="154">
        <f t="shared" si="23"/>
        <v>20</v>
      </c>
      <c r="AE107" s="157">
        <f t="shared" si="15"/>
        <v>220</v>
      </c>
    </row>
    <row r="108" spans="1:31" x14ac:dyDescent="0.2">
      <c r="A108" s="3"/>
      <c r="B108" s="164"/>
      <c r="C108" s="22"/>
      <c r="D108" s="21"/>
      <c r="E108" s="23"/>
      <c r="F108" s="10"/>
      <c r="G108" s="5">
        <f t="shared" si="16"/>
        <v>102</v>
      </c>
      <c r="H108" s="7">
        <f t="shared" si="17"/>
        <v>319</v>
      </c>
      <c r="I108" s="8">
        <f t="shared" si="12"/>
        <v>2017</v>
      </c>
      <c r="J108" s="31">
        <f>IF(K108=0,"",IF(_ijour12=0,MIN(DATE(YEAR(_debamort12),MONTH(_debamort12)+_MoisD+(G108-1)*_imois12,_jour212),DATE(YEAR(_debamort12),MONTH(_debamort12)+_MoisD+1+(G108-1)*_imois12,0)),DATE(YEAR(_debamort12),MONTH(_debamort12),_jour12+(G108-1)*_ijour12)))</f>
        <v>42887</v>
      </c>
      <c r="K108" s="156">
        <f t="shared" si="18"/>
        <v>152654.51999999999</v>
      </c>
      <c r="L108" s="153">
        <f>IF(G108&lt;=_noeechmaxi1,ROUND(K108*'Données Projet 1 (2)'!A117,_nbdeci1t),0)</f>
        <v>236.61</v>
      </c>
      <c r="M108" s="152">
        <f>IF(OR(G108&lt;=_differe1t,G108&gt;_noeechmaxi1),IF(_difftotal1t,-L108,0),IF(G108&gt;=_noechremb1t,K108,IF('Données Projet 1 (2)'!B117-(L108*_echfixe1t)&gt;K108-2,K108,'Données Projet 1 (2)'!B117-(L108*_echfixe1t))))+B108</f>
        <v>370.30999999999995</v>
      </c>
      <c r="N108" s="154">
        <f t="shared" si="19"/>
        <v>15.6</v>
      </c>
      <c r="O108" s="157">
        <f t="shared" si="13"/>
        <v>622.52</v>
      </c>
      <c r="Q108" s="3"/>
      <c r="R108" s="164"/>
      <c r="S108" s="22"/>
      <c r="T108" s="21"/>
      <c r="U108" s="23"/>
      <c r="V108" s="10"/>
      <c r="W108" s="5">
        <f t="shared" si="20"/>
        <v>102</v>
      </c>
      <c r="X108" s="7">
        <f t="shared" si="21"/>
        <v>43</v>
      </c>
      <c r="Y108" s="8">
        <f t="shared" si="14"/>
        <v>2017</v>
      </c>
      <c r="Z108" s="31">
        <f>IF(AA108=0,"",IF(_ijour122=0,MIN(DATE(YEAR(_debamort122),MONTH(_debamort122)+_moisd12+(W108-1)*_imois122,__jou21),DATE(YEAR(_debamort122),MONTH(_debamort122)+_moisd12+1+(W108-1)*_imois122,0)),DATE(YEAR(_debamort122),MONTH(_debamort122),__jou123+(W108-1)*_ijour122)))</f>
        <v>42887</v>
      </c>
      <c r="AA108" s="156">
        <f t="shared" si="22"/>
        <v>240000</v>
      </c>
      <c r="AB108" s="153">
        <f>IF(W108&lt;=_noechmaxi1t,ROUND(AA108*'Données Projet 1 (2)'!H117,_nbdeci1t1),0)</f>
        <v>200</v>
      </c>
      <c r="AC108" s="152">
        <f>IF(OR(W108&lt;=_differe1t1t,W108&gt;_noechmaxi1t),IF(_difftotal1t1t,-AB108,0),IF(W108&gt;=_noechremb12,AA108,IF('Données Projet 1 (2)'!I117-(AB108*_echfixe12)&gt;AA108-2,AA108,'Données Projet 1 (2)'!I117-(AB108*_echfixe12))))+R108</f>
        <v>0</v>
      </c>
      <c r="AD108" s="154">
        <f t="shared" si="23"/>
        <v>20</v>
      </c>
      <c r="AE108" s="157">
        <f t="shared" si="15"/>
        <v>220</v>
      </c>
    </row>
    <row r="109" spans="1:31" x14ac:dyDescent="0.2">
      <c r="A109" s="3"/>
      <c r="B109" s="164"/>
      <c r="C109" s="22"/>
      <c r="D109" s="21"/>
      <c r="E109" s="23"/>
      <c r="F109" s="10"/>
      <c r="G109" s="5">
        <f t="shared" si="16"/>
        <v>103</v>
      </c>
      <c r="H109" s="7">
        <f t="shared" si="17"/>
        <v>318</v>
      </c>
      <c r="I109" s="8">
        <f t="shared" si="12"/>
        <v>2017</v>
      </c>
      <c r="J109" s="31">
        <f>IF(K109=0,"",IF(_ijour12=0,MIN(DATE(YEAR(_debamort12),MONTH(_debamort12)+(G109-1)*_imois12,_jour12),DATE(YEAR(_debamort12),MONTH(_debamort12)+1+(G109-1)*_imois12,0)),DATE(YEAR(_debamort12),MONTH(_debamort12),_jour12+(G109-1)*_ijour12)))</f>
        <v>42917</v>
      </c>
      <c r="K109" s="156">
        <f t="shared" si="18"/>
        <v>152284.21</v>
      </c>
      <c r="L109" s="153">
        <f>IF(G109&lt;=_noeechmaxi1,ROUND(K109*'Données Projet 1 (2)'!A118,_nbdeci1t),0)</f>
        <v>236.04</v>
      </c>
      <c r="M109" s="152">
        <f>IF(OR(G109&lt;=_differe1t,G109&gt;_noeechmaxi1),IF(_difftotal1t,-L109,0),IF(G109&gt;=_noechremb1t,K109,IF('Données Projet 1 (2)'!B118-(L109*_echfixe1t)&gt;K109-2,K109,'Données Projet 1 (2)'!B118-(L109*_echfixe1t))))+B109</f>
        <v>370.88</v>
      </c>
      <c r="N109" s="154">
        <f t="shared" si="19"/>
        <v>15.6</v>
      </c>
      <c r="O109" s="157">
        <f t="shared" si="13"/>
        <v>622.52</v>
      </c>
      <c r="Q109" s="3"/>
      <c r="R109" s="164"/>
      <c r="S109" s="22"/>
      <c r="T109" s="21"/>
      <c r="U109" s="23"/>
      <c r="V109" s="10"/>
      <c r="W109" s="5">
        <f t="shared" si="20"/>
        <v>103</v>
      </c>
      <c r="X109" s="7">
        <f t="shared" si="21"/>
        <v>42</v>
      </c>
      <c r="Y109" s="8">
        <f t="shared" si="14"/>
        <v>2017</v>
      </c>
      <c r="Z109" s="31">
        <f>IF(AA109=0,"",IF(_ijour122=0,MIN(DATE(YEAR(_debamort122),MONTH(_debamort122)+(W109-1)*_imois122,__jou123),DATE(YEAR(_debamort122),MONTH(_debamort122)+1+(W109-1)*_imois122,0)),DATE(YEAR(_debamort122),MONTH(_debamort122),__jou123+(W109-1)*_ijour122)))</f>
        <v>42917</v>
      </c>
      <c r="AA109" s="156">
        <f t="shared" si="22"/>
        <v>240000</v>
      </c>
      <c r="AB109" s="153">
        <f>IF(W109&lt;=_noechmaxi1t,ROUND(AA109*'Données Projet 1 (2)'!H118,_nbdeci1t1),0)</f>
        <v>200</v>
      </c>
      <c r="AC109" s="152">
        <f>IF(OR(W109&lt;=_differe1t1t,W109&gt;_noechmaxi1t),IF(_difftotal1t1t,-AB109,0),IF(W109&gt;=_noechremb12,AA109,IF('Données Projet 1 (2)'!I118-(AB109*_echfixe12)&gt;AA109-2,AA109,'Données Projet 1 (2)'!I118-(AB109*_echfixe12))))+R109</f>
        <v>0</v>
      </c>
      <c r="AD109" s="154">
        <f t="shared" si="23"/>
        <v>20</v>
      </c>
      <c r="AE109" s="157">
        <f t="shared" si="15"/>
        <v>220</v>
      </c>
    </row>
    <row r="110" spans="1:31" x14ac:dyDescent="0.2">
      <c r="A110" s="3"/>
      <c r="B110" s="164"/>
      <c r="C110" s="22"/>
      <c r="D110" s="21"/>
      <c r="E110" s="23"/>
      <c r="F110" s="10"/>
      <c r="G110" s="5">
        <f t="shared" si="16"/>
        <v>104</v>
      </c>
      <c r="H110" s="7">
        <f t="shared" si="17"/>
        <v>317</v>
      </c>
      <c r="I110" s="8">
        <f t="shared" si="12"/>
        <v>2017</v>
      </c>
      <c r="J110" s="31">
        <f>IF(K110=0,"",IF(_ijour12=0,MIN(DATE(YEAR(_debamort12),MONTH(_debamort12)+_MoisD+(G110-1)*_imois12,_jour212),DATE(YEAR(_debamort12),MONTH(_debamort12)+_MoisD+1+(G110-1)*_imois12,0)),DATE(YEAR(_debamort12),MONTH(_debamort12),_jour12+(G110-1)*_ijour12)))</f>
        <v>42948</v>
      </c>
      <c r="K110" s="156">
        <f t="shared" si="18"/>
        <v>151913.32999999999</v>
      </c>
      <c r="L110" s="153">
        <f>IF(G110&lt;=_noeechmaxi1,ROUND(K110*'Données Projet 1 (2)'!A119,_nbdeci1t),0)</f>
        <v>235.47</v>
      </c>
      <c r="M110" s="152">
        <f>IF(OR(G110&lt;=_differe1t,G110&gt;_noeechmaxi1),IF(_difftotal1t,-L110,0),IF(G110&gt;=_noechremb1t,K110,IF('Données Projet 1 (2)'!B119-(L110*_echfixe1t)&gt;K110-2,K110,'Données Projet 1 (2)'!B119-(L110*_echfixe1t))))+B110</f>
        <v>371.44999999999993</v>
      </c>
      <c r="N110" s="154">
        <f t="shared" si="19"/>
        <v>15.6</v>
      </c>
      <c r="O110" s="157">
        <f t="shared" si="13"/>
        <v>622.52</v>
      </c>
      <c r="Q110" s="3"/>
      <c r="R110" s="164"/>
      <c r="S110" s="22"/>
      <c r="T110" s="21"/>
      <c r="U110" s="23"/>
      <c r="V110" s="10"/>
      <c r="W110" s="5">
        <f t="shared" si="20"/>
        <v>104</v>
      </c>
      <c r="X110" s="7">
        <f t="shared" si="21"/>
        <v>41</v>
      </c>
      <c r="Y110" s="8">
        <f t="shared" si="14"/>
        <v>2017</v>
      </c>
      <c r="Z110" s="31">
        <f>IF(AA110=0,"",IF(_ijour122=0,MIN(DATE(YEAR(_debamort122),MONTH(_debamort122)+_moisd12+(W110-1)*_imois122,__jou21),DATE(YEAR(_debamort122),MONTH(_debamort122)+_moisd12+1+(W110-1)*_imois122,0)),DATE(YEAR(_debamort122),MONTH(_debamort122),__jou123+(W110-1)*_ijour122)))</f>
        <v>42948</v>
      </c>
      <c r="AA110" s="156">
        <f t="shared" si="22"/>
        <v>240000</v>
      </c>
      <c r="AB110" s="153">
        <f>IF(W110&lt;=_noechmaxi1t,ROUND(AA110*'Données Projet 1 (2)'!H119,_nbdeci1t1),0)</f>
        <v>200</v>
      </c>
      <c r="AC110" s="152">
        <f>IF(OR(W110&lt;=_differe1t1t,W110&gt;_noechmaxi1t),IF(_difftotal1t1t,-AB110,0),IF(W110&gt;=_noechremb12,AA110,IF('Données Projet 1 (2)'!I119-(AB110*_echfixe12)&gt;AA110-2,AA110,'Données Projet 1 (2)'!I119-(AB110*_echfixe12))))+R110</f>
        <v>0</v>
      </c>
      <c r="AD110" s="154">
        <f t="shared" si="23"/>
        <v>20</v>
      </c>
      <c r="AE110" s="157">
        <f t="shared" si="15"/>
        <v>220</v>
      </c>
    </row>
    <row r="111" spans="1:31" x14ac:dyDescent="0.2">
      <c r="A111" s="3"/>
      <c r="B111" s="164"/>
      <c r="C111" s="22"/>
      <c r="D111" s="21"/>
      <c r="E111" s="23"/>
      <c r="F111" s="10"/>
      <c r="G111" s="5">
        <f t="shared" si="16"/>
        <v>105</v>
      </c>
      <c r="H111" s="7">
        <f t="shared" si="17"/>
        <v>316</v>
      </c>
      <c r="I111" s="8">
        <f t="shared" si="12"/>
        <v>2017</v>
      </c>
      <c r="J111" s="31">
        <f>IF(K111=0,"",IF(_ijour12=0,MIN(DATE(YEAR(_debamort12),MONTH(_debamort12)+(G111-1)*_imois12,_jour12),DATE(YEAR(_debamort12),MONTH(_debamort12)+1+(G111-1)*_imois12,0)),DATE(YEAR(_debamort12),MONTH(_debamort12),_jour12+(G111-1)*_ijour12)))</f>
        <v>42979</v>
      </c>
      <c r="K111" s="156">
        <f t="shared" si="18"/>
        <v>151541.87999999998</v>
      </c>
      <c r="L111" s="153">
        <f>IF(G111&lt;=_noeechmaxi1,ROUND(K111*'Données Projet 1 (2)'!A120,_nbdeci1t),0)</f>
        <v>234.89</v>
      </c>
      <c r="M111" s="152">
        <f>IF(OR(G111&lt;=_differe1t,G111&gt;_noeechmaxi1),IF(_difftotal1t,-L111,0),IF(G111&gt;=_noechremb1t,K111,IF('Données Projet 1 (2)'!B120-(L111*_echfixe1t)&gt;K111-2,K111,'Données Projet 1 (2)'!B120-(L111*_echfixe1t))))+B111</f>
        <v>372.03</v>
      </c>
      <c r="N111" s="154">
        <f t="shared" si="19"/>
        <v>15.6</v>
      </c>
      <c r="O111" s="157">
        <f t="shared" si="13"/>
        <v>622.52</v>
      </c>
      <c r="Q111" s="3"/>
      <c r="R111" s="164"/>
      <c r="S111" s="22"/>
      <c r="T111" s="21"/>
      <c r="U111" s="23"/>
      <c r="V111" s="10"/>
      <c r="W111" s="5">
        <f t="shared" si="20"/>
        <v>105</v>
      </c>
      <c r="X111" s="7">
        <f t="shared" si="21"/>
        <v>40</v>
      </c>
      <c r="Y111" s="8">
        <f t="shared" si="14"/>
        <v>2017</v>
      </c>
      <c r="Z111" s="31">
        <f>IF(AA111=0,"",IF(_ijour122=0,MIN(DATE(YEAR(_debamort122),MONTH(_debamort122)+(W111-1)*_imois122,__jou123),DATE(YEAR(_debamort122),MONTH(_debamort122)+1+(W111-1)*_imois122,0)),DATE(YEAR(_debamort122),MONTH(_debamort122),__jou123+(W111-1)*_ijour122)))</f>
        <v>42979</v>
      </c>
      <c r="AA111" s="156">
        <f t="shared" si="22"/>
        <v>240000</v>
      </c>
      <c r="AB111" s="153">
        <f>IF(W111&lt;=_noechmaxi1t,ROUND(AA111*'Données Projet 1 (2)'!H120,_nbdeci1t1),0)</f>
        <v>200</v>
      </c>
      <c r="AC111" s="152">
        <f>IF(OR(W111&lt;=_differe1t1t,W111&gt;_noechmaxi1t),IF(_difftotal1t1t,-AB111,0),IF(W111&gt;=_noechremb12,AA111,IF('Données Projet 1 (2)'!I120-(AB111*_echfixe12)&gt;AA111-2,AA111,'Données Projet 1 (2)'!I120-(AB111*_echfixe12))))+R111</f>
        <v>0</v>
      </c>
      <c r="AD111" s="154">
        <f t="shared" si="23"/>
        <v>20</v>
      </c>
      <c r="AE111" s="157">
        <f t="shared" si="15"/>
        <v>220</v>
      </c>
    </row>
    <row r="112" spans="1:31" x14ac:dyDescent="0.2">
      <c r="A112" s="3"/>
      <c r="B112" s="164"/>
      <c r="C112" s="22"/>
      <c r="D112" s="21"/>
      <c r="E112" s="23"/>
      <c r="F112" s="10"/>
      <c r="G112" s="5">
        <f t="shared" si="16"/>
        <v>106</v>
      </c>
      <c r="H112" s="7">
        <f t="shared" si="17"/>
        <v>315</v>
      </c>
      <c r="I112" s="8">
        <f t="shared" si="12"/>
        <v>2017</v>
      </c>
      <c r="J112" s="31">
        <f>IF(K112=0,"",IF(_ijour12=0,MIN(DATE(YEAR(_debamort12),MONTH(_debamort12)+_MoisD+(G112-1)*_imois12,_jour212),DATE(YEAR(_debamort12),MONTH(_debamort12)+_MoisD+1+(G112-1)*_imois12,0)),DATE(YEAR(_debamort12),MONTH(_debamort12),_jour12+(G112-1)*_ijour12)))</f>
        <v>43009</v>
      </c>
      <c r="K112" s="156">
        <f t="shared" si="18"/>
        <v>151169.84999999998</v>
      </c>
      <c r="L112" s="153">
        <f>IF(G112&lt;=_noeechmaxi1,ROUND(K112*'Données Projet 1 (2)'!A121,_nbdeci1t),0)</f>
        <v>234.31</v>
      </c>
      <c r="M112" s="152">
        <f>IF(OR(G112&lt;=_differe1t,G112&gt;_noeechmaxi1),IF(_difftotal1t,-L112,0),IF(G112&gt;=_noechremb1t,K112,IF('Données Projet 1 (2)'!B121-(L112*_echfixe1t)&gt;K112-2,K112,'Données Projet 1 (2)'!B121-(L112*_echfixe1t))))+B112</f>
        <v>372.60999999999996</v>
      </c>
      <c r="N112" s="154">
        <f t="shared" si="19"/>
        <v>15.6</v>
      </c>
      <c r="O112" s="157">
        <f t="shared" si="13"/>
        <v>622.52</v>
      </c>
      <c r="Q112" s="3"/>
      <c r="R112" s="164"/>
      <c r="S112" s="22"/>
      <c r="T112" s="21"/>
      <c r="U112" s="23"/>
      <c r="V112" s="10"/>
      <c r="W112" s="5">
        <f t="shared" si="20"/>
        <v>106</v>
      </c>
      <c r="X112" s="7">
        <f t="shared" si="21"/>
        <v>39</v>
      </c>
      <c r="Y112" s="8">
        <f t="shared" si="14"/>
        <v>2017</v>
      </c>
      <c r="Z112" s="31">
        <f>IF(AA112=0,"",IF(_ijour122=0,MIN(DATE(YEAR(_debamort122),MONTH(_debamort122)+_moisd12+(W112-1)*_imois122,__jou21),DATE(YEAR(_debamort122),MONTH(_debamort122)+_moisd12+1+(W112-1)*_imois122,0)),DATE(YEAR(_debamort122),MONTH(_debamort122),__jou123+(W112-1)*_ijour122)))</f>
        <v>43009</v>
      </c>
      <c r="AA112" s="156">
        <f t="shared" si="22"/>
        <v>240000</v>
      </c>
      <c r="AB112" s="153">
        <f>IF(W112&lt;=_noechmaxi1t,ROUND(AA112*'Données Projet 1 (2)'!H121,_nbdeci1t1),0)</f>
        <v>200</v>
      </c>
      <c r="AC112" s="152">
        <f>IF(OR(W112&lt;=_differe1t1t,W112&gt;_noechmaxi1t),IF(_difftotal1t1t,-AB112,0),IF(W112&gt;=_noechremb12,AA112,IF('Données Projet 1 (2)'!I121-(AB112*_echfixe12)&gt;AA112-2,AA112,'Données Projet 1 (2)'!I121-(AB112*_echfixe12))))+R112</f>
        <v>0</v>
      </c>
      <c r="AD112" s="154">
        <f t="shared" si="23"/>
        <v>20</v>
      </c>
      <c r="AE112" s="157">
        <f t="shared" si="15"/>
        <v>220</v>
      </c>
    </row>
    <row r="113" spans="1:31" x14ac:dyDescent="0.2">
      <c r="A113" s="3"/>
      <c r="B113" s="164"/>
      <c r="C113" s="22"/>
      <c r="D113" s="21"/>
      <c r="E113" s="23"/>
      <c r="F113" s="10"/>
      <c r="G113" s="5">
        <f t="shared" si="16"/>
        <v>107</v>
      </c>
      <c r="H113" s="7">
        <f t="shared" si="17"/>
        <v>314</v>
      </c>
      <c r="I113" s="8">
        <f t="shared" si="12"/>
        <v>2017</v>
      </c>
      <c r="J113" s="31">
        <f>IF(K113=0,"",IF(_ijour12=0,MIN(DATE(YEAR(_debamort12),MONTH(_debamort12)+(G113-1)*_imois12,_jour12),DATE(YEAR(_debamort12),MONTH(_debamort12)+1+(G113-1)*_imois12,0)),DATE(YEAR(_debamort12),MONTH(_debamort12),_jour12+(G113-1)*_ijour12)))</f>
        <v>43040</v>
      </c>
      <c r="K113" s="156">
        <f t="shared" si="18"/>
        <v>150797.24</v>
      </c>
      <c r="L113" s="153">
        <f>IF(G113&lt;=_noeechmaxi1,ROUND(K113*'Données Projet 1 (2)'!A122,_nbdeci1t),0)</f>
        <v>233.74</v>
      </c>
      <c r="M113" s="152">
        <f>IF(OR(G113&lt;=_differe1t,G113&gt;_noeechmaxi1),IF(_difftotal1t,-L113,0),IF(G113&gt;=_noechremb1t,K113,IF('Données Projet 1 (2)'!B122-(L113*_echfixe1t)&gt;K113-2,K113,'Données Projet 1 (2)'!B122-(L113*_echfixe1t))))+B113</f>
        <v>373.17999999999995</v>
      </c>
      <c r="N113" s="154">
        <f t="shared" si="19"/>
        <v>15.6</v>
      </c>
      <c r="O113" s="157">
        <f t="shared" si="13"/>
        <v>622.52</v>
      </c>
      <c r="Q113" s="3"/>
      <c r="R113" s="164"/>
      <c r="S113" s="22"/>
      <c r="T113" s="21"/>
      <c r="U113" s="23"/>
      <c r="V113" s="10"/>
      <c r="W113" s="5">
        <f t="shared" si="20"/>
        <v>107</v>
      </c>
      <c r="X113" s="7">
        <f t="shared" si="21"/>
        <v>38</v>
      </c>
      <c r="Y113" s="8">
        <f t="shared" si="14"/>
        <v>2017</v>
      </c>
      <c r="Z113" s="31">
        <f>IF(AA113=0,"",IF(_ijour122=0,MIN(DATE(YEAR(_debamort122),MONTH(_debamort122)+(W113-1)*_imois122,__jou123),DATE(YEAR(_debamort122),MONTH(_debamort122)+1+(W113-1)*_imois122,0)),DATE(YEAR(_debamort122),MONTH(_debamort122),__jou123+(W113-1)*_ijour122)))</f>
        <v>43040</v>
      </c>
      <c r="AA113" s="156">
        <f t="shared" si="22"/>
        <v>240000</v>
      </c>
      <c r="AB113" s="153">
        <f>IF(W113&lt;=_noechmaxi1t,ROUND(AA113*'Données Projet 1 (2)'!H122,_nbdeci1t1),0)</f>
        <v>200</v>
      </c>
      <c r="AC113" s="152">
        <f>IF(OR(W113&lt;=_differe1t1t,W113&gt;_noechmaxi1t),IF(_difftotal1t1t,-AB113,0),IF(W113&gt;=_noechremb12,AA113,IF('Données Projet 1 (2)'!I122-(AB113*_echfixe12)&gt;AA113-2,AA113,'Données Projet 1 (2)'!I122-(AB113*_echfixe12))))+R113</f>
        <v>0</v>
      </c>
      <c r="AD113" s="154">
        <f t="shared" si="23"/>
        <v>20</v>
      </c>
      <c r="AE113" s="157">
        <f t="shared" si="15"/>
        <v>220</v>
      </c>
    </row>
    <row r="114" spans="1:31" x14ac:dyDescent="0.2">
      <c r="A114" s="3"/>
      <c r="B114" s="164"/>
      <c r="C114" s="22"/>
      <c r="D114" s="21"/>
      <c r="E114" s="23"/>
      <c r="F114" s="10"/>
      <c r="G114" s="5">
        <f t="shared" si="16"/>
        <v>108</v>
      </c>
      <c r="H114" s="7">
        <f t="shared" si="17"/>
        <v>313</v>
      </c>
      <c r="I114" s="8">
        <f t="shared" si="12"/>
        <v>2017</v>
      </c>
      <c r="J114" s="31">
        <f>IF(K114=0,"",IF(_ijour12=0,MIN(DATE(YEAR(_debamort12),MONTH(_debamort12)+_MoisD+(G114-1)*_imois12,_jour212),DATE(YEAR(_debamort12),MONTH(_debamort12)+_MoisD+1+(G114-1)*_imois12,0)),DATE(YEAR(_debamort12),MONTH(_debamort12),_jour12+(G114-1)*_ijour12)))</f>
        <v>43070</v>
      </c>
      <c r="K114" s="156">
        <f t="shared" si="18"/>
        <v>150424.06</v>
      </c>
      <c r="L114" s="153">
        <f>IF(G114&lt;=_noeechmaxi1,ROUND(K114*'Données Projet 1 (2)'!A123,_nbdeci1t),0)</f>
        <v>233.16</v>
      </c>
      <c r="M114" s="152">
        <f>IF(OR(G114&lt;=_differe1t,G114&gt;_noeechmaxi1),IF(_difftotal1t,-L114,0),IF(G114&gt;=_noechremb1t,K114,IF('Données Projet 1 (2)'!B123-(L114*_echfixe1t)&gt;K114-2,K114,'Données Projet 1 (2)'!B123-(L114*_echfixe1t))))+B114</f>
        <v>373.76</v>
      </c>
      <c r="N114" s="154">
        <f t="shared" si="19"/>
        <v>15.6</v>
      </c>
      <c r="O114" s="157">
        <f t="shared" si="13"/>
        <v>622.52</v>
      </c>
      <c r="Q114" s="3"/>
      <c r="R114" s="164"/>
      <c r="S114" s="22"/>
      <c r="T114" s="21"/>
      <c r="U114" s="23"/>
      <c r="V114" s="10"/>
      <c r="W114" s="5">
        <f t="shared" si="20"/>
        <v>108</v>
      </c>
      <c r="X114" s="7">
        <f t="shared" si="21"/>
        <v>37</v>
      </c>
      <c r="Y114" s="8">
        <f t="shared" si="14"/>
        <v>2017</v>
      </c>
      <c r="Z114" s="31">
        <f>IF(AA114=0,"",IF(_ijour122=0,MIN(DATE(YEAR(_debamort122),MONTH(_debamort122)+_moisd12+(W114-1)*_imois122,__jou21),DATE(YEAR(_debamort122),MONTH(_debamort122)+_moisd12+1+(W114-1)*_imois122,0)),DATE(YEAR(_debamort122),MONTH(_debamort122),__jou123+(W114-1)*_ijour122)))</f>
        <v>43070</v>
      </c>
      <c r="AA114" s="156">
        <f t="shared" si="22"/>
        <v>240000</v>
      </c>
      <c r="AB114" s="153">
        <f>IF(W114&lt;=_noechmaxi1t,ROUND(AA114*'Données Projet 1 (2)'!H123,_nbdeci1t1),0)</f>
        <v>200</v>
      </c>
      <c r="AC114" s="152">
        <f>IF(OR(W114&lt;=_differe1t1t,W114&gt;_noechmaxi1t),IF(_difftotal1t1t,-AB114,0),IF(W114&gt;=_noechremb12,AA114,IF('Données Projet 1 (2)'!I123-(AB114*_echfixe12)&gt;AA114-2,AA114,'Données Projet 1 (2)'!I123-(AB114*_echfixe12))))+R114</f>
        <v>0</v>
      </c>
      <c r="AD114" s="154">
        <f t="shared" si="23"/>
        <v>20</v>
      </c>
      <c r="AE114" s="157">
        <f t="shared" si="15"/>
        <v>220</v>
      </c>
    </row>
    <row r="115" spans="1:31" x14ac:dyDescent="0.2">
      <c r="A115" s="3"/>
      <c r="B115" s="164"/>
      <c r="C115" s="22"/>
      <c r="D115" s="21"/>
      <c r="E115" s="23"/>
      <c r="F115" s="10"/>
      <c r="G115" s="5">
        <f t="shared" si="16"/>
        <v>109</v>
      </c>
      <c r="H115" s="7">
        <f t="shared" si="17"/>
        <v>312</v>
      </c>
      <c r="I115" s="8">
        <f t="shared" si="12"/>
        <v>2018</v>
      </c>
      <c r="J115" s="31">
        <f>IF(K115=0,"",IF(_ijour12=0,MIN(DATE(YEAR(_debamort12),MONTH(_debamort12)+(G115-1)*_imois12,_jour12),DATE(YEAR(_debamort12),MONTH(_debamort12)+1+(G115-1)*_imois12,0)),DATE(YEAR(_debamort12),MONTH(_debamort12),_jour12+(G115-1)*_ijour12)))</f>
        <v>43101</v>
      </c>
      <c r="K115" s="156">
        <f t="shared" si="18"/>
        <v>150050.29999999999</v>
      </c>
      <c r="L115" s="153">
        <f>IF(G115&lt;=_noeechmaxi1,ROUND(K115*'Données Projet 1 (2)'!A124,_nbdeci1t),0)</f>
        <v>232.58</v>
      </c>
      <c r="M115" s="152">
        <f>IF(OR(G115&lt;=_differe1t,G115&gt;_noeechmaxi1),IF(_difftotal1t,-L115,0),IF(G115&gt;=_noechremb1t,K115,IF('Données Projet 1 (2)'!B124-(L115*_echfixe1t)&gt;K115-2,K115,'Données Projet 1 (2)'!B124-(L115*_echfixe1t))))+B115</f>
        <v>374.33999999999992</v>
      </c>
      <c r="N115" s="154">
        <f t="shared" si="19"/>
        <v>15.6</v>
      </c>
      <c r="O115" s="157">
        <f t="shared" si="13"/>
        <v>622.52</v>
      </c>
      <c r="Q115" s="3"/>
      <c r="R115" s="164"/>
      <c r="S115" s="22"/>
      <c r="T115" s="21"/>
      <c r="U115" s="23"/>
      <c r="V115" s="10"/>
      <c r="W115" s="5">
        <f t="shared" si="20"/>
        <v>109</v>
      </c>
      <c r="X115" s="7">
        <f t="shared" si="21"/>
        <v>36</v>
      </c>
      <c r="Y115" s="8">
        <f t="shared" si="14"/>
        <v>2018</v>
      </c>
      <c r="Z115" s="31">
        <f>IF(AA115=0,"",IF(_ijour122=0,MIN(DATE(YEAR(_debamort122),MONTH(_debamort122)+(W115-1)*_imois122,__jou123),DATE(YEAR(_debamort122),MONTH(_debamort122)+1+(W115-1)*_imois122,0)),DATE(YEAR(_debamort122),MONTH(_debamort122),__jou123+(W115-1)*_ijour122)))</f>
        <v>43101</v>
      </c>
      <c r="AA115" s="156">
        <f t="shared" si="22"/>
        <v>240000</v>
      </c>
      <c r="AB115" s="153">
        <f>IF(W115&lt;=_noechmaxi1t,ROUND(AA115*'Données Projet 1 (2)'!H124,_nbdeci1t1),0)</f>
        <v>200</v>
      </c>
      <c r="AC115" s="152">
        <f>IF(OR(W115&lt;=_differe1t1t,W115&gt;_noechmaxi1t),IF(_difftotal1t1t,-AB115,0),IF(W115&gt;=_noechremb12,AA115,IF('Données Projet 1 (2)'!I124-(AB115*_echfixe12)&gt;AA115-2,AA115,'Données Projet 1 (2)'!I124-(AB115*_echfixe12))))+R115</f>
        <v>0</v>
      </c>
      <c r="AD115" s="154">
        <f t="shared" si="23"/>
        <v>20</v>
      </c>
      <c r="AE115" s="157">
        <f t="shared" si="15"/>
        <v>220</v>
      </c>
    </row>
    <row r="116" spans="1:31" x14ac:dyDescent="0.2">
      <c r="A116" s="3"/>
      <c r="B116" s="164"/>
      <c r="C116" s="22"/>
      <c r="D116" s="21"/>
      <c r="E116" s="23"/>
      <c r="F116" s="10"/>
      <c r="G116" s="5">
        <f t="shared" si="16"/>
        <v>110</v>
      </c>
      <c r="H116" s="7">
        <f t="shared" si="17"/>
        <v>311</v>
      </c>
      <c r="I116" s="8">
        <f t="shared" si="12"/>
        <v>2018</v>
      </c>
      <c r="J116" s="31">
        <f>IF(K116=0,"",IF(_ijour12=0,MIN(DATE(YEAR(_debamort12),MONTH(_debamort12)+_MoisD+(G116-1)*_imois12,_jour212),DATE(YEAR(_debamort12),MONTH(_debamort12)+_MoisD+1+(G116-1)*_imois12,0)),DATE(YEAR(_debamort12),MONTH(_debamort12),_jour12+(G116-1)*_ijour12)))</f>
        <v>43132</v>
      </c>
      <c r="K116" s="156">
        <f t="shared" si="18"/>
        <v>149675.96</v>
      </c>
      <c r="L116" s="153">
        <f>IF(G116&lt;=_noeechmaxi1,ROUND(K116*'Données Projet 1 (2)'!A125,_nbdeci1t),0)</f>
        <v>232</v>
      </c>
      <c r="M116" s="152">
        <f>IF(OR(G116&lt;=_differe1t,G116&gt;_noeechmaxi1),IF(_difftotal1t,-L116,0),IF(G116&gt;=_noechremb1t,K116,IF('Données Projet 1 (2)'!B125-(L116*_echfixe1t)&gt;K116-2,K116,'Données Projet 1 (2)'!B125-(L116*_echfixe1t))))+B116</f>
        <v>374.91999999999996</v>
      </c>
      <c r="N116" s="154">
        <f t="shared" si="19"/>
        <v>15.6</v>
      </c>
      <c r="O116" s="157">
        <f t="shared" si="13"/>
        <v>622.52</v>
      </c>
      <c r="Q116" s="3"/>
      <c r="R116" s="164"/>
      <c r="S116" s="22"/>
      <c r="T116" s="21"/>
      <c r="U116" s="23"/>
      <c r="V116" s="10"/>
      <c r="W116" s="5">
        <f t="shared" si="20"/>
        <v>110</v>
      </c>
      <c r="X116" s="7">
        <f t="shared" si="21"/>
        <v>35</v>
      </c>
      <c r="Y116" s="8">
        <f t="shared" si="14"/>
        <v>2018</v>
      </c>
      <c r="Z116" s="31">
        <f>IF(AA116=0,"",IF(_ijour122=0,MIN(DATE(YEAR(_debamort122),MONTH(_debamort122)+_moisd12+(W116-1)*_imois122,__jou21),DATE(YEAR(_debamort122),MONTH(_debamort122)+_moisd12+1+(W116-1)*_imois122,0)),DATE(YEAR(_debamort122),MONTH(_debamort122),__jou123+(W116-1)*_ijour122)))</f>
        <v>43132</v>
      </c>
      <c r="AA116" s="156">
        <f t="shared" si="22"/>
        <v>240000</v>
      </c>
      <c r="AB116" s="153">
        <f>IF(W116&lt;=_noechmaxi1t,ROUND(AA116*'Données Projet 1 (2)'!H125,_nbdeci1t1),0)</f>
        <v>200</v>
      </c>
      <c r="AC116" s="152">
        <f>IF(OR(W116&lt;=_differe1t1t,W116&gt;_noechmaxi1t),IF(_difftotal1t1t,-AB116,0),IF(W116&gt;=_noechremb12,AA116,IF('Données Projet 1 (2)'!I125-(AB116*_echfixe12)&gt;AA116-2,AA116,'Données Projet 1 (2)'!I125-(AB116*_echfixe12))))+R116</f>
        <v>0</v>
      </c>
      <c r="AD116" s="154">
        <f t="shared" si="23"/>
        <v>20</v>
      </c>
      <c r="AE116" s="157">
        <f t="shared" si="15"/>
        <v>220</v>
      </c>
    </row>
    <row r="117" spans="1:31" x14ac:dyDescent="0.2">
      <c r="A117" s="3"/>
      <c r="B117" s="164"/>
      <c r="C117" s="22"/>
      <c r="D117" s="21"/>
      <c r="E117" s="23"/>
      <c r="F117" s="10"/>
      <c r="G117" s="5">
        <f t="shared" si="16"/>
        <v>111</v>
      </c>
      <c r="H117" s="7">
        <f t="shared" si="17"/>
        <v>310</v>
      </c>
      <c r="I117" s="8">
        <f t="shared" si="12"/>
        <v>2018</v>
      </c>
      <c r="J117" s="31">
        <f>IF(K117=0,"",IF(_ijour12=0,MIN(DATE(YEAR(_debamort12),MONTH(_debamort12)+(G117-1)*_imois12,_jour12),DATE(YEAR(_debamort12),MONTH(_debamort12)+1+(G117-1)*_imois12,0)),DATE(YEAR(_debamort12),MONTH(_debamort12),_jour12+(G117-1)*_ijour12)))</f>
        <v>43160</v>
      </c>
      <c r="K117" s="156">
        <f t="shared" si="18"/>
        <v>149301.03999999998</v>
      </c>
      <c r="L117" s="153">
        <f>IF(G117&lt;=_noeechmaxi1,ROUND(K117*'Données Projet 1 (2)'!A126,_nbdeci1t),0)</f>
        <v>231.42</v>
      </c>
      <c r="M117" s="152">
        <f>IF(OR(G117&lt;=_differe1t,G117&gt;_noeechmaxi1),IF(_difftotal1t,-L117,0),IF(G117&gt;=_noechremb1t,K117,IF('Données Projet 1 (2)'!B126-(L117*_echfixe1t)&gt;K117-2,K117,'Données Projet 1 (2)'!B126-(L117*_echfixe1t))))+B117</f>
        <v>375.5</v>
      </c>
      <c r="N117" s="154">
        <f t="shared" si="19"/>
        <v>15.6</v>
      </c>
      <c r="O117" s="157">
        <f t="shared" si="13"/>
        <v>622.52</v>
      </c>
      <c r="Q117" s="3"/>
      <c r="R117" s="164"/>
      <c r="S117" s="22"/>
      <c r="T117" s="21"/>
      <c r="U117" s="23"/>
      <c r="V117" s="10"/>
      <c r="W117" s="5">
        <f t="shared" si="20"/>
        <v>111</v>
      </c>
      <c r="X117" s="7">
        <f t="shared" si="21"/>
        <v>34</v>
      </c>
      <c r="Y117" s="8">
        <f t="shared" si="14"/>
        <v>2018</v>
      </c>
      <c r="Z117" s="31">
        <f>IF(AA117=0,"",IF(_ijour122=0,MIN(DATE(YEAR(_debamort122),MONTH(_debamort122)+(W117-1)*_imois122,__jou123),DATE(YEAR(_debamort122),MONTH(_debamort122)+1+(W117-1)*_imois122,0)),DATE(YEAR(_debamort122),MONTH(_debamort122),__jou123+(W117-1)*_ijour122)))</f>
        <v>43160</v>
      </c>
      <c r="AA117" s="156">
        <f t="shared" si="22"/>
        <v>240000</v>
      </c>
      <c r="AB117" s="153">
        <f>IF(W117&lt;=_noechmaxi1t,ROUND(AA117*'Données Projet 1 (2)'!H126,_nbdeci1t1),0)</f>
        <v>200</v>
      </c>
      <c r="AC117" s="152">
        <f>IF(OR(W117&lt;=_differe1t1t,W117&gt;_noechmaxi1t),IF(_difftotal1t1t,-AB117,0),IF(W117&gt;=_noechremb12,AA117,IF('Données Projet 1 (2)'!I126-(AB117*_echfixe12)&gt;AA117-2,AA117,'Données Projet 1 (2)'!I126-(AB117*_echfixe12))))+R117</f>
        <v>0</v>
      </c>
      <c r="AD117" s="154">
        <f t="shared" si="23"/>
        <v>20</v>
      </c>
      <c r="AE117" s="157">
        <f t="shared" si="15"/>
        <v>220</v>
      </c>
    </row>
    <row r="118" spans="1:31" x14ac:dyDescent="0.2">
      <c r="A118" s="3"/>
      <c r="B118" s="164"/>
      <c r="C118" s="22"/>
      <c r="D118" s="21"/>
      <c r="E118" s="23"/>
      <c r="F118" s="10"/>
      <c r="G118" s="5">
        <f t="shared" si="16"/>
        <v>112</v>
      </c>
      <c r="H118" s="7">
        <f t="shared" si="17"/>
        <v>309</v>
      </c>
      <c r="I118" s="8">
        <f t="shared" si="12"/>
        <v>2018</v>
      </c>
      <c r="J118" s="31">
        <f>IF(K118=0,"",IF(_ijour12=0,MIN(DATE(YEAR(_debamort12),MONTH(_debamort12)+_MoisD+(G118-1)*_imois12,_jour212),DATE(YEAR(_debamort12),MONTH(_debamort12)+_MoisD+1+(G118-1)*_imois12,0)),DATE(YEAR(_debamort12),MONTH(_debamort12),_jour12+(G118-1)*_ijour12)))</f>
        <v>43191</v>
      </c>
      <c r="K118" s="156">
        <f t="shared" si="18"/>
        <v>148925.53999999998</v>
      </c>
      <c r="L118" s="153">
        <f>IF(G118&lt;=_noeechmaxi1,ROUND(K118*'Données Projet 1 (2)'!A127,_nbdeci1t),0)</f>
        <v>230.83</v>
      </c>
      <c r="M118" s="152">
        <f>IF(OR(G118&lt;=_differe1t,G118&gt;_noeechmaxi1),IF(_difftotal1t,-L118,0),IF(G118&gt;=_noechremb1t,K118,IF('Données Projet 1 (2)'!B127-(L118*_echfixe1t)&gt;K118-2,K118,'Données Projet 1 (2)'!B127-(L118*_echfixe1t))))+B118</f>
        <v>376.08999999999992</v>
      </c>
      <c r="N118" s="154">
        <f t="shared" si="19"/>
        <v>15.6</v>
      </c>
      <c r="O118" s="157">
        <f t="shared" si="13"/>
        <v>622.52</v>
      </c>
      <c r="Q118" s="3"/>
      <c r="R118" s="164"/>
      <c r="S118" s="22"/>
      <c r="T118" s="21"/>
      <c r="U118" s="23"/>
      <c r="V118" s="10"/>
      <c r="W118" s="5">
        <f t="shared" si="20"/>
        <v>112</v>
      </c>
      <c r="X118" s="7">
        <f t="shared" si="21"/>
        <v>33</v>
      </c>
      <c r="Y118" s="8">
        <f t="shared" si="14"/>
        <v>2018</v>
      </c>
      <c r="Z118" s="31">
        <f>IF(AA118=0,"",IF(_ijour122=0,MIN(DATE(YEAR(_debamort122),MONTH(_debamort122)+_moisd12+(W118-1)*_imois122,__jou21),DATE(YEAR(_debamort122),MONTH(_debamort122)+_moisd12+1+(W118-1)*_imois122,0)),DATE(YEAR(_debamort122),MONTH(_debamort122),__jou123+(W118-1)*_ijour122)))</f>
        <v>43191</v>
      </c>
      <c r="AA118" s="156">
        <f t="shared" si="22"/>
        <v>240000</v>
      </c>
      <c r="AB118" s="153">
        <f>IF(W118&lt;=_noechmaxi1t,ROUND(AA118*'Données Projet 1 (2)'!H127,_nbdeci1t1),0)</f>
        <v>200</v>
      </c>
      <c r="AC118" s="152">
        <f>IF(OR(W118&lt;=_differe1t1t,W118&gt;_noechmaxi1t),IF(_difftotal1t1t,-AB118,0),IF(W118&gt;=_noechremb12,AA118,IF('Données Projet 1 (2)'!I127-(AB118*_echfixe12)&gt;AA118-2,AA118,'Données Projet 1 (2)'!I127-(AB118*_echfixe12))))+R118</f>
        <v>0</v>
      </c>
      <c r="AD118" s="154">
        <f t="shared" si="23"/>
        <v>20</v>
      </c>
      <c r="AE118" s="157">
        <f t="shared" si="15"/>
        <v>220</v>
      </c>
    </row>
    <row r="119" spans="1:31" x14ac:dyDescent="0.2">
      <c r="A119" s="3"/>
      <c r="B119" s="164"/>
      <c r="C119" s="22"/>
      <c r="D119" s="21"/>
      <c r="E119" s="23"/>
      <c r="F119" s="10"/>
      <c r="G119" s="5">
        <f t="shared" si="16"/>
        <v>113</v>
      </c>
      <c r="H119" s="7">
        <f t="shared" si="17"/>
        <v>308</v>
      </c>
      <c r="I119" s="8">
        <f t="shared" si="12"/>
        <v>2018</v>
      </c>
      <c r="J119" s="31">
        <f>IF(K119=0,"",IF(_ijour12=0,MIN(DATE(YEAR(_debamort12),MONTH(_debamort12)+(G119-1)*_imois12,_jour12),DATE(YEAR(_debamort12),MONTH(_debamort12)+1+(G119-1)*_imois12,0)),DATE(YEAR(_debamort12),MONTH(_debamort12),_jour12+(G119-1)*_ijour12)))</f>
        <v>43221</v>
      </c>
      <c r="K119" s="156">
        <f t="shared" si="18"/>
        <v>148549.44999999998</v>
      </c>
      <c r="L119" s="153">
        <f>IF(G119&lt;=_noeechmaxi1,ROUND(K119*'Données Projet 1 (2)'!A128,_nbdeci1t),0)</f>
        <v>230.25</v>
      </c>
      <c r="M119" s="152">
        <f>IF(OR(G119&lt;=_differe1t,G119&gt;_noeechmaxi1),IF(_difftotal1t,-L119,0),IF(G119&gt;=_noechremb1t,K119,IF('Données Projet 1 (2)'!B128-(L119*_echfixe1t)&gt;K119-2,K119,'Données Projet 1 (2)'!B128-(L119*_echfixe1t))))+B119</f>
        <v>376.66999999999996</v>
      </c>
      <c r="N119" s="154">
        <f t="shared" si="19"/>
        <v>15.6</v>
      </c>
      <c r="O119" s="157">
        <f t="shared" si="13"/>
        <v>622.52</v>
      </c>
      <c r="Q119" s="3"/>
      <c r="R119" s="164"/>
      <c r="S119" s="22"/>
      <c r="T119" s="21"/>
      <c r="U119" s="23"/>
      <c r="V119" s="10"/>
      <c r="W119" s="5">
        <f t="shared" si="20"/>
        <v>113</v>
      </c>
      <c r="X119" s="7">
        <f t="shared" si="21"/>
        <v>32</v>
      </c>
      <c r="Y119" s="8">
        <f t="shared" si="14"/>
        <v>2018</v>
      </c>
      <c r="Z119" s="31">
        <f>IF(AA119=0,"",IF(_ijour122=0,MIN(DATE(YEAR(_debamort122),MONTH(_debamort122)+(W119-1)*_imois122,__jou123),DATE(YEAR(_debamort122),MONTH(_debamort122)+1+(W119-1)*_imois122,0)),DATE(YEAR(_debamort122),MONTH(_debamort122),__jou123+(W119-1)*_ijour122)))</f>
        <v>43221</v>
      </c>
      <c r="AA119" s="156">
        <f t="shared" si="22"/>
        <v>240000</v>
      </c>
      <c r="AB119" s="153">
        <f>IF(W119&lt;=_noechmaxi1t,ROUND(AA119*'Données Projet 1 (2)'!H128,_nbdeci1t1),0)</f>
        <v>200</v>
      </c>
      <c r="AC119" s="152">
        <f>IF(OR(W119&lt;=_differe1t1t,W119&gt;_noechmaxi1t),IF(_difftotal1t1t,-AB119,0),IF(W119&gt;=_noechremb12,AA119,IF('Données Projet 1 (2)'!I128-(AB119*_echfixe12)&gt;AA119-2,AA119,'Données Projet 1 (2)'!I128-(AB119*_echfixe12))))+R119</f>
        <v>0</v>
      </c>
      <c r="AD119" s="154">
        <f t="shared" si="23"/>
        <v>20</v>
      </c>
      <c r="AE119" s="157">
        <f t="shared" si="15"/>
        <v>220</v>
      </c>
    </row>
    <row r="120" spans="1:31" x14ac:dyDescent="0.2">
      <c r="A120" s="3"/>
      <c r="B120" s="164"/>
      <c r="C120" s="22"/>
      <c r="D120" s="21"/>
      <c r="E120" s="23"/>
      <c r="F120" s="10"/>
      <c r="G120" s="5">
        <f t="shared" si="16"/>
        <v>114</v>
      </c>
      <c r="H120" s="7">
        <f t="shared" si="17"/>
        <v>307</v>
      </c>
      <c r="I120" s="8">
        <f t="shared" si="12"/>
        <v>2018</v>
      </c>
      <c r="J120" s="31">
        <f>IF(K120=0,"",IF(_ijour12=0,MIN(DATE(YEAR(_debamort12),MONTH(_debamort12)+_MoisD+(G120-1)*_imois12,_jour212),DATE(YEAR(_debamort12),MONTH(_debamort12)+_MoisD+1+(G120-1)*_imois12,0)),DATE(YEAR(_debamort12),MONTH(_debamort12),_jour12+(G120-1)*_ijour12)))</f>
        <v>43252</v>
      </c>
      <c r="K120" s="156">
        <f t="shared" si="18"/>
        <v>148172.77999999997</v>
      </c>
      <c r="L120" s="153">
        <f>IF(G120&lt;=_noeechmaxi1,ROUND(K120*'Données Projet 1 (2)'!A129,_nbdeci1t),0)</f>
        <v>229.67</v>
      </c>
      <c r="M120" s="152">
        <f>IF(OR(G120&lt;=_differe1t,G120&gt;_noeechmaxi1),IF(_difftotal1t,-L120,0),IF(G120&gt;=_noechremb1t,K120,IF('Données Projet 1 (2)'!B129-(L120*_echfixe1t)&gt;K120-2,K120,'Données Projet 1 (2)'!B129-(L120*_echfixe1t))))+B120</f>
        <v>377.25</v>
      </c>
      <c r="N120" s="154">
        <f t="shared" si="19"/>
        <v>15.6</v>
      </c>
      <c r="O120" s="157">
        <f t="shared" si="13"/>
        <v>622.52</v>
      </c>
      <c r="Q120" s="3"/>
      <c r="R120" s="164"/>
      <c r="S120" s="22"/>
      <c r="T120" s="21"/>
      <c r="U120" s="23"/>
      <c r="V120" s="10"/>
      <c r="W120" s="5">
        <f t="shared" si="20"/>
        <v>114</v>
      </c>
      <c r="X120" s="7">
        <f t="shared" si="21"/>
        <v>31</v>
      </c>
      <c r="Y120" s="8">
        <f t="shared" si="14"/>
        <v>2018</v>
      </c>
      <c r="Z120" s="31">
        <f>IF(AA120=0,"",IF(_ijour122=0,MIN(DATE(YEAR(_debamort122),MONTH(_debamort122)+_moisd12+(W120-1)*_imois122,__jou21),DATE(YEAR(_debamort122),MONTH(_debamort122)+_moisd12+1+(W120-1)*_imois122,0)),DATE(YEAR(_debamort122),MONTH(_debamort122),__jou123+(W120-1)*_ijour122)))</f>
        <v>43252</v>
      </c>
      <c r="AA120" s="156">
        <f t="shared" si="22"/>
        <v>240000</v>
      </c>
      <c r="AB120" s="153">
        <f>IF(W120&lt;=_noechmaxi1t,ROUND(AA120*'Données Projet 1 (2)'!H129,_nbdeci1t1),0)</f>
        <v>200</v>
      </c>
      <c r="AC120" s="152">
        <f>IF(OR(W120&lt;=_differe1t1t,W120&gt;_noechmaxi1t),IF(_difftotal1t1t,-AB120,0),IF(W120&gt;=_noechremb12,AA120,IF('Données Projet 1 (2)'!I129-(AB120*_echfixe12)&gt;AA120-2,AA120,'Données Projet 1 (2)'!I129-(AB120*_echfixe12))))+R120</f>
        <v>0</v>
      </c>
      <c r="AD120" s="154">
        <f t="shared" si="23"/>
        <v>20</v>
      </c>
      <c r="AE120" s="157">
        <f t="shared" si="15"/>
        <v>220</v>
      </c>
    </row>
    <row r="121" spans="1:31" x14ac:dyDescent="0.2">
      <c r="A121" s="3"/>
      <c r="B121" s="164"/>
      <c r="C121" s="22"/>
      <c r="D121" s="21"/>
      <c r="E121" s="23"/>
      <c r="F121" s="10"/>
      <c r="G121" s="5">
        <f t="shared" si="16"/>
        <v>115</v>
      </c>
      <c r="H121" s="7">
        <f t="shared" si="17"/>
        <v>306</v>
      </c>
      <c r="I121" s="8">
        <f t="shared" si="12"/>
        <v>2018</v>
      </c>
      <c r="J121" s="31">
        <f>IF(K121=0,"",IF(_ijour12=0,MIN(DATE(YEAR(_debamort12),MONTH(_debamort12)+(G121-1)*_imois12,_jour12),DATE(YEAR(_debamort12),MONTH(_debamort12)+1+(G121-1)*_imois12,0)),DATE(YEAR(_debamort12),MONTH(_debamort12),_jour12+(G121-1)*_ijour12)))</f>
        <v>43282</v>
      </c>
      <c r="K121" s="156">
        <f t="shared" si="18"/>
        <v>147795.52999999997</v>
      </c>
      <c r="L121" s="153">
        <f>IF(G121&lt;=_noeechmaxi1,ROUND(K121*'Données Projet 1 (2)'!A130,_nbdeci1t),0)</f>
        <v>229.08</v>
      </c>
      <c r="M121" s="152">
        <f>IF(OR(G121&lt;=_differe1t,G121&gt;_noeechmaxi1),IF(_difftotal1t,-L121,0),IF(G121&gt;=_noechremb1t,K121,IF('Données Projet 1 (2)'!B130-(L121*_echfixe1t)&gt;K121-2,K121,'Données Projet 1 (2)'!B130-(L121*_echfixe1t))))+B121</f>
        <v>377.83999999999992</v>
      </c>
      <c r="N121" s="154">
        <f t="shared" si="19"/>
        <v>15.6</v>
      </c>
      <c r="O121" s="157">
        <f t="shared" si="13"/>
        <v>622.52</v>
      </c>
      <c r="Q121" s="3"/>
      <c r="R121" s="164"/>
      <c r="S121" s="22"/>
      <c r="T121" s="21"/>
      <c r="U121" s="23"/>
      <c r="V121" s="10"/>
      <c r="W121" s="5">
        <f t="shared" si="20"/>
        <v>115</v>
      </c>
      <c r="X121" s="7">
        <f t="shared" si="21"/>
        <v>30</v>
      </c>
      <c r="Y121" s="8">
        <f t="shared" si="14"/>
        <v>2018</v>
      </c>
      <c r="Z121" s="31">
        <f>IF(AA121=0,"",IF(_ijour122=0,MIN(DATE(YEAR(_debamort122),MONTH(_debamort122)+(W121-1)*_imois122,__jou123),DATE(YEAR(_debamort122),MONTH(_debamort122)+1+(W121-1)*_imois122,0)),DATE(YEAR(_debamort122),MONTH(_debamort122),__jou123+(W121-1)*_ijour122)))</f>
        <v>43282</v>
      </c>
      <c r="AA121" s="156">
        <f t="shared" si="22"/>
        <v>240000</v>
      </c>
      <c r="AB121" s="153">
        <f>IF(W121&lt;=_noechmaxi1t,ROUND(AA121*'Données Projet 1 (2)'!H130,_nbdeci1t1),0)</f>
        <v>200</v>
      </c>
      <c r="AC121" s="152">
        <f>IF(OR(W121&lt;=_differe1t1t,W121&gt;_noechmaxi1t),IF(_difftotal1t1t,-AB121,0),IF(W121&gt;=_noechremb12,AA121,IF('Données Projet 1 (2)'!I130-(AB121*_echfixe12)&gt;AA121-2,AA121,'Données Projet 1 (2)'!I130-(AB121*_echfixe12))))+R121</f>
        <v>0</v>
      </c>
      <c r="AD121" s="154">
        <f t="shared" si="23"/>
        <v>20</v>
      </c>
      <c r="AE121" s="157">
        <f t="shared" si="15"/>
        <v>220</v>
      </c>
    </row>
    <row r="122" spans="1:31" x14ac:dyDescent="0.2">
      <c r="A122" s="3"/>
      <c r="B122" s="164"/>
      <c r="C122" s="22"/>
      <c r="D122" s="21"/>
      <c r="E122" s="23"/>
      <c r="F122" s="10"/>
      <c r="G122" s="5">
        <f t="shared" si="16"/>
        <v>116</v>
      </c>
      <c r="H122" s="7">
        <f t="shared" si="17"/>
        <v>305</v>
      </c>
      <c r="I122" s="8">
        <f t="shared" si="12"/>
        <v>2018</v>
      </c>
      <c r="J122" s="31">
        <f>IF(K122=0,"",IF(_ijour12=0,MIN(DATE(YEAR(_debamort12),MONTH(_debamort12)+_MoisD+(G122-1)*_imois12,_jour212),DATE(YEAR(_debamort12),MONTH(_debamort12)+_MoisD+1+(G122-1)*_imois12,0)),DATE(YEAR(_debamort12),MONTH(_debamort12),_jour12+(G122-1)*_ijour12)))</f>
        <v>43313</v>
      </c>
      <c r="K122" s="156">
        <f t="shared" si="18"/>
        <v>147417.68999999997</v>
      </c>
      <c r="L122" s="153">
        <f>IF(G122&lt;=_noeechmaxi1,ROUND(K122*'Données Projet 1 (2)'!A131,_nbdeci1t),0)</f>
        <v>228.5</v>
      </c>
      <c r="M122" s="152">
        <f>IF(OR(G122&lt;=_differe1t,G122&gt;_noeechmaxi1),IF(_difftotal1t,-L122,0),IF(G122&gt;=_noechremb1t,K122,IF('Données Projet 1 (2)'!B131-(L122*_echfixe1t)&gt;K122-2,K122,'Données Projet 1 (2)'!B131-(L122*_echfixe1t))))+B122</f>
        <v>378.41999999999996</v>
      </c>
      <c r="N122" s="154">
        <f t="shared" si="19"/>
        <v>15.6</v>
      </c>
      <c r="O122" s="157">
        <f t="shared" si="13"/>
        <v>622.52</v>
      </c>
      <c r="Q122" s="3"/>
      <c r="R122" s="164"/>
      <c r="S122" s="22"/>
      <c r="T122" s="21"/>
      <c r="U122" s="23"/>
      <c r="V122" s="10"/>
      <c r="W122" s="5">
        <f t="shared" si="20"/>
        <v>116</v>
      </c>
      <c r="X122" s="7">
        <f t="shared" si="21"/>
        <v>29</v>
      </c>
      <c r="Y122" s="8">
        <f t="shared" si="14"/>
        <v>2018</v>
      </c>
      <c r="Z122" s="31">
        <f>IF(AA122=0,"",IF(_ijour122=0,MIN(DATE(YEAR(_debamort122),MONTH(_debamort122)+_moisd12+(W122-1)*_imois122,__jou21),DATE(YEAR(_debamort122),MONTH(_debamort122)+_moisd12+1+(W122-1)*_imois122,0)),DATE(YEAR(_debamort122),MONTH(_debamort122),__jou123+(W122-1)*_ijour122)))</f>
        <v>43313</v>
      </c>
      <c r="AA122" s="156">
        <f t="shared" si="22"/>
        <v>240000</v>
      </c>
      <c r="AB122" s="153">
        <f>IF(W122&lt;=_noechmaxi1t,ROUND(AA122*'Données Projet 1 (2)'!H131,_nbdeci1t1),0)</f>
        <v>200</v>
      </c>
      <c r="AC122" s="152">
        <f>IF(OR(W122&lt;=_differe1t1t,W122&gt;_noechmaxi1t),IF(_difftotal1t1t,-AB122,0),IF(W122&gt;=_noechremb12,AA122,IF('Données Projet 1 (2)'!I131-(AB122*_echfixe12)&gt;AA122-2,AA122,'Données Projet 1 (2)'!I131-(AB122*_echfixe12))))+R122</f>
        <v>0</v>
      </c>
      <c r="AD122" s="154">
        <f t="shared" si="23"/>
        <v>20</v>
      </c>
      <c r="AE122" s="157">
        <f t="shared" si="15"/>
        <v>220</v>
      </c>
    </row>
    <row r="123" spans="1:31" x14ac:dyDescent="0.2">
      <c r="A123" s="3"/>
      <c r="B123" s="164"/>
      <c r="C123" s="22"/>
      <c r="D123" s="21"/>
      <c r="E123" s="23"/>
      <c r="F123" s="10"/>
      <c r="G123" s="5">
        <f t="shared" si="16"/>
        <v>117</v>
      </c>
      <c r="H123" s="7">
        <f t="shared" si="17"/>
        <v>304</v>
      </c>
      <c r="I123" s="8">
        <f t="shared" si="12"/>
        <v>2018</v>
      </c>
      <c r="J123" s="31">
        <f>IF(K123=0,"",IF(_ijour12=0,MIN(DATE(YEAR(_debamort12),MONTH(_debamort12)+(G123-1)*_imois12,_jour12),DATE(YEAR(_debamort12),MONTH(_debamort12)+1+(G123-1)*_imois12,0)),DATE(YEAR(_debamort12),MONTH(_debamort12),_jour12+(G123-1)*_ijour12)))</f>
        <v>43344</v>
      </c>
      <c r="K123" s="156">
        <f t="shared" si="18"/>
        <v>147039.26999999996</v>
      </c>
      <c r="L123" s="153">
        <f>IF(G123&lt;=_noeechmaxi1,ROUND(K123*'Données Projet 1 (2)'!A132,_nbdeci1t),0)</f>
        <v>227.91</v>
      </c>
      <c r="M123" s="152">
        <f>IF(OR(G123&lt;=_differe1t,G123&gt;_noeechmaxi1),IF(_difftotal1t,-L123,0),IF(G123&gt;=_noechremb1t,K123,IF('Données Projet 1 (2)'!B132-(L123*_echfixe1t)&gt;K123-2,K123,'Données Projet 1 (2)'!B132-(L123*_echfixe1t))))+B123</f>
        <v>379.01</v>
      </c>
      <c r="N123" s="154">
        <f t="shared" si="19"/>
        <v>15.6</v>
      </c>
      <c r="O123" s="157">
        <f t="shared" si="13"/>
        <v>622.52</v>
      </c>
      <c r="Q123" s="3"/>
      <c r="R123" s="164"/>
      <c r="S123" s="22"/>
      <c r="T123" s="21"/>
      <c r="U123" s="23"/>
      <c r="V123" s="10"/>
      <c r="W123" s="5">
        <f t="shared" si="20"/>
        <v>117</v>
      </c>
      <c r="X123" s="7">
        <f t="shared" si="21"/>
        <v>28</v>
      </c>
      <c r="Y123" s="8">
        <f t="shared" si="14"/>
        <v>2018</v>
      </c>
      <c r="Z123" s="31">
        <f>IF(AA123=0,"",IF(_ijour122=0,MIN(DATE(YEAR(_debamort122),MONTH(_debamort122)+(W123-1)*_imois122,__jou123),DATE(YEAR(_debamort122),MONTH(_debamort122)+1+(W123-1)*_imois122,0)),DATE(YEAR(_debamort122),MONTH(_debamort122),__jou123+(W123-1)*_ijour122)))</f>
        <v>43344</v>
      </c>
      <c r="AA123" s="156">
        <f t="shared" si="22"/>
        <v>240000</v>
      </c>
      <c r="AB123" s="153">
        <f>IF(W123&lt;=_noechmaxi1t,ROUND(AA123*'Données Projet 1 (2)'!H132,_nbdeci1t1),0)</f>
        <v>200</v>
      </c>
      <c r="AC123" s="152">
        <f>IF(OR(W123&lt;=_differe1t1t,W123&gt;_noechmaxi1t),IF(_difftotal1t1t,-AB123,0),IF(W123&gt;=_noechremb12,AA123,IF('Données Projet 1 (2)'!I132-(AB123*_echfixe12)&gt;AA123-2,AA123,'Données Projet 1 (2)'!I132-(AB123*_echfixe12))))+R123</f>
        <v>0</v>
      </c>
      <c r="AD123" s="154">
        <f t="shared" si="23"/>
        <v>20</v>
      </c>
      <c r="AE123" s="157">
        <f t="shared" si="15"/>
        <v>220</v>
      </c>
    </row>
    <row r="124" spans="1:31" x14ac:dyDescent="0.2">
      <c r="A124" s="3"/>
      <c r="B124" s="164"/>
      <c r="C124" s="22"/>
      <c r="D124" s="21"/>
      <c r="E124" s="23"/>
      <c r="F124" s="10"/>
      <c r="G124" s="5">
        <f t="shared" si="16"/>
        <v>118</v>
      </c>
      <c r="H124" s="7">
        <f t="shared" si="17"/>
        <v>303</v>
      </c>
      <c r="I124" s="8">
        <f t="shared" si="12"/>
        <v>2018</v>
      </c>
      <c r="J124" s="31">
        <f>IF(K124=0,"",IF(_ijour12=0,MIN(DATE(YEAR(_debamort12),MONTH(_debamort12)+_MoisD+(G124-1)*_imois12,_jour212),DATE(YEAR(_debamort12),MONTH(_debamort12)+_MoisD+1+(G124-1)*_imois12,0)),DATE(YEAR(_debamort12),MONTH(_debamort12),_jour12+(G124-1)*_ijour12)))</f>
        <v>43374</v>
      </c>
      <c r="K124" s="156">
        <f t="shared" si="18"/>
        <v>146660.25999999995</v>
      </c>
      <c r="L124" s="153">
        <f>IF(G124&lt;=_noeechmaxi1,ROUND(K124*'Données Projet 1 (2)'!A133,_nbdeci1t),0)</f>
        <v>227.32</v>
      </c>
      <c r="M124" s="152">
        <f>IF(OR(G124&lt;=_differe1t,G124&gt;_noeechmaxi1),IF(_difftotal1t,-L124,0),IF(G124&gt;=_noechremb1t,K124,IF('Données Projet 1 (2)'!B133-(L124*_echfixe1t)&gt;K124-2,K124,'Données Projet 1 (2)'!B133-(L124*_echfixe1t))))+B124</f>
        <v>379.59999999999997</v>
      </c>
      <c r="N124" s="154">
        <f t="shared" si="19"/>
        <v>15.6</v>
      </c>
      <c r="O124" s="157">
        <f t="shared" si="13"/>
        <v>622.52</v>
      </c>
      <c r="Q124" s="3"/>
      <c r="R124" s="164"/>
      <c r="S124" s="22"/>
      <c r="T124" s="21"/>
      <c r="U124" s="23"/>
      <c r="V124" s="10"/>
      <c r="W124" s="5">
        <f t="shared" si="20"/>
        <v>118</v>
      </c>
      <c r="X124" s="7">
        <f t="shared" si="21"/>
        <v>27</v>
      </c>
      <c r="Y124" s="8">
        <f t="shared" si="14"/>
        <v>2018</v>
      </c>
      <c r="Z124" s="31">
        <f>IF(AA124=0,"",IF(_ijour122=0,MIN(DATE(YEAR(_debamort122),MONTH(_debamort122)+_moisd12+(W124-1)*_imois122,__jou21),DATE(YEAR(_debamort122),MONTH(_debamort122)+_moisd12+1+(W124-1)*_imois122,0)),DATE(YEAR(_debamort122),MONTH(_debamort122),__jou123+(W124-1)*_ijour122)))</f>
        <v>43374</v>
      </c>
      <c r="AA124" s="156">
        <f t="shared" si="22"/>
        <v>240000</v>
      </c>
      <c r="AB124" s="153">
        <f>IF(W124&lt;=_noechmaxi1t,ROUND(AA124*'Données Projet 1 (2)'!H133,_nbdeci1t1),0)</f>
        <v>200</v>
      </c>
      <c r="AC124" s="152">
        <f>IF(OR(W124&lt;=_differe1t1t,W124&gt;_noechmaxi1t),IF(_difftotal1t1t,-AB124,0),IF(W124&gt;=_noechremb12,AA124,IF('Données Projet 1 (2)'!I133-(AB124*_echfixe12)&gt;AA124-2,AA124,'Données Projet 1 (2)'!I133-(AB124*_echfixe12))))+R124</f>
        <v>0</v>
      </c>
      <c r="AD124" s="154">
        <f t="shared" si="23"/>
        <v>20</v>
      </c>
      <c r="AE124" s="157">
        <f t="shared" si="15"/>
        <v>220</v>
      </c>
    </row>
    <row r="125" spans="1:31" x14ac:dyDescent="0.2">
      <c r="A125" s="3"/>
      <c r="B125" s="164"/>
      <c r="C125" s="22"/>
      <c r="D125" s="21"/>
      <c r="E125" s="23"/>
      <c r="F125" s="10"/>
      <c r="G125" s="5">
        <f t="shared" si="16"/>
        <v>119</v>
      </c>
      <c r="H125" s="7">
        <f t="shared" si="17"/>
        <v>302</v>
      </c>
      <c r="I125" s="8">
        <f t="shared" si="12"/>
        <v>2018</v>
      </c>
      <c r="J125" s="31">
        <f>IF(K125=0,"",IF(_ijour12=0,MIN(DATE(YEAR(_debamort12),MONTH(_debamort12)+(G125-1)*_imois12,_jour12),DATE(YEAR(_debamort12),MONTH(_debamort12)+1+(G125-1)*_imois12,0)),DATE(YEAR(_debamort12),MONTH(_debamort12),_jour12+(G125-1)*_ijour12)))</f>
        <v>43405</v>
      </c>
      <c r="K125" s="156">
        <f t="shared" si="18"/>
        <v>146280.65999999995</v>
      </c>
      <c r="L125" s="153">
        <f>IF(G125&lt;=_noeechmaxi1,ROUND(K125*'Données Projet 1 (2)'!A134,_nbdeci1t),0)</f>
        <v>226.74</v>
      </c>
      <c r="M125" s="152">
        <f>IF(OR(G125&lt;=_differe1t,G125&gt;_noeechmaxi1),IF(_difftotal1t,-L125,0),IF(G125&gt;=_noechremb1t,K125,IF('Données Projet 1 (2)'!B134-(L125*_echfixe1t)&gt;K125-2,K125,'Données Projet 1 (2)'!B134-(L125*_echfixe1t))))+B125</f>
        <v>380.17999999999995</v>
      </c>
      <c r="N125" s="154">
        <f t="shared" si="19"/>
        <v>15.6</v>
      </c>
      <c r="O125" s="157">
        <f t="shared" si="13"/>
        <v>622.52</v>
      </c>
      <c r="Q125" s="3"/>
      <c r="R125" s="164"/>
      <c r="S125" s="22"/>
      <c r="T125" s="21"/>
      <c r="U125" s="23"/>
      <c r="V125" s="10"/>
      <c r="W125" s="5">
        <f t="shared" si="20"/>
        <v>119</v>
      </c>
      <c r="X125" s="7">
        <f t="shared" si="21"/>
        <v>26</v>
      </c>
      <c r="Y125" s="8">
        <f t="shared" si="14"/>
        <v>2018</v>
      </c>
      <c r="Z125" s="31">
        <f>IF(AA125=0,"",IF(_ijour122=0,MIN(DATE(YEAR(_debamort122),MONTH(_debamort122)+(W125-1)*_imois122,__jou123),DATE(YEAR(_debamort122),MONTH(_debamort122)+1+(W125-1)*_imois122,0)),DATE(YEAR(_debamort122),MONTH(_debamort122),__jou123+(W125-1)*_ijour122)))</f>
        <v>43405</v>
      </c>
      <c r="AA125" s="156">
        <f t="shared" si="22"/>
        <v>240000</v>
      </c>
      <c r="AB125" s="153">
        <f>IF(W125&lt;=_noechmaxi1t,ROUND(AA125*'Données Projet 1 (2)'!H134,_nbdeci1t1),0)</f>
        <v>200</v>
      </c>
      <c r="AC125" s="152">
        <f>IF(OR(W125&lt;=_differe1t1t,W125&gt;_noechmaxi1t),IF(_difftotal1t1t,-AB125,0),IF(W125&gt;=_noechremb12,AA125,IF('Données Projet 1 (2)'!I134-(AB125*_echfixe12)&gt;AA125-2,AA125,'Données Projet 1 (2)'!I134-(AB125*_echfixe12))))+R125</f>
        <v>0</v>
      </c>
      <c r="AD125" s="154">
        <f t="shared" si="23"/>
        <v>20</v>
      </c>
      <c r="AE125" s="157">
        <f t="shared" si="15"/>
        <v>220</v>
      </c>
    </row>
    <row r="126" spans="1:31" x14ac:dyDescent="0.2">
      <c r="A126" s="3"/>
      <c r="B126" s="164"/>
      <c r="C126" s="22"/>
      <c r="D126" s="21"/>
      <c r="E126" s="23"/>
      <c r="F126" s="10"/>
      <c r="G126" s="5">
        <f t="shared" si="16"/>
        <v>120</v>
      </c>
      <c r="H126" s="7">
        <f t="shared" si="17"/>
        <v>301</v>
      </c>
      <c r="I126" s="8">
        <f t="shared" si="12"/>
        <v>2018</v>
      </c>
      <c r="J126" s="31">
        <f>IF(K126=0,"",IF(_ijour12=0,MIN(DATE(YEAR(_debamort12),MONTH(_debamort12)+_MoisD+(G126-1)*_imois12,_jour212),DATE(YEAR(_debamort12),MONTH(_debamort12)+_MoisD+1+(G126-1)*_imois12,0)),DATE(YEAR(_debamort12),MONTH(_debamort12),_jour12+(G126-1)*_ijour12)))</f>
        <v>43435</v>
      </c>
      <c r="K126" s="156">
        <f t="shared" si="18"/>
        <v>145900.47999999995</v>
      </c>
      <c r="L126" s="153">
        <f>IF(G126&lt;=_noeechmaxi1,ROUND(K126*'Données Projet 1 (2)'!A135,_nbdeci1t),0)</f>
        <v>226.15</v>
      </c>
      <c r="M126" s="152">
        <f>IF(OR(G126&lt;=_differe1t,G126&gt;_noeechmaxi1),IF(_difftotal1t,-L126,0),IF(G126&gt;=_noechremb1t,K126,IF('Données Projet 1 (2)'!B135-(L126*_echfixe1t)&gt;K126-2,K126,'Données Projet 1 (2)'!B135-(L126*_echfixe1t))))+B126</f>
        <v>380.77</v>
      </c>
      <c r="N126" s="154">
        <f t="shared" si="19"/>
        <v>15.6</v>
      </c>
      <c r="O126" s="157">
        <f t="shared" si="13"/>
        <v>622.52</v>
      </c>
      <c r="Q126" s="3"/>
      <c r="R126" s="164"/>
      <c r="S126" s="22"/>
      <c r="T126" s="21"/>
      <c r="U126" s="23"/>
      <c r="V126" s="10"/>
      <c r="W126" s="5">
        <f t="shared" si="20"/>
        <v>120</v>
      </c>
      <c r="X126" s="7">
        <f t="shared" si="21"/>
        <v>25</v>
      </c>
      <c r="Y126" s="8">
        <f t="shared" si="14"/>
        <v>2018</v>
      </c>
      <c r="Z126" s="31">
        <f>IF(AA126=0,"",IF(_ijour122=0,MIN(DATE(YEAR(_debamort122),MONTH(_debamort122)+_moisd12+(W126-1)*_imois122,__jou21),DATE(YEAR(_debamort122),MONTH(_debamort122)+_moisd12+1+(W126-1)*_imois122,0)),DATE(YEAR(_debamort122),MONTH(_debamort122),__jou123+(W126-1)*_ijour122)))</f>
        <v>43435</v>
      </c>
      <c r="AA126" s="156">
        <f t="shared" si="22"/>
        <v>240000</v>
      </c>
      <c r="AB126" s="153">
        <f>IF(W126&lt;=_noechmaxi1t,ROUND(AA126*'Données Projet 1 (2)'!H135,_nbdeci1t1),0)</f>
        <v>200</v>
      </c>
      <c r="AC126" s="152">
        <f>IF(OR(W126&lt;=_differe1t1t,W126&gt;_noechmaxi1t),IF(_difftotal1t1t,-AB126,0),IF(W126&gt;=_noechremb12,AA126,IF('Données Projet 1 (2)'!I135-(AB126*_echfixe12)&gt;AA126-2,AA126,'Données Projet 1 (2)'!I135-(AB126*_echfixe12))))+R126</f>
        <v>0</v>
      </c>
      <c r="AD126" s="154">
        <f t="shared" si="23"/>
        <v>20</v>
      </c>
      <c r="AE126" s="157">
        <f t="shared" si="15"/>
        <v>220</v>
      </c>
    </row>
    <row r="127" spans="1:31" x14ac:dyDescent="0.2">
      <c r="A127" s="3"/>
      <c r="B127" s="164"/>
      <c r="C127" s="22"/>
      <c r="D127" s="21"/>
      <c r="E127" s="23"/>
      <c r="F127" s="10"/>
      <c r="G127" s="5">
        <f t="shared" si="16"/>
        <v>121</v>
      </c>
      <c r="H127" s="7">
        <f t="shared" si="17"/>
        <v>300</v>
      </c>
      <c r="I127" s="8">
        <f t="shared" si="12"/>
        <v>2019</v>
      </c>
      <c r="J127" s="31">
        <f>IF(K127=0,"",IF(_ijour12=0,MIN(DATE(YEAR(_debamort12),MONTH(_debamort12)+(G127-1)*_imois12,_jour12),DATE(YEAR(_debamort12),MONTH(_debamort12)+1+(G127-1)*_imois12,0)),DATE(YEAR(_debamort12),MONTH(_debamort12),_jour12+(G127-1)*_ijour12)))</f>
        <v>43466</v>
      </c>
      <c r="K127" s="156">
        <f t="shared" si="18"/>
        <v>145519.70999999996</v>
      </c>
      <c r="L127" s="153">
        <f>IF(G127&lt;=_noeechmaxi1,ROUND(K127*'Données Projet 1 (2)'!A136,_nbdeci1t),0)</f>
        <v>225.56</v>
      </c>
      <c r="M127" s="152">
        <f>IF(OR(G127&lt;=_differe1t,G127&gt;_noeechmaxi1),IF(_difftotal1t,-L127,0),IF(G127&gt;=_noechremb1t,K127,IF('Données Projet 1 (2)'!B136-(L127*_echfixe1t)&gt;K127-2,K127,'Données Projet 1 (2)'!B136-(L127*_echfixe1t))))+B127</f>
        <v>381.35999999999996</v>
      </c>
      <c r="N127" s="154">
        <f t="shared" si="19"/>
        <v>15.6</v>
      </c>
      <c r="O127" s="157">
        <f t="shared" si="13"/>
        <v>622.52</v>
      </c>
      <c r="Q127" s="3"/>
      <c r="R127" s="164"/>
      <c r="S127" s="22"/>
      <c r="T127" s="21"/>
      <c r="U127" s="23"/>
      <c r="V127" s="10"/>
      <c r="W127" s="5">
        <f t="shared" si="20"/>
        <v>121</v>
      </c>
      <c r="X127" s="7">
        <f t="shared" si="21"/>
        <v>24</v>
      </c>
      <c r="Y127" s="8">
        <f t="shared" si="14"/>
        <v>2019</v>
      </c>
      <c r="Z127" s="31">
        <f>IF(AA127=0,"",IF(_ijour122=0,MIN(DATE(YEAR(_debamort122),MONTH(_debamort122)+(W127-1)*_imois122,__jou123),DATE(YEAR(_debamort122),MONTH(_debamort122)+1+(W127-1)*_imois122,0)),DATE(YEAR(_debamort122),MONTH(_debamort122),__jou123+(W127-1)*_ijour122)))</f>
        <v>43466</v>
      </c>
      <c r="AA127" s="156">
        <f t="shared" si="22"/>
        <v>240000</v>
      </c>
      <c r="AB127" s="153">
        <f>IF(W127&lt;=_noechmaxi1t,ROUND(AA127*'Données Projet 1 (2)'!H136,_nbdeci1t1),0)</f>
        <v>200</v>
      </c>
      <c r="AC127" s="152">
        <f>IF(OR(W127&lt;=_differe1t1t,W127&gt;_noechmaxi1t),IF(_difftotal1t1t,-AB127,0),IF(W127&gt;=_noechremb12,AA127,IF('Données Projet 1 (2)'!I136-(AB127*_echfixe12)&gt;AA127-2,AA127,'Données Projet 1 (2)'!I136-(AB127*_echfixe12))))+R127</f>
        <v>0</v>
      </c>
      <c r="AD127" s="154">
        <f t="shared" si="23"/>
        <v>20</v>
      </c>
      <c r="AE127" s="157">
        <f t="shared" si="15"/>
        <v>220</v>
      </c>
    </row>
    <row r="128" spans="1:31" x14ac:dyDescent="0.2">
      <c r="A128" s="3"/>
      <c r="B128" s="164"/>
      <c r="C128" s="22"/>
      <c r="D128" s="21"/>
      <c r="E128" s="23"/>
      <c r="F128" s="10"/>
      <c r="G128" s="5">
        <f t="shared" si="16"/>
        <v>122</v>
      </c>
      <c r="H128" s="7">
        <f t="shared" si="17"/>
        <v>299</v>
      </c>
      <c r="I128" s="8">
        <f t="shared" si="12"/>
        <v>2019</v>
      </c>
      <c r="J128" s="31">
        <f>IF(K128=0,"",IF(_ijour12=0,MIN(DATE(YEAR(_debamort12),MONTH(_debamort12)+_MoisD+(G128-1)*_imois12,_jour212),DATE(YEAR(_debamort12),MONTH(_debamort12)+_MoisD+1+(G128-1)*_imois12,0)),DATE(YEAR(_debamort12),MONTH(_debamort12),_jour12+(G128-1)*_ijour12)))</f>
        <v>43497</v>
      </c>
      <c r="K128" s="156">
        <f t="shared" si="18"/>
        <v>145138.34999999998</v>
      </c>
      <c r="L128" s="153">
        <f>IF(G128&lt;=_noeechmaxi1,ROUND(K128*'Données Projet 1 (2)'!A137,_nbdeci1t),0)</f>
        <v>224.96</v>
      </c>
      <c r="M128" s="152">
        <f>IF(OR(G128&lt;=_differe1t,G128&gt;_noeechmaxi1),IF(_difftotal1t,-L128,0),IF(G128&gt;=_noechremb1t,K128,IF('Données Projet 1 (2)'!B137-(L128*_echfixe1t)&gt;K128-2,K128,'Données Projet 1 (2)'!B137-(L128*_echfixe1t))))+B128</f>
        <v>381.95999999999992</v>
      </c>
      <c r="N128" s="154">
        <f t="shared" si="19"/>
        <v>15.6</v>
      </c>
      <c r="O128" s="157">
        <f t="shared" si="13"/>
        <v>622.52</v>
      </c>
      <c r="Q128" s="3"/>
      <c r="R128" s="164"/>
      <c r="S128" s="22"/>
      <c r="T128" s="21"/>
      <c r="U128" s="23"/>
      <c r="V128" s="10"/>
      <c r="W128" s="5">
        <f t="shared" si="20"/>
        <v>122</v>
      </c>
      <c r="X128" s="7">
        <f t="shared" si="21"/>
        <v>23</v>
      </c>
      <c r="Y128" s="8">
        <f t="shared" si="14"/>
        <v>2019</v>
      </c>
      <c r="Z128" s="31">
        <f>IF(AA128=0,"",IF(_ijour122=0,MIN(DATE(YEAR(_debamort122),MONTH(_debamort122)+_moisd12+(W128-1)*_imois122,__jou21),DATE(YEAR(_debamort122),MONTH(_debamort122)+_moisd12+1+(W128-1)*_imois122,0)),DATE(YEAR(_debamort122),MONTH(_debamort122),__jou123+(W128-1)*_ijour122)))</f>
        <v>43497</v>
      </c>
      <c r="AA128" s="156">
        <f t="shared" si="22"/>
        <v>240000</v>
      </c>
      <c r="AB128" s="153">
        <f>IF(W128&lt;=_noechmaxi1t,ROUND(AA128*'Données Projet 1 (2)'!H137,_nbdeci1t1),0)</f>
        <v>200</v>
      </c>
      <c r="AC128" s="152">
        <f>IF(OR(W128&lt;=_differe1t1t,W128&gt;_noechmaxi1t),IF(_difftotal1t1t,-AB128,0),IF(W128&gt;=_noechremb12,AA128,IF('Données Projet 1 (2)'!I137-(AB128*_echfixe12)&gt;AA128-2,AA128,'Données Projet 1 (2)'!I137-(AB128*_echfixe12))))+R128</f>
        <v>0</v>
      </c>
      <c r="AD128" s="154">
        <f t="shared" si="23"/>
        <v>20</v>
      </c>
      <c r="AE128" s="157">
        <f t="shared" si="15"/>
        <v>220</v>
      </c>
    </row>
    <row r="129" spans="1:31" x14ac:dyDescent="0.2">
      <c r="A129" s="3"/>
      <c r="B129" s="164"/>
      <c r="C129" s="22"/>
      <c r="D129" s="21"/>
      <c r="E129" s="23"/>
      <c r="F129" s="10"/>
      <c r="G129" s="5">
        <f t="shared" si="16"/>
        <v>123</v>
      </c>
      <c r="H129" s="7">
        <f t="shared" si="17"/>
        <v>298</v>
      </c>
      <c r="I129" s="8">
        <f t="shared" si="12"/>
        <v>2019</v>
      </c>
      <c r="J129" s="31">
        <f>IF(K129=0,"",IF(_ijour12=0,MIN(DATE(YEAR(_debamort12),MONTH(_debamort12)+(G129-1)*_imois12,_jour12),DATE(YEAR(_debamort12),MONTH(_debamort12)+1+(G129-1)*_imois12,0)),DATE(YEAR(_debamort12),MONTH(_debamort12),_jour12+(G129-1)*_ijour12)))</f>
        <v>43525</v>
      </c>
      <c r="K129" s="156">
        <f t="shared" si="18"/>
        <v>144756.38999999998</v>
      </c>
      <c r="L129" s="153">
        <f>IF(G129&lt;=_noeechmaxi1,ROUND(K129*'Données Projet 1 (2)'!A138,_nbdeci1t),0)</f>
        <v>224.37</v>
      </c>
      <c r="M129" s="152">
        <f>IF(OR(G129&lt;=_differe1t,G129&gt;_noeechmaxi1),IF(_difftotal1t,-L129,0),IF(G129&gt;=_noechremb1t,K129,IF('Données Projet 1 (2)'!B138-(L129*_echfixe1t)&gt;K129-2,K129,'Données Projet 1 (2)'!B138-(L129*_echfixe1t))))+B129</f>
        <v>382.54999999999995</v>
      </c>
      <c r="N129" s="154">
        <f t="shared" si="19"/>
        <v>15.6</v>
      </c>
      <c r="O129" s="157">
        <f t="shared" si="13"/>
        <v>622.52</v>
      </c>
      <c r="Q129" s="3"/>
      <c r="R129" s="164"/>
      <c r="S129" s="22"/>
      <c r="T129" s="21"/>
      <c r="U129" s="23"/>
      <c r="V129" s="10"/>
      <c r="W129" s="5">
        <f t="shared" si="20"/>
        <v>123</v>
      </c>
      <c r="X129" s="7">
        <f t="shared" si="21"/>
        <v>22</v>
      </c>
      <c r="Y129" s="8">
        <f t="shared" si="14"/>
        <v>2019</v>
      </c>
      <c r="Z129" s="31">
        <f>IF(AA129=0,"",IF(_ijour122=0,MIN(DATE(YEAR(_debamort122),MONTH(_debamort122)+(W129-1)*_imois122,__jou123),DATE(YEAR(_debamort122),MONTH(_debamort122)+1+(W129-1)*_imois122,0)),DATE(YEAR(_debamort122),MONTH(_debamort122),__jou123+(W129-1)*_ijour122)))</f>
        <v>43525</v>
      </c>
      <c r="AA129" s="156">
        <f t="shared" si="22"/>
        <v>240000</v>
      </c>
      <c r="AB129" s="153">
        <f>IF(W129&lt;=_noechmaxi1t,ROUND(AA129*'Données Projet 1 (2)'!H138,_nbdeci1t1),0)</f>
        <v>200</v>
      </c>
      <c r="AC129" s="152">
        <f>IF(OR(W129&lt;=_differe1t1t,W129&gt;_noechmaxi1t),IF(_difftotal1t1t,-AB129,0),IF(W129&gt;=_noechremb12,AA129,IF('Données Projet 1 (2)'!I138-(AB129*_echfixe12)&gt;AA129-2,AA129,'Données Projet 1 (2)'!I138-(AB129*_echfixe12))))+R129</f>
        <v>0</v>
      </c>
      <c r="AD129" s="154">
        <f t="shared" si="23"/>
        <v>20</v>
      </c>
      <c r="AE129" s="157">
        <f t="shared" si="15"/>
        <v>220</v>
      </c>
    </row>
    <row r="130" spans="1:31" x14ac:dyDescent="0.2">
      <c r="A130" s="3"/>
      <c r="B130" s="164"/>
      <c r="C130" s="22"/>
      <c r="D130" s="21"/>
      <c r="E130" s="23"/>
      <c r="F130" s="10"/>
      <c r="G130" s="5">
        <f t="shared" si="16"/>
        <v>124</v>
      </c>
      <c r="H130" s="7">
        <f t="shared" si="17"/>
        <v>297</v>
      </c>
      <c r="I130" s="8">
        <f t="shared" si="12"/>
        <v>2019</v>
      </c>
      <c r="J130" s="31">
        <f>IF(K130=0,"",IF(_ijour12=0,MIN(DATE(YEAR(_debamort12),MONTH(_debamort12)+_MoisD+(G130-1)*_imois12,_jour212),DATE(YEAR(_debamort12),MONTH(_debamort12)+_MoisD+1+(G130-1)*_imois12,0)),DATE(YEAR(_debamort12),MONTH(_debamort12),_jour12+(G130-1)*_ijour12)))</f>
        <v>43556</v>
      </c>
      <c r="K130" s="156">
        <f t="shared" si="18"/>
        <v>144373.84</v>
      </c>
      <c r="L130" s="153">
        <f>IF(G130&lt;=_noeechmaxi1,ROUND(K130*'Données Projet 1 (2)'!A139,_nbdeci1t),0)</f>
        <v>223.78</v>
      </c>
      <c r="M130" s="152">
        <f>IF(OR(G130&lt;=_differe1t,G130&gt;_noeechmaxi1),IF(_difftotal1t,-L130,0),IF(G130&gt;=_noechremb1t,K130,IF('Données Projet 1 (2)'!B139-(L130*_echfixe1t)&gt;K130-2,K130,'Données Projet 1 (2)'!B139-(L130*_echfixe1t))))+B130</f>
        <v>383.14</v>
      </c>
      <c r="N130" s="154">
        <f t="shared" si="19"/>
        <v>15.6</v>
      </c>
      <c r="O130" s="157">
        <f t="shared" si="13"/>
        <v>622.52</v>
      </c>
      <c r="Q130" s="3"/>
      <c r="R130" s="164"/>
      <c r="S130" s="22"/>
      <c r="T130" s="21"/>
      <c r="U130" s="23"/>
      <c r="V130" s="10"/>
      <c r="W130" s="5">
        <f t="shared" si="20"/>
        <v>124</v>
      </c>
      <c r="X130" s="7">
        <f t="shared" si="21"/>
        <v>21</v>
      </c>
      <c r="Y130" s="8">
        <f t="shared" si="14"/>
        <v>2019</v>
      </c>
      <c r="Z130" s="31">
        <f>IF(AA130=0,"",IF(_ijour122=0,MIN(DATE(YEAR(_debamort122),MONTH(_debamort122)+_moisd12+(W130-1)*_imois122,__jou21),DATE(YEAR(_debamort122),MONTH(_debamort122)+_moisd12+1+(W130-1)*_imois122,0)),DATE(YEAR(_debamort122),MONTH(_debamort122),__jou123+(W130-1)*_ijour122)))</f>
        <v>43556</v>
      </c>
      <c r="AA130" s="156">
        <f t="shared" si="22"/>
        <v>240000</v>
      </c>
      <c r="AB130" s="153">
        <f>IF(W130&lt;=_noechmaxi1t,ROUND(AA130*'Données Projet 1 (2)'!H139,_nbdeci1t1),0)</f>
        <v>200</v>
      </c>
      <c r="AC130" s="152">
        <f>IF(OR(W130&lt;=_differe1t1t,W130&gt;_noechmaxi1t),IF(_difftotal1t1t,-AB130,0),IF(W130&gt;=_noechremb12,AA130,IF('Données Projet 1 (2)'!I139-(AB130*_echfixe12)&gt;AA130-2,AA130,'Données Projet 1 (2)'!I139-(AB130*_echfixe12))))+R130</f>
        <v>0</v>
      </c>
      <c r="AD130" s="154">
        <f t="shared" si="23"/>
        <v>20</v>
      </c>
      <c r="AE130" s="157">
        <f t="shared" si="15"/>
        <v>220</v>
      </c>
    </row>
    <row r="131" spans="1:31" x14ac:dyDescent="0.2">
      <c r="A131" s="3"/>
      <c r="B131" s="164"/>
      <c r="C131" s="22"/>
      <c r="D131" s="21"/>
      <c r="E131" s="23"/>
      <c r="F131" s="10"/>
      <c r="G131" s="5">
        <f t="shared" si="16"/>
        <v>125</v>
      </c>
      <c r="H131" s="7">
        <f t="shared" si="17"/>
        <v>296</v>
      </c>
      <c r="I131" s="8">
        <f t="shared" si="12"/>
        <v>2019</v>
      </c>
      <c r="J131" s="31">
        <f>IF(K131=0,"",IF(_ijour12=0,MIN(DATE(YEAR(_debamort12),MONTH(_debamort12)+(G131-1)*_imois12,_jour12),DATE(YEAR(_debamort12),MONTH(_debamort12)+1+(G131-1)*_imois12,0)),DATE(YEAR(_debamort12),MONTH(_debamort12),_jour12+(G131-1)*_ijour12)))</f>
        <v>43586</v>
      </c>
      <c r="K131" s="156">
        <f t="shared" si="18"/>
        <v>143990.69999999998</v>
      </c>
      <c r="L131" s="153">
        <f>IF(G131&lt;=_noeechmaxi1,ROUND(K131*'Données Projet 1 (2)'!A140,_nbdeci1t),0)</f>
        <v>223.19</v>
      </c>
      <c r="M131" s="152">
        <f>IF(OR(G131&lt;=_differe1t,G131&gt;_noeechmaxi1),IF(_difftotal1t,-L131,0),IF(G131&gt;=_noechremb1t,K131,IF('Données Projet 1 (2)'!B140-(L131*_echfixe1t)&gt;K131-2,K131,'Données Projet 1 (2)'!B140-(L131*_echfixe1t))))+B131</f>
        <v>383.72999999999996</v>
      </c>
      <c r="N131" s="154">
        <f t="shared" si="19"/>
        <v>15.6</v>
      </c>
      <c r="O131" s="157">
        <f t="shared" si="13"/>
        <v>622.52</v>
      </c>
      <c r="Q131" s="3"/>
      <c r="R131" s="164"/>
      <c r="S131" s="22"/>
      <c r="T131" s="21"/>
      <c r="U131" s="23"/>
      <c r="V131" s="10"/>
      <c r="W131" s="5">
        <f t="shared" si="20"/>
        <v>125</v>
      </c>
      <c r="X131" s="7">
        <f t="shared" si="21"/>
        <v>20</v>
      </c>
      <c r="Y131" s="8">
        <f t="shared" si="14"/>
        <v>2019</v>
      </c>
      <c r="Z131" s="31">
        <f>IF(AA131=0,"",IF(_ijour122=0,MIN(DATE(YEAR(_debamort122),MONTH(_debamort122)+(W131-1)*_imois122,__jou123),DATE(YEAR(_debamort122),MONTH(_debamort122)+1+(W131-1)*_imois122,0)),DATE(YEAR(_debamort122),MONTH(_debamort122),__jou123+(W131-1)*_ijour122)))</f>
        <v>43586</v>
      </c>
      <c r="AA131" s="156">
        <f t="shared" si="22"/>
        <v>240000</v>
      </c>
      <c r="AB131" s="153">
        <f>IF(W131&lt;=_noechmaxi1t,ROUND(AA131*'Données Projet 1 (2)'!H140,_nbdeci1t1),0)</f>
        <v>200</v>
      </c>
      <c r="AC131" s="152">
        <f>IF(OR(W131&lt;=_differe1t1t,W131&gt;_noechmaxi1t),IF(_difftotal1t1t,-AB131,0),IF(W131&gt;=_noechremb12,AA131,IF('Données Projet 1 (2)'!I140-(AB131*_echfixe12)&gt;AA131-2,AA131,'Données Projet 1 (2)'!I140-(AB131*_echfixe12))))+R131</f>
        <v>0</v>
      </c>
      <c r="AD131" s="154">
        <f t="shared" si="23"/>
        <v>20</v>
      </c>
      <c r="AE131" s="157">
        <f t="shared" si="15"/>
        <v>220</v>
      </c>
    </row>
    <row r="132" spans="1:31" x14ac:dyDescent="0.2">
      <c r="A132" s="3"/>
      <c r="B132" s="164"/>
      <c r="C132" s="22"/>
      <c r="D132" s="21"/>
      <c r="E132" s="23"/>
      <c r="F132" s="10"/>
      <c r="G132" s="5">
        <f t="shared" si="16"/>
        <v>126</v>
      </c>
      <c r="H132" s="7">
        <f t="shared" si="17"/>
        <v>295</v>
      </c>
      <c r="I132" s="8">
        <f t="shared" si="12"/>
        <v>2019</v>
      </c>
      <c r="J132" s="31">
        <f>IF(K132=0,"",IF(_ijour12=0,MIN(DATE(YEAR(_debamort12),MONTH(_debamort12)+_MoisD+(G132-1)*_imois12,_jour212),DATE(YEAR(_debamort12),MONTH(_debamort12)+_MoisD+1+(G132-1)*_imois12,0)),DATE(YEAR(_debamort12),MONTH(_debamort12),_jour12+(G132-1)*_ijour12)))</f>
        <v>43617</v>
      </c>
      <c r="K132" s="156">
        <f t="shared" si="18"/>
        <v>143606.96999999997</v>
      </c>
      <c r="L132" s="153">
        <f>IF(G132&lt;=_noeechmaxi1,ROUND(K132*'Données Projet 1 (2)'!A141,_nbdeci1t),0)</f>
        <v>222.59</v>
      </c>
      <c r="M132" s="152">
        <f>IF(OR(G132&lt;=_differe1t,G132&gt;_noeechmaxi1),IF(_difftotal1t,-L132,0),IF(G132&gt;=_noechremb1t,K132,IF('Données Projet 1 (2)'!B141-(L132*_echfixe1t)&gt;K132-2,K132,'Données Projet 1 (2)'!B141-(L132*_echfixe1t))))+B132</f>
        <v>384.32999999999993</v>
      </c>
      <c r="N132" s="154">
        <f t="shared" si="19"/>
        <v>15.6</v>
      </c>
      <c r="O132" s="157">
        <f t="shared" si="13"/>
        <v>622.52</v>
      </c>
      <c r="Q132" s="3"/>
      <c r="R132" s="164"/>
      <c r="S132" s="22"/>
      <c r="T132" s="21"/>
      <c r="U132" s="23"/>
      <c r="V132" s="10"/>
      <c r="W132" s="5">
        <f t="shared" si="20"/>
        <v>126</v>
      </c>
      <c r="X132" s="7">
        <f t="shared" si="21"/>
        <v>19</v>
      </c>
      <c r="Y132" s="8">
        <f t="shared" si="14"/>
        <v>2019</v>
      </c>
      <c r="Z132" s="31">
        <f>IF(AA132=0,"",IF(_ijour122=0,MIN(DATE(YEAR(_debamort122),MONTH(_debamort122)+_moisd12+(W132-1)*_imois122,__jou21),DATE(YEAR(_debamort122),MONTH(_debamort122)+_moisd12+1+(W132-1)*_imois122,0)),DATE(YEAR(_debamort122),MONTH(_debamort122),__jou123+(W132-1)*_ijour122)))</f>
        <v>43617</v>
      </c>
      <c r="AA132" s="156">
        <f t="shared" si="22"/>
        <v>240000</v>
      </c>
      <c r="AB132" s="153">
        <f>IF(W132&lt;=_noechmaxi1t,ROUND(AA132*'Données Projet 1 (2)'!H141,_nbdeci1t1),0)</f>
        <v>200</v>
      </c>
      <c r="AC132" s="152">
        <f>IF(OR(W132&lt;=_differe1t1t,W132&gt;_noechmaxi1t),IF(_difftotal1t1t,-AB132,0),IF(W132&gt;=_noechremb12,AA132,IF('Données Projet 1 (2)'!I141-(AB132*_echfixe12)&gt;AA132-2,AA132,'Données Projet 1 (2)'!I141-(AB132*_echfixe12))))+R132</f>
        <v>0</v>
      </c>
      <c r="AD132" s="154">
        <f t="shared" si="23"/>
        <v>20</v>
      </c>
      <c r="AE132" s="157">
        <f t="shared" si="15"/>
        <v>220</v>
      </c>
    </row>
    <row r="133" spans="1:31" x14ac:dyDescent="0.2">
      <c r="A133" s="3"/>
      <c r="B133" s="164"/>
      <c r="C133" s="22"/>
      <c r="D133" s="21"/>
      <c r="E133" s="23"/>
      <c r="F133" s="10"/>
      <c r="G133" s="5">
        <f t="shared" si="16"/>
        <v>127</v>
      </c>
      <c r="H133" s="7">
        <f t="shared" si="17"/>
        <v>294</v>
      </c>
      <c r="I133" s="8">
        <f t="shared" si="12"/>
        <v>2019</v>
      </c>
      <c r="J133" s="31">
        <f>IF(K133=0,"",IF(_ijour12=0,MIN(DATE(YEAR(_debamort12),MONTH(_debamort12)+(G133-1)*_imois12,_jour12),DATE(YEAR(_debamort12),MONTH(_debamort12)+1+(G133-1)*_imois12,0)),DATE(YEAR(_debamort12),MONTH(_debamort12),_jour12+(G133-1)*_ijour12)))</f>
        <v>43647</v>
      </c>
      <c r="K133" s="156">
        <f t="shared" si="18"/>
        <v>143222.63999999998</v>
      </c>
      <c r="L133" s="153">
        <f>IF(G133&lt;=_noeechmaxi1,ROUND(K133*'Données Projet 1 (2)'!A142,_nbdeci1t),0)</f>
        <v>222</v>
      </c>
      <c r="M133" s="152">
        <f>IF(OR(G133&lt;=_differe1t,G133&gt;_noeechmaxi1),IF(_difftotal1t,-L133,0),IF(G133&gt;=_noechremb1t,K133,IF('Données Projet 1 (2)'!B142-(L133*_echfixe1t)&gt;K133-2,K133,'Données Projet 1 (2)'!B142-(L133*_echfixe1t))))+B133</f>
        <v>384.91999999999996</v>
      </c>
      <c r="N133" s="154">
        <f t="shared" si="19"/>
        <v>15.6</v>
      </c>
      <c r="O133" s="157">
        <f t="shared" si="13"/>
        <v>622.52</v>
      </c>
      <c r="Q133" s="3"/>
      <c r="R133" s="164"/>
      <c r="S133" s="22"/>
      <c r="T133" s="21"/>
      <c r="U133" s="23"/>
      <c r="V133" s="10"/>
      <c r="W133" s="5">
        <f t="shared" si="20"/>
        <v>127</v>
      </c>
      <c r="X133" s="7">
        <f t="shared" si="21"/>
        <v>18</v>
      </c>
      <c r="Y133" s="8">
        <f t="shared" si="14"/>
        <v>2019</v>
      </c>
      <c r="Z133" s="31">
        <f>IF(AA133=0,"",IF(_ijour122=0,MIN(DATE(YEAR(_debamort122),MONTH(_debamort122)+(W133-1)*_imois122,__jou123),DATE(YEAR(_debamort122),MONTH(_debamort122)+1+(W133-1)*_imois122,0)),DATE(YEAR(_debamort122),MONTH(_debamort122),__jou123+(W133-1)*_ijour122)))</f>
        <v>43647</v>
      </c>
      <c r="AA133" s="156">
        <f t="shared" si="22"/>
        <v>240000</v>
      </c>
      <c r="AB133" s="153">
        <f>IF(W133&lt;=_noechmaxi1t,ROUND(AA133*'Données Projet 1 (2)'!H142,_nbdeci1t1),0)</f>
        <v>200</v>
      </c>
      <c r="AC133" s="152">
        <f>IF(OR(W133&lt;=_differe1t1t,W133&gt;_noechmaxi1t),IF(_difftotal1t1t,-AB133,0),IF(W133&gt;=_noechremb12,AA133,IF('Données Projet 1 (2)'!I142-(AB133*_echfixe12)&gt;AA133-2,AA133,'Données Projet 1 (2)'!I142-(AB133*_echfixe12))))+R133</f>
        <v>0</v>
      </c>
      <c r="AD133" s="154">
        <f t="shared" si="23"/>
        <v>20</v>
      </c>
      <c r="AE133" s="157">
        <f t="shared" si="15"/>
        <v>220</v>
      </c>
    </row>
    <row r="134" spans="1:31" x14ac:dyDescent="0.2">
      <c r="A134" s="3"/>
      <c r="B134" s="164"/>
      <c r="C134" s="22"/>
      <c r="D134" s="21"/>
      <c r="E134" s="23"/>
      <c r="F134" s="10"/>
      <c r="G134" s="5">
        <f t="shared" si="16"/>
        <v>128</v>
      </c>
      <c r="H134" s="7">
        <f t="shared" si="17"/>
        <v>293</v>
      </c>
      <c r="I134" s="8">
        <f t="shared" ref="I134:I197" si="24">IF(ISNUMBER(J134),YEAR(J134),"")</f>
        <v>2019</v>
      </c>
      <c r="J134" s="31">
        <f>IF(K134=0,"",IF(_ijour12=0,MIN(DATE(YEAR(_debamort12),MONTH(_debamort12)+_MoisD+(G134-1)*_imois12,_jour212),DATE(YEAR(_debamort12),MONTH(_debamort12)+_MoisD+1+(G134-1)*_imois12,0)),DATE(YEAR(_debamort12),MONTH(_debamort12),_jour12+(G134-1)*_ijour12)))</f>
        <v>43678</v>
      </c>
      <c r="K134" s="156">
        <f t="shared" si="18"/>
        <v>142837.71999999997</v>
      </c>
      <c r="L134" s="153">
        <f>IF(G134&lt;=_noeechmaxi1,ROUND(K134*'Données Projet 1 (2)'!A143,_nbdeci1t),0)</f>
        <v>221.4</v>
      </c>
      <c r="M134" s="152">
        <f>IF(OR(G134&lt;=_differe1t,G134&gt;_noeechmaxi1),IF(_difftotal1t,-L134,0),IF(G134&gt;=_noechremb1t,K134,IF('Données Projet 1 (2)'!B143-(L134*_echfixe1t)&gt;K134-2,K134,'Données Projet 1 (2)'!B143-(L134*_echfixe1t))))+B134</f>
        <v>385.52</v>
      </c>
      <c r="N134" s="154">
        <f t="shared" si="19"/>
        <v>15.6</v>
      </c>
      <c r="O134" s="157">
        <f t="shared" ref="O134:O197" si="25">SUM(L134:N134)</f>
        <v>622.52</v>
      </c>
      <c r="Q134" s="3"/>
      <c r="R134" s="164"/>
      <c r="S134" s="22"/>
      <c r="T134" s="21"/>
      <c r="U134" s="23"/>
      <c r="V134" s="10"/>
      <c r="W134" s="5">
        <f t="shared" si="20"/>
        <v>128</v>
      </c>
      <c r="X134" s="7">
        <f t="shared" si="21"/>
        <v>17</v>
      </c>
      <c r="Y134" s="8">
        <f t="shared" ref="Y134:Y197" si="26">IF(ISNUMBER(Z134),YEAR(Z134),"")</f>
        <v>2019</v>
      </c>
      <c r="Z134" s="31">
        <f>IF(AA134=0,"",IF(_ijour122=0,MIN(DATE(YEAR(_debamort122),MONTH(_debamort122)+_moisd12+(W134-1)*_imois122,__jou21),DATE(YEAR(_debamort122),MONTH(_debamort122)+_moisd12+1+(W134-1)*_imois122,0)),DATE(YEAR(_debamort122),MONTH(_debamort122),__jou123+(W134-1)*_ijour122)))</f>
        <v>43678</v>
      </c>
      <c r="AA134" s="156">
        <f t="shared" si="22"/>
        <v>240000</v>
      </c>
      <c r="AB134" s="153">
        <f>IF(W134&lt;=_noechmaxi1t,ROUND(AA134*'Données Projet 1 (2)'!H143,_nbdeci1t1),0)</f>
        <v>200</v>
      </c>
      <c r="AC134" s="152">
        <f>IF(OR(W134&lt;=_differe1t1t,W134&gt;_noechmaxi1t),IF(_difftotal1t1t,-AB134,0),IF(W134&gt;=_noechremb12,AA134,IF('Données Projet 1 (2)'!I143-(AB134*_echfixe12)&gt;AA134-2,AA134,'Données Projet 1 (2)'!I143-(AB134*_echfixe12))))+R134</f>
        <v>0</v>
      </c>
      <c r="AD134" s="154">
        <f t="shared" si="23"/>
        <v>20</v>
      </c>
      <c r="AE134" s="157">
        <f t="shared" ref="AE134:AE197" si="27">SUM(AB134:AD134)</f>
        <v>220</v>
      </c>
    </row>
    <row r="135" spans="1:31" x14ac:dyDescent="0.2">
      <c r="A135" s="3"/>
      <c r="B135" s="164"/>
      <c r="C135" s="22"/>
      <c r="D135" s="21"/>
      <c r="E135" s="23"/>
      <c r="F135" s="10"/>
      <c r="G135" s="5">
        <f t="shared" ref="G135:G198" si="28">IF(K135=0,"",G134+1)</f>
        <v>129</v>
      </c>
      <c r="H135" s="7">
        <f t="shared" ref="H135:H198" si="29">IF(K135&gt;0,_nbech123+_differe1t+1-G135,"")</f>
        <v>292</v>
      </c>
      <c r="I135" s="8">
        <f t="shared" si="24"/>
        <v>2019</v>
      </c>
      <c r="J135" s="31">
        <f>IF(K135=0,"",IF(_ijour12=0,MIN(DATE(YEAR(_debamort12),MONTH(_debamort12)+(G135-1)*_imois12,_jour12),DATE(YEAR(_debamort12),MONTH(_debamort12)+1+(G135-1)*_imois12,0)),DATE(YEAR(_debamort12),MONTH(_debamort12),_jour12+(G135-1)*_ijour12)))</f>
        <v>43709</v>
      </c>
      <c r="K135" s="156">
        <f t="shared" ref="K135:K198" si="30">K134-M134</f>
        <v>142452.19999999998</v>
      </c>
      <c r="L135" s="153">
        <f>IF(G135&lt;=_noeechmaxi1,ROUND(K135*'Données Projet 1 (2)'!A144,_nbdeci1t),0)</f>
        <v>220.8</v>
      </c>
      <c r="M135" s="152">
        <f>IF(OR(G135&lt;=_differe1t,G135&gt;_noeechmaxi1),IF(_difftotal1t,-L135,0),IF(G135&gt;=_noechremb1t,K135,IF('Données Projet 1 (2)'!B144-(L135*_echfixe1t)&gt;K135-2,K135,'Données Projet 1 (2)'!B144-(L135*_echfixe1t))))+B135</f>
        <v>386.11999999999995</v>
      </c>
      <c r="N135" s="154">
        <f t="shared" ref="N135:N198" si="31">IF(OR(K135=0,G135&gt;_noeechmaxi1),0,ROUND(_fraisf12+_fraisv12*K135,_nbdeci1t))+E135</f>
        <v>15.6</v>
      </c>
      <c r="O135" s="157">
        <f t="shared" si="25"/>
        <v>622.52</v>
      </c>
      <c r="Q135" s="3"/>
      <c r="R135" s="164"/>
      <c r="S135" s="22"/>
      <c r="T135" s="21"/>
      <c r="U135" s="23"/>
      <c r="V135" s="10"/>
      <c r="W135" s="5">
        <f t="shared" ref="W135:W198" si="32">IF(AA135=0,"",W134+1)</f>
        <v>129</v>
      </c>
      <c r="X135" s="7">
        <f t="shared" ref="X135:X198" si="33">IF(AA135&gt;0,_nbech1234+_differe1t1t+1-W135,"")</f>
        <v>16</v>
      </c>
      <c r="Y135" s="8">
        <f t="shared" si="26"/>
        <v>2019</v>
      </c>
      <c r="Z135" s="31">
        <f>IF(AA135=0,"",IF(_ijour122=0,MIN(DATE(YEAR(_debamort122),MONTH(_debamort122)+(W135-1)*_imois122,__jou123),DATE(YEAR(_debamort122),MONTH(_debamort122)+1+(W135-1)*_imois122,0)),DATE(YEAR(_debamort122),MONTH(_debamort122),__jou123+(W135-1)*_ijour122)))</f>
        <v>43709</v>
      </c>
      <c r="AA135" s="156">
        <f t="shared" ref="AA135:AA198" si="34">AA134-AC134</f>
        <v>240000</v>
      </c>
      <c r="AB135" s="153">
        <f>IF(W135&lt;=_noechmaxi1t,ROUND(AA135*'Données Projet 1 (2)'!H144,_nbdeci1t1),0)</f>
        <v>200</v>
      </c>
      <c r="AC135" s="152">
        <f>IF(OR(W135&lt;=_differe1t1t,W135&gt;_noechmaxi1t),IF(_difftotal1t1t,-AB135,0),IF(W135&gt;=_noechremb12,AA135,IF('Données Projet 1 (2)'!I144-(AB135*_echfixe12)&gt;AA135-2,AA135,'Données Projet 1 (2)'!I144-(AB135*_echfixe12))))+R135</f>
        <v>0</v>
      </c>
      <c r="AD135" s="154">
        <f t="shared" ref="AD135:AD198" si="35">IF(OR(AA135=0,W135&gt;_noechmaxi1t),0,ROUND(_fraisf123+_fraisv123*AA135,_nbdeci1t1))+U135</f>
        <v>20</v>
      </c>
      <c r="AE135" s="157">
        <f t="shared" si="27"/>
        <v>220</v>
      </c>
    </row>
    <row r="136" spans="1:31" x14ac:dyDescent="0.2">
      <c r="A136" s="3"/>
      <c r="B136" s="164"/>
      <c r="C136" s="22"/>
      <c r="D136" s="21"/>
      <c r="E136" s="23"/>
      <c r="F136" s="10"/>
      <c r="G136" s="5">
        <f t="shared" si="28"/>
        <v>130</v>
      </c>
      <c r="H136" s="7">
        <f t="shared" si="29"/>
        <v>291</v>
      </c>
      <c r="I136" s="8">
        <f t="shared" si="24"/>
        <v>2019</v>
      </c>
      <c r="J136" s="31">
        <f>IF(K136=0,"",IF(_ijour12=0,MIN(DATE(YEAR(_debamort12),MONTH(_debamort12)+_MoisD+(G136-1)*_imois12,_jour212),DATE(YEAR(_debamort12),MONTH(_debamort12)+_MoisD+1+(G136-1)*_imois12,0)),DATE(YEAR(_debamort12),MONTH(_debamort12),_jour12+(G136-1)*_ijour12)))</f>
        <v>43739</v>
      </c>
      <c r="K136" s="156">
        <f t="shared" si="30"/>
        <v>142066.07999999999</v>
      </c>
      <c r="L136" s="153">
        <f>IF(G136&lt;=_noeechmaxi1,ROUND(K136*'Données Projet 1 (2)'!A145,_nbdeci1t),0)</f>
        <v>220.2</v>
      </c>
      <c r="M136" s="152">
        <f>IF(OR(G136&lt;=_differe1t,G136&gt;_noeechmaxi1),IF(_difftotal1t,-L136,0),IF(G136&gt;=_noechremb1t,K136,IF('Données Projet 1 (2)'!B145-(L136*_echfixe1t)&gt;K136-2,K136,'Données Projet 1 (2)'!B145-(L136*_echfixe1t))))+B136</f>
        <v>386.71999999999997</v>
      </c>
      <c r="N136" s="154">
        <f t="shared" si="31"/>
        <v>15.6</v>
      </c>
      <c r="O136" s="157">
        <f t="shared" si="25"/>
        <v>622.52</v>
      </c>
      <c r="Q136" s="3"/>
      <c r="R136" s="164"/>
      <c r="S136" s="22"/>
      <c r="T136" s="21"/>
      <c r="U136" s="23"/>
      <c r="V136" s="10"/>
      <c r="W136" s="5">
        <f t="shared" si="32"/>
        <v>130</v>
      </c>
      <c r="X136" s="7">
        <f t="shared" si="33"/>
        <v>15</v>
      </c>
      <c r="Y136" s="8">
        <f t="shared" si="26"/>
        <v>2019</v>
      </c>
      <c r="Z136" s="31">
        <f>IF(AA136=0,"",IF(_ijour122=0,MIN(DATE(YEAR(_debamort122),MONTH(_debamort122)+_moisd12+(W136-1)*_imois122,__jou21),DATE(YEAR(_debamort122),MONTH(_debamort122)+_moisd12+1+(W136-1)*_imois122,0)),DATE(YEAR(_debamort122),MONTH(_debamort122),__jou123+(W136-1)*_ijour122)))</f>
        <v>43739</v>
      </c>
      <c r="AA136" s="156">
        <f t="shared" si="34"/>
        <v>240000</v>
      </c>
      <c r="AB136" s="153">
        <f>IF(W136&lt;=_noechmaxi1t,ROUND(AA136*'Données Projet 1 (2)'!H145,_nbdeci1t1),0)</f>
        <v>200</v>
      </c>
      <c r="AC136" s="152">
        <f>IF(OR(W136&lt;=_differe1t1t,W136&gt;_noechmaxi1t),IF(_difftotal1t1t,-AB136,0),IF(W136&gt;=_noechremb12,AA136,IF('Données Projet 1 (2)'!I145-(AB136*_echfixe12)&gt;AA136-2,AA136,'Données Projet 1 (2)'!I145-(AB136*_echfixe12))))+R136</f>
        <v>0</v>
      </c>
      <c r="AD136" s="154">
        <f t="shared" si="35"/>
        <v>20</v>
      </c>
      <c r="AE136" s="157">
        <f t="shared" si="27"/>
        <v>220</v>
      </c>
    </row>
    <row r="137" spans="1:31" x14ac:dyDescent="0.2">
      <c r="A137" s="3"/>
      <c r="B137" s="164"/>
      <c r="C137" s="22"/>
      <c r="D137" s="21"/>
      <c r="E137" s="23"/>
      <c r="F137" s="10"/>
      <c r="G137" s="5">
        <f t="shared" si="28"/>
        <v>131</v>
      </c>
      <c r="H137" s="7">
        <f t="shared" si="29"/>
        <v>290</v>
      </c>
      <c r="I137" s="8">
        <f t="shared" si="24"/>
        <v>2019</v>
      </c>
      <c r="J137" s="31">
        <f>IF(K137=0,"",IF(_ijour12=0,MIN(DATE(YEAR(_debamort12),MONTH(_debamort12)+(G137-1)*_imois12,_jour12),DATE(YEAR(_debamort12),MONTH(_debamort12)+1+(G137-1)*_imois12,0)),DATE(YEAR(_debamort12),MONTH(_debamort12),_jour12+(G137-1)*_ijour12)))</f>
        <v>43770</v>
      </c>
      <c r="K137" s="156">
        <f t="shared" si="30"/>
        <v>141679.35999999999</v>
      </c>
      <c r="L137" s="153">
        <f>IF(G137&lt;=_noeechmaxi1,ROUND(K137*'Données Projet 1 (2)'!A146,_nbdeci1t),0)</f>
        <v>219.6</v>
      </c>
      <c r="M137" s="152">
        <f>IF(OR(G137&lt;=_differe1t,G137&gt;_noeechmaxi1),IF(_difftotal1t,-L137,0),IF(G137&gt;=_noechremb1t,K137,IF('Données Projet 1 (2)'!B146-(L137*_echfixe1t)&gt;K137-2,K137,'Données Projet 1 (2)'!B146-(L137*_echfixe1t))))+B137</f>
        <v>387.31999999999994</v>
      </c>
      <c r="N137" s="154">
        <f t="shared" si="31"/>
        <v>15.6</v>
      </c>
      <c r="O137" s="157">
        <f t="shared" si="25"/>
        <v>622.52</v>
      </c>
      <c r="Q137" s="3"/>
      <c r="R137" s="164"/>
      <c r="S137" s="22"/>
      <c r="T137" s="21"/>
      <c r="U137" s="23"/>
      <c r="V137" s="10"/>
      <c r="W137" s="5">
        <f t="shared" si="32"/>
        <v>131</v>
      </c>
      <c r="X137" s="7">
        <f t="shared" si="33"/>
        <v>14</v>
      </c>
      <c r="Y137" s="8">
        <f t="shared" si="26"/>
        <v>2019</v>
      </c>
      <c r="Z137" s="31">
        <f>IF(AA137=0,"",IF(_ijour122=0,MIN(DATE(YEAR(_debamort122),MONTH(_debamort122)+(W137-1)*_imois122,__jou123),DATE(YEAR(_debamort122),MONTH(_debamort122)+1+(W137-1)*_imois122,0)),DATE(YEAR(_debamort122),MONTH(_debamort122),__jou123+(W137-1)*_ijour122)))</f>
        <v>43770</v>
      </c>
      <c r="AA137" s="156">
        <f t="shared" si="34"/>
        <v>240000</v>
      </c>
      <c r="AB137" s="153">
        <f>IF(W137&lt;=_noechmaxi1t,ROUND(AA137*'Données Projet 1 (2)'!H146,_nbdeci1t1),0)</f>
        <v>200</v>
      </c>
      <c r="AC137" s="152">
        <f>IF(OR(W137&lt;=_differe1t1t,W137&gt;_noechmaxi1t),IF(_difftotal1t1t,-AB137,0),IF(W137&gt;=_noechremb12,AA137,IF('Données Projet 1 (2)'!I146-(AB137*_echfixe12)&gt;AA137-2,AA137,'Données Projet 1 (2)'!I146-(AB137*_echfixe12))))+R137</f>
        <v>0</v>
      </c>
      <c r="AD137" s="154">
        <f t="shared" si="35"/>
        <v>20</v>
      </c>
      <c r="AE137" s="157">
        <f t="shared" si="27"/>
        <v>220</v>
      </c>
    </row>
    <row r="138" spans="1:31" x14ac:dyDescent="0.2">
      <c r="A138" s="3"/>
      <c r="B138" s="164"/>
      <c r="C138" s="22"/>
      <c r="D138" s="21"/>
      <c r="E138" s="23"/>
      <c r="F138" s="10"/>
      <c r="G138" s="5">
        <f t="shared" si="28"/>
        <v>132</v>
      </c>
      <c r="H138" s="7">
        <f t="shared" si="29"/>
        <v>289</v>
      </c>
      <c r="I138" s="8">
        <f t="shared" si="24"/>
        <v>2019</v>
      </c>
      <c r="J138" s="31">
        <f>IF(K138=0,"",IF(_ijour12=0,MIN(DATE(YEAR(_debamort12),MONTH(_debamort12)+_MoisD+(G138-1)*_imois12,_jour212),DATE(YEAR(_debamort12),MONTH(_debamort12)+_MoisD+1+(G138-1)*_imois12,0)),DATE(YEAR(_debamort12),MONTH(_debamort12),_jour12+(G138-1)*_ijour12)))</f>
        <v>43800</v>
      </c>
      <c r="K138" s="156">
        <f t="shared" si="30"/>
        <v>141292.03999999998</v>
      </c>
      <c r="L138" s="153">
        <f>IF(G138&lt;=_noeechmaxi1,ROUND(K138*'Données Projet 1 (2)'!A147,_nbdeci1t),0)</f>
        <v>219</v>
      </c>
      <c r="M138" s="152">
        <f>IF(OR(G138&lt;=_differe1t,G138&gt;_noeechmaxi1),IF(_difftotal1t,-L138,0),IF(G138&gt;=_noechremb1t,K138,IF('Données Projet 1 (2)'!B147-(L138*_echfixe1t)&gt;K138-2,K138,'Données Projet 1 (2)'!B147-(L138*_echfixe1t))))+B138</f>
        <v>387.91999999999996</v>
      </c>
      <c r="N138" s="154">
        <f t="shared" si="31"/>
        <v>15.6</v>
      </c>
      <c r="O138" s="157">
        <f t="shared" si="25"/>
        <v>622.52</v>
      </c>
      <c r="Q138" s="3"/>
      <c r="R138" s="164"/>
      <c r="S138" s="22"/>
      <c r="T138" s="21"/>
      <c r="U138" s="23"/>
      <c r="V138" s="10"/>
      <c r="W138" s="5">
        <f t="shared" si="32"/>
        <v>132</v>
      </c>
      <c r="X138" s="7">
        <f t="shared" si="33"/>
        <v>13</v>
      </c>
      <c r="Y138" s="8">
        <f t="shared" si="26"/>
        <v>2019</v>
      </c>
      <c r="Z138" s="31">
        <f>IF(AA138=0,"",IF(_ijour122=0,MIN(DATE(YEAR(_debamort122),MONTH(_debamort122)+_moisd12+(W138-1)*_imois122,__jou21),DATE(YEAR(_debamort122),MONTH(_debamort122)+_moisd12+1+(W138-1)*_imois122,0)),DATE(YEAR(_debamort122),MONTH(_debamort122),__jou123+(W138-1)*_ijour122)))</f>
        <v>43800</v>
      </c>
      <c r="AA138" s="156">
        <f t="shared" si="34"/>
        <v>240000</v>
      </c>
      <c r="AB138" s="153">
        <f>IF(W138&lt;=_noechmaxi1t,ROUND(AA138*'Données Projet 1 (2)'!H147,_nbdeci1t1),0)</f>
        <v>200</v>
      </c>
      <c r="AC138" s="152">
        <f>IF(OR(W138&lt;=_differe1t1t,W138&gt;_noechmaxi1t),IF(_difftotal1t1t,-AB138,0),IF(W138&gt;=_noechremb12,AA138,IF('Données Projet 1 (2)'!I147-(AB138*_echfixe12)&gt;AA138-2,AA138,'Données Projet 1 (2)'!I147-(AB138*_echfixe12))))+R138</f>
        <v>0</v>
      </c>
      <c r="AD138" s="154">
        <f t="shared" si="35"/>
        <v>20</v>
      </c>
      <c r="AE138" s="157">
        <f t="shared" si="27"/>
        <v>220</v>
      </c>
    </row>
    <row r="139" spans="1:31" x14ac:dyDescent="0.2">
      <c r="A139" s="3"/>
      <c r="B139" s="164"/>
      <c r="C139" s="22"/>
      <c r="D139" s="21"/>
      <c r="E139" s="23"/>
      <c r="F139" s="10"/>
      <c r="G139" s="5">
        <f t="shared" si="28"/>
        <v>133</v>
      </c>
      <c r="H139" s="7">
        <f t="shared" si="29"/>
        <v>288</v>
      </c>
      <c r="I139" s="8">
        <f t="shared" si="24"/>
        <v>2020</v>
      </c>
      <c r="J139" s="31">
        <f>IF(K139=0,"",IF(_ijour12=0,MIN(DATE(YEAR(_debamort12),MONTH(_debamort12)+(G139-1)*_imois12,_jour12),DATE(YEAR(_debamort12),MONTH(_debamort12)+1+(G139-1)*_imois12,0)),DATE(YEAR(_debamort12),MONTH(_debamort12),_jour12+(G139-1)*_ijour12)))</f>
        <v>43831</v>
      </c>
      <c r="K139" s="156">
        <f t="shared" si="30"/>
        <v>140904.11999999997</v>
      </c>
      <c r="L139" s="153">
        <f>IF(G139&lt;=_noeechmaxi1,ROUND(K139*'Données Projet 1 (2)'!A148,_nbdeci1t),0)</f>
        <v>218.4</v>
      </c>
      <c r="M139" s="152">
        <f>IF(OR(G139&lt;=_differe1t,G139&gt;_noeechmaxi1),IF(_difftotal1t,-L139,0),IF(G139&gt;=_noechremb1t,K139,IF('Données Projet 1 (2)'!B148-(L139*_echfixe1t)&gt;K139-2,K139,'Données Projet 1 (2)'!B148-(L139*_echfixe1t))))+B139</f>
        <v>388.52</v>
      </c>
      <c r="N139" s="154">
        <f t="shared" si="31"/>
        <v>15.6</v>
      </c>
      <c r="O139" s="157">
        <f t="shared" si="25"/>
        <v>622.52</v>
      </c>
      <c r="Q139" s="3"/>
      <c r="R139" s="164"/>
      <c r="S139" s="22"/>
      <c r="T139" s="21"/>
      <c r="U139" s="23"/>
      <c r="V139" s="10"/>
      <c r="W139" s="5">
        <f t="shared" si="32"/>
        <v>133</v>
      </c>
      <c r="X139" s="7">
        <f t="shared" si="33"/>
        <v>12</v>
      </c>
      <c r="Y139" s="8">
        <f t="shared" si="26"/>
        <v>2020</v>
      </c>
      <c r="Z139" s="31">
        <f>IF(AA139=0,"",IF(_ijour122=0,MIN(DATE(YEAR(_debamort122),MONTH(_debamort122)+(W139-1)*_imois122,__jou123),DATE(YEAR(_debamort122),MONTH(_debamort122)+1+(W139-1)*_imois122,0)),DATE(YEAR(_debamort122),MONTH(_debamort122),__jou123+(W139-1)*_ijour122)))</f>
        <v>43831</v>
      </c>
      <c r="AA139" s="156">
        <f t="shared" si="34"/>
        <v>240000</v>
      </c>
      <c r="AB139" s="153">
        <f>IF(W139&lt;=_noechmaxi1t,ROUND(AA139*'Données Projet 1 (2)'!H148,_nbdeci1t1),0)</f>
        <v>200</v>
      </c>
      <c r="AC139" s="152">
        <f>IF(OR(W139&lt;=_differe1t1t,W139&gt;_noechmaxi1t),IF(_difftotal1t1t,-AB139,0),IF(W139&gt;=_noechremb12,AA139,IF('Données Projet 1 (2)'!I148-(AB139*_echfixe12)&gt;AA139-2,AA139,'Données Projet 1 (2)'!I148-(AB139*_echfixe12))))+R139</f>
        <v>0</v>
      </c>
      <c r="AD139" s="154">
        <f t="shared" si="35"/>
        <v>20</v>
      </c>
      <c r="AE139" s="157">
        <f t="shared" si="27"/>
        <v>220</v>
      </c>
    </row>
    <row r="140" spans="1:31" x14ac:dyDescent="0.2">
      <c r="A140" s="3"/>
      <c r="B140" s="164"/>
      <c r="C140" s="22"/>
      <c r="D140" s="21"/>
      <c r="E140" s="23"/>
      <c r="F140" s="10"/>
      <c r="G140" s="5">
        <f t="shared" si="28"/>
        <v>134</v>
      </c>
      <c r="H140" s="7">
        <f t="shared" si="29"/>
        <v>287</v>
      </c>
      <c r="I140" s="8">
        <f t="shared" si="24"/>
        <v>2020</v>
      </c>
      <c r="J140" s="31">
        <f>IF(K140=0,"",IF(_ijour12=0,MIN(DATE(YEAR(_debamort12),MONTH(_debamort12)+_MoisD+(G140-1)*_imois12,_jour212),DATE(YEAR(_debamort12),MONTH(_debamort12)+_MoisD+1+(G140-1)*_imois12,0)),DATE(YEAR(_debamort12),MONTH(_debamort12),_jour12+(G140-1)*_ijour12)))</f>
        <v>43862</v>
      </c>
      <c r="K140" s="156">
        <f t="shared" si="30"/>
        <v>140515.59999999998</v>
      </c>
      <c r="L140" s="153">
        <f>IF(G140&lt;=_noeechmaxi1,ROUND(K140*'Données Projet 1 (2)'!A149,_nbdeci1t),0)</f>
        <v>217.8</v>
      </c>
      <c r="M140" s="152">
        <f>IF(OR(G140&lt;=_differe1t,G140&gt;_noeechmaxi1),IF(_difftotal1t,-L140,0),IF(G140&gt;=_noechremb1t,K140,IF('Données Projet 1 (2)'!B149-(L140*_echfixe1t)&gt;K140-2,K140,'Données Projet 1 (2)'!B149-(L140*_echfixe1t))))+B140</f>
        <v>389.11999999999995</v>
      </c>
      <c r="N140" s="154">
        <f t="shared" si="31"/>
        <v>15.6</v>
      </c>
      <c r="O140" s="157">
        <f t="shared" si="25"/>
        <v>622.52</v>
      </c>
      <c r="Q140" s="3"/>
      <c r="R140" s="164"/>
      <c r="S140" s="22"/>
      <c r="T140" s="21"/>
      <c r="U140" s="23"/>
      <c r="V140" s="10"/>
      <c r="W140" s="5">
        <f t="shared" si="32"/>
        <v>134</v>
      </c>
      <c r="X140" s="7">
        <f t="shared" si="33"/>
        <v>11</v>
      </c>
      <c r="Y140" s="8">
        <f t="shared" si="26"/>
        <v>2020</v>
      </c>
      <c r="Z140" s="31">
        <f>IF(AA140=0,"",IF(_ijour122=0,MIN(DATE(YEAR(_debamort122),MONTH(_debamort122)+_moisd12+(W140-1)*_imois122,__jou21),DATE(YEAR(_debamort122),MONTH(_debamort122)+_moisd12+1+(W140-1)*_imois122,0)),DATE(YEAR(_debamort122),MONTH(_debamort122),__jou123+(W140-1)*_ijour122)))</f>
        <v>43862</v>
      </c>
      <c r="AA140" s="156">
        <f t="shared" si="34"/>
        <v>240000</v>
      </c>
      <c r="AB140" s="153">
        <f>IF(W140&lt;=_noechmaxi1t,ROUND(AA140*'Données Projet 1 (2)'!H149,_nbdeci1t1),0)</f>
        <v>200</v>
      </c>
      <c r="AC140" s="152">
        <f>IF(OR(W140&lt;=_differe1t1t,W140&gt;_noechmaxi1t),IF(_difftotal1t1t,-AB140,0),IF(W140&gt;=_noechremb12,AA140,IF('Données Projet 1 (2)'!I149-(AB140*_echfixe12)&gt;AA140-2,AA140,'Données Projet 1 (2)'!I149-(AB140*_echfixe12))))+R140</f>
        <v>0</v>
      </c>
      <c r="AD140" s="154">
        <f t="shared" si="35"/>
        <v>20</v>
      </c>
      <c r="AE140" s="157">
        <f t="shared" si="27"/>
        <v>220</v>
      </c>
    </row>
    <row r="141" spans="1:31" x14ac:dyDescent="0.2">
      <c r="A141" s="3"/>
      <c r="B141" s="164"/>
      <c r="C141" s="22"/>
      <c r="D141" s="21"/>
      <c r="E141" s="23"/>
      <c r="F141" s="10"/>
      <c r="G141" s="5">
        <f t="shared" si="28"/>
        <v>135</v>
      </c>
      <c r="H141" s="7">
        <f t="shared" si="29"/>
        <v>286</v>
      </c>
      <c r="I141" s="8">
        <f t="shared" si="24"/>
        <v>2020</v>
      </c>
      <c r="J141" s="31">
        <f>IF(K141=0,"",IF(_ijour12=0,MIN(DATE(YEAR(_debamort12),MONTH(_debamort12)+(G141-1)*_imois12,_jour12),DATE(YEAR(_debamort12),MONTH(_debamort12)+1+(G141-1)*_imois12,0)),DATE(YEAR(_debamort12),MONTH(_debamort12),_jour12+(G141-1)*_ijour12)))</f>
        <v>43891</v>
      </c>
      <c r="K141" s="156">
        <f t="shared" si="30"/>
        <v>140126.47999999998</v>
      </c>
      <c r="L141" s="153">
        <f>IF(G141&lt;=_noeechmaxi1,ROUND(K141*'Données Projet 1 (2)'!A150,_nbdeci1t),0)</f>
        <v>217.2</v>
      </c>
      <c r="M141" s="152">
        <f>IF(OR(G141&lt;=_differe1t,G141&gt;_noeechmaxi1),IF(_difftotal1t,-L141,0),IF(G141&gt;=_noechremb1t,K141,IF('Données Projet 1 (2)'!B150-(L141*_echfixe1t)&gt;K141-2,K141,'Données Projet 1 (2)'!B150-(L141*_echfixe1t))))+B141</f>
        <v>389.71999999999997</v>
      </c>
      <c r="N141" s="154">
        <f t="shared" si="31"/>
        <v>15.6</v>
      </c>
      <c r="O141" s="157">
        <f t="shared" si="25"/>
        <v>622.52</v>
      </c>
      <c r="Q141" s="3"/>
      <c r="R141" s="164"/>
      <c r="S141" s="22"/>
      <c r="T141" s="21"/>
      <c r="U141" s="23"/>
      <c r="V141" s="10"/>
      <c r="W141" s="5">
        <f t="shared" si="32"/>
        <v>135</v>
      </c>
      <c r="X141" s="7">
        <f t="shared" si="33"/>
        <v>10</v>
      </c>
      <c r="Y141" s="8">
        <f t="shared" si="26"/>
        <v>2020</v>
      </c>
      <c r="Z141" s="31">
        <f>IF(AA141=0,"",IF(_ijour122=0,MIN(DATE(YEAR(_debamort122),MONTH(_debamort122)+(W141-1)*_imois122,__jou123),DATE(YEAR(_debamort122),MONTH(_debamort122)+1+(W141-1)*_imois122,0)),DATE(YEAR(_debamort122),MONTH(_debamort122),__jou123+(W141-1)*_ijour122)))</f>
        <v>43891</v>
      </c>
      <c r="AA141" s="156">
        <f t="shared" si="34"/>
        <v>240000</v>
      </c>
      <c r="AB141" s="153">
        <f>IF(W141&lt;=_noechmaxi1t,ROUND(AA141*'Données Projet 1 (2)'!H150,_nbdeci1t1),0)</f>
        <v>200</v>
      </c>
      <c r="AC141" s="152">
        <f>IF(OR(W141&lt;=_differe1t1t,W141&gt;_noechmaxi1t),IF(_difftotal1t1t,-AB141,0),IF(W141&gt;=_noechremb12,AA141,IF('Données Projet 1 (2)'!I150-(AB141*_echfixe12)&gt;AA141-2,AA141,'Données Projet 1 (2)'!I150-(AB141*_echfixe12))))+R141</f>
        <v>0</v>
      </c>
      <c r="AD141" s="154">
        <f t="shared" si="35"/>
        <v>20</v>
      </c>
      <c r="AE141" s="157">
        <f t="shared" si="27"/>
        <v>220</v>
      </c>
    </row>
    <row r="142" spans="1:31" x14ac:dyDescent="0.2">
      <c r="A142" s="3"/>
      <c r="B142" s="164"/>
      <c r="C142" s="22"/>
      <c r="D142" s="21"/>
      <c r="E142" s="23"/>
      <c r="F142" s="10"/>
      <c r="G142" s="5">
        <f t="shared" si="28"/>
        <v>136</v>
      </c>
      <c r="H142" s="7">
        <f t="shared" si="29"/>
        <v>285</v>
      </c>
      <c r="I142" s="8">
        <f t="shared" si="24"/>
        <v>2020</v>
      </c>
      <c r="J142" s="31">
        <f>IF(K142=0,"",IF(_ijour12=0,MIN(DATE(YEAR(_debamort12),MONTH(_debamort12)+_MoisD+(G142-1)*_imois12,_jour212),DATE(YEAR(_debamort12),MONTH(_debamort12)+_MoisD+1+(G142-1)*_imois12,0)),DATE(YEAR(_debamort12),MONTH(_debamort12),_jour12+(G142-1)*_ijour12)))</f>
        <v>43922</v>
      </c>
      <c r="K142" s="156">
        <f t="shared" si="30"/>
        <v>139736.75999999998</v>
      </c>
      <c r="L142" s="153">
        <f>IF(G142&lt;=_noeechmaxi1,ROUND(K142*'Données Projet 1 (2)'!A151,_nbdeci1t),0)</f>
        <v>216.59</v>
      </c>
      <c r="M142" s="152">
        <f>IF(OR(G142&lt;=_differe1t,G142&gt;_noeechmaxi1),IF(_difftotal1t,-L142,0),IF(G142&gt;=_noechremb1t,K142,IF('Données Projet 1 (2)'!B151-(L142*_echfixe1t)&gt;K142-2,K142,'Données Projet 1 (2)'!B151-(L142*_echfixe1t))))+B142</f>
        <v>390.32999999999993</v>
      </c>
      <c r="N142" s="154">
        <f t="shared" si="31"/>
        <v>15.6</v>
      </c>
      <c r="O142" s="157">
        <f t="shared" si="25"/>
        <v>622.52</v>
      </c>
      <c r="Q142" s="3"/>
      <c r="R142" s="164"/>
      <c r="S142" s="22"/>
      <c r="T142" s="21"/>
      <c r="U142" s="23"/>
      <c r="V142" s="10"/>
      <c r="W142" s="5">
        <f t="shared" si="32"/>
        <v>136</v>
      </c>
      <c r="X142" s="7">
        <f t="shared" si="33"/>
        <v>9</v>
      </c>
      <c r="Y142" s="8">
        <f t="shared" si="26"/>
        <v>2020</v>
      </c>
      <c r="Z142" s="31">
        <f>IF(AA142=0,"",IF(_ijour122=0,MIN(DATE(YEAR(_debamort122),MONTH(_debamort122)+_moisd12+(W142-1)*_imois122,__jou21),DATE(YEAR(_debamort122),MONTH(_debamort122)+_moisd12+1+(W142-1)*_imois122,0)),DATE(YEAR(_debamort122),MONTH(_debamort122),__jou123+(W142-1)*_ijour122)))</f>
        <v>43922</v>
      </c>
      <c r="AA142" s="156">
        <f t="shared" si="34"/>
        <v>240000</v>
      </c>
      <c r="AB142" s="153">
        <f>IF(W142&lt;=_noechmaxi1t,ROUND(AA142*'Données Projet 1 (2)'!H151,_nbdeci1t1),0)</f>
        <v>200</v>
      </c>
      <c r="AC142" s="152">
        <f>IF(OR(W142&lt;=_differe1t1t,W142&gt;_noechmaxi1t),IF(_difftotal1t1t,-AB142,0),IF(W142&gt;=_noechremb12,AA142,IF('Données Projet 1 (2)'!I151-(AB142*_echfixe12)&gt;AA142-2,AA142,'Données Projet 1 (2)'!I151-(AB142*_echfixe12))))+R142</f>
        <v>0</v>
      </c>
      <c r="AD142" s="154">
        <f t="shared" si="35"/>
        <v>20</v>
      </c>
      <c r="AE142" s="157">
        <f t="shared" si="27"/>
        <v>220</v>
      </c>
    </row>
    <row r="143" spans="1:31" x14ac:dyDescent="0.2">
      <c r="A143" s="3"/>
      <c r="B143" s="164"/>
      <c r="C143" s="22"/>
      <c r="D143" s="21"/>
      <c r="E143" s="23"/>
      <c r="F143" s="10"/>
      <c r="G143" s="5">
        <f t="shared" si="28"/>
        <v>137</v>
      </c>
      <c r="H143" s="7">
        <f t="shared" si="29"/>
        <v>284</v>
      </c>
      <c r="I143" s="8">
        <f t="shared" si="24"/>
        <v>2020</v>
      </c>
      <c r="J143" s="31">
        <f>IF(K143=0,"",IF(_ijour12=0,MIN(DATE(YEAR(_debamort12),MONTH(_debamort12)+(G143-1)*_imois12,_jour12),DATE(YEAR(_debamort12),MONTH(_debamort12)+1+(G143-1)*_imois12,0)),DATE(YEAR(_debamort12),MONTH(_debamort12),_jour12+(G143-1)*_ijour12)))</f>
        <v>43952</v>
      </c>
      <c r="K143" s="156">
        <f t="shared" si="30"/>
        <v>139346.43</v>
      </c>
      <c r="L143" s="153">
        <f>IF(G143&lt;=_noeechmaxi1,ROUND(K143*'Données Projet 1 (2)'!A152,_nbdeci1t),0)</f>
        <v>215.99</v>
      </c>
      <c r="M143" s="152">
        <f>IF(OR(G143&lt;=_differe1t,G143&gt;_noeechmaxi1),IF(_difftotal1t,-L143,0),IF(G143&gt;=_noechremb1t,K143,IF('Données Projet 1 (2)'!B152-(L143*_echfixe1t)&gt;K143-2,K143,'Données Projet 1 (2)'!B152-(L143*_echfixe1t))))+B143</f>
        <v>390.92999999999995</v>
      </c>
      <c r="N143" s="154">
        <f t="shared" si="31"/>
        <v>15.6</v>
      </c>
      <c r="O143" s="157">
        <f t="shared" si="25"/>
        <v>622.52</v>
      </c>
      <c r="Q143" s="3"/>
      <c r="R143" s="164"/>
      <c r="S143" s="22"/>
      <c r="T143" s="21"/>
      <c r="U143" s="23"/>
      <c r="V143" s="10"/>
      <c r="W143" s="5">
        <f t="shared" si="32"/>
        <v>137</v>
      </c>
      <c r="X143" s="7">
        <f t="shared" si="33"/>
        <v>8</v>
      </c>
      <c r="Y143" s="8">
        <f t="shared" si="26"/>
        <v>2020</v>
      </c>
      <c r="Z143" s="31">
        <f>IF(AA143=0,"",IF(_ijour122=0,MIN(DATE(YEAR(_debamort122),MONTH(_debamort122)+(W143-1)*_imois122,__jou123),DATE(YEAR(_debamort122),MONTH(_debamort122)+1+(W143-1)*_imois122,0)),DATE(YEAR(_debamort122),MONTH(_debamort122),__jou123+(W143-1)*_ijour122)))</f>
        <v>43952</v>
      </c>
      <c r="AA143" s="156">
        <f t="shared" si="34"/>
        <v>240000</v>
      </c>
      <c r="AB143" s="153">
        <f>IF(W143&lt;=_noechmaxi1t,ROUND(AA143*'Données Projet 1 (2)'!H152,_nbdeci1t1),0)</f>
        <v>200</v>
      </c>
      <c r="AC143" s="152">
        <f>IF(OR(W143&lt;=_differe1t1t,W143&gt;_noechmaxi1t),IF(_difftotal1t1t,-AB143,0),IF(W143&gt;=_noechremb12,AA143,IF('Données Projet 1 (2)'!I152-(AB143*_echfixe12)&gt;AA143-2,AA143,'Données Projet 1 (2)'!I152-(AB143*_echfixe12))))+R143</f>
        <v>0</v>
      </c>
      <c r="AD143" s="154">
        <f t="shared" si="35"/>
        <v>20</v>
      </c>
      <c r="AE143" s="157">
        <f t="shared" si="27"/>
        <v>220</v>
      </c>
    </row>
    <row r="144" spans="1:31" x14ac:dyDescent="0.2">
      <c r="A144" s="3"/>
      <c r="B144" s="164"/>
      <c r="C144" s="22"/>
      <c r="D144" s="21"/>
      <c r="E144" s="23"/>
      <c r="F144" s="10"/>
      <c r="G144" s="5">
        <f t="shared" si="28"/>
        <v>138</v>
      </c>
      <c r="H144" s="7">
        <f t="shared" si="29"/>
        <v>283</v>
      </c>
      <c r="I144" s="8">
        <f t="shared" si="24"/>
        <v>2020</v>
      </c>
      <c r="J144" s="31">
        <f>IF(K144=0,"",IF(_ijour12=0,MIN(DATE(YEAR(_debamort12),MONTH(_debamort12)+_MoisD+(G144-1)*_imois12,_jour212),DATE(YEAR(_debamort12),MONTH(_debamort12)+_MoisD+1+(G144-1)*_imois12,0)),DATE(YEAR(_debamort12),MONTH(_debamort12),_jour12+(G144-1)*_ijour12)))</f>
        <v>43983</v>
      </c>
      <c r="K144" s="156">
        <f t="shared" si="30"/>
        <v>138955.5</v>
      </c>
      <c r="L144" s="153">
        <f>IF(G144&lt;=_noeechmaxi1,ROUND(K144*'Données Projet 1 (2)'!A153,_nbdeci1t),0)</f>
        <v>215.38</v>
      </c>
      <c r="M144" s="152">
        <f>IF(OR(G144&lt;=_differe1t,G144&gt;_noeechmaxi1),IF(_difftotal1t,-L144,0),IF(G144&gt;=_noechremb1t,K144,IF('Données Projet 1 (2)'!B153-(L144*_echfixe1t)&gt;K144-2,K144,'Données Projet 1 (2)'!B153-(L144*_echfixe1t))))+B144</f>
        <v>391.53999999999996</v>
      </c>
      <c r="N144" s="154">
        <f t="shared" si="31"/>
        <v>15.6</v>
      </c>
      <c r="O144" s="157">
        <f t="shared" si="25"/>
        <v>622.52</v>
      </c>
      <c r="Q144" s="3"/>
      <c r="R144" s="164"/>
      <c r="S144" s="22"/>
      <c r="T144" s="21"/>
      <c r="U144" s="23"/>
      <c r="V144" s="10"/>
      <c r="W144" s="5">
        <f t="shared" si="32"/>
        <v>138</v>
      </c>
      <c r="X144" s="7">
        <f t="shared" si="33"/>
        <v>7</v>
      </c>
      <c r="Y144" s="8">
        <f t="shared" si="26"/>
        <v>2020</v>
      </c>
      <c r="Z144" s="31">
        <f>IF(AA144=0,"",IF(_ijour122=0,MIN(DATE(YEAR(_debamort122),MONTH(_debamort122)+_moisd12+(W144-1)*_imois122,__jou21),DATE(YEAR(_debamort122),MONTH(_debamort122)+_moisd12+1+(W144-1)*_imois122,0)),DATE(YEAR(_debamort122),MONTH(_debamort122),__jou123+(W144-1)*_ijour122)))</f>
        <v>43983</v>
      </c>
      <c r="AA144" s="156">
        <f t="shared" si="34"/>
        <v>240000</v>
      </c>
      <c r="AB144" s="153">
        <f>IF(W144&lt;=_noechmaxi1t,ROUND(AA144*'Données Projet 1 (2)'!H153,_nbdeci1t1),0)</f>
        <v>200</v>
      </c>
      <c r="AC144" s="152">
        <f>IF(OR(W144&lt;=_differe1t1t,W144&gt;_noechmaxi1t),IF(_difftotal1t1t,-AB144,0),IF(W144&gt;=_noechremb12,AA144,IF('Données Projet 1 (2)'!I153-(AB144*_echfixe12)&gt;AA144-2,AA144,'Données Projet 1 (2)'!I153-(AB144*_echfixe12))))+R144</f>
        <v>0</v>
      </c>
      <c r="AD144" s="154">
        <f t="shared" si="35"/>
        <v>20</v>
      </c>
      <c r="AE144" s="157">
        <f t="shared" si="27"/>
        <v>220</v>
      </c>
    </row>
    <row r="145" spans="1:31" x14ac:dyDescent="0.2">
      <c r="A145" s="3"/>
      <c r="B145" s="164"/>
      <c r="C145" s="22"/>
      <c r="D145" s="21"/>
      <c r="E145" s="23"/>
      <c r="F145" s="10"/>
      <c r="G145" s="5">
        <f t="shared" si="28"/>
        <v>139</v>
      </c>
      <c r="H145" s="7">
        <f t="shared" si="29"/>
        <v>282</v>
      </c>
      <c r="I145" s="8">
        <f t="shared" si="24"/>
        <v>2020</v>
      </c>
      <c r="J145" s="31">
        <f>IF(K145=0,"",IF(_ijour12=0,MIN(DATE(YEAR(_debamort12),MONTH(_debamort12)+(G145-1)*_imois12,_jour12),DATE(YEAR(_debamort12),MONTH(_debamort12)+1+(G145-1)*_imois12,0)),DATE(YEAR(_debamort12),MONTH(_debamort12),_jour12+(G145-1)*_ijour12)))</f>
        <v>44013</v>
      </c>
      <c r="K145" s="156">
        <f t="shared" si="30"/>
        <v>138563.96</v>
      </c>
      <c r="L145" s="153">
        <f>IF(G145&lt;=_noeechmaxi1,ROUND(K145*'Données Projet 1 (2)'!A154,_nbdeci1t),0)</f>
        <v>214.77</v>
      </c>
      <c r="M145" s="152">
        <f>IF(OR(G145&lt;=_differe1t,G145&gt;_noeechmaxi1),IF(_difftotal1t,-L145,0),IF(G145&gt;=_noechremb1t,K145,IF('Données Projet 1 (2)'!B154-(L145*_echfixe1t)&gt;K145-2,K145,'Données Projet 1 (2)'!B154-(L145*_echfixe1t))))+B145</f>
        <v>392.15</v>
      </c>
      <c r="N145" s="154">
        <f t="shared" si="31"/>
        <v>15.6</v>
      </c>
      <c r="O145" s="157">
        <f t="shared" si="25"/>
        <v>622.52</v>
      </c>
      <c r="Q145" s="3"/>
      <c r="R145" s="164"/>
      <c r="S145" s="22"/>
      <c r="T145" s="21"/>
      <c r="U145" s="23"/>
      <c r="V145" s="10"/>
      <c r="W145" s="5">
        <f t="shared" si="32"/>
        <v>139</v>
      </c>
      <c r="X145" s="7">
        <f t="shared" si="33"/>
        <v>6</v>
      </c>
      <c r="Y145" s="8">
        <f t="shared" si="26"/>
        <v>2020</v>
      </c>
      <c r="Z145" s="31">
        <f>IF(AA145=0,"",IF(_ijour122=0,MIN(DATE(YEAR(_debamort122),MONTH(_debamort122)+(W145-1)*_imois122,__jou123),DATE(YEAR(_debamort122),MONTH(_debamort122)+1+(W145-1)*_imois122,0)),DATE(YEAR(_debamort122),MONTH(_debamort122),__jou123+(W145-1)*_ijour122)))</f>
        <v>44013</v>
      </c>
      <c r="AA145" s="156">
        <f t="shared" si="34"/>
        <v>240000</v>
      </c>
      <c r="AB145" s="153">
        <f>IF(W145&lt;=_noechmaxi1t,ROUND(AA145*'Données Projet 1 (2)'!H154,_nbdeci1t1),0)</f>
        <v>200</v>
      </c>
      <c r="AC145" s="152">
        <f>IF(OR(W145&lt;=_differe1t1t,W145&gt;_noechmaxi1t),IF(_difftotal1t1t,-AB145,0),IF(W145&gt;=_noechremb12,AA145,IF('Données Projet 1 (2)'!I154-(AB145*_echfixe12)&gt;AA145-2,AA145,'Données Projet 1 (2)'!I154-(AB145*_echfixe12))))+R145</f>
        <v>0</v>
      </c>
      <c r="AD145" s="154">
        <f t="shared" si="35"/>
        <v>20</v>
      </c>
      <c r="AE145" s="157">
        <f t="shared" si="27"/>
        <v>220</v>
      </c>
    </row>
    <row r="146" spans="1:31" x14ac:dyDescent="0.2">
      <c r="A146" s="3"/>
      <c r="B146" s="164"/>
      <c r="C146" s="22"/>
      <c r="D146" s="21"/>
      <c r="E146" s="23"/>
      <c r="F146" s="10"/>
      <c r="G146" s="5">
        <f t="shared" si="28"/>
        <v>140</v>
      </c>
      <c r="H146" s="7">
        <f t="shared" si="29"/>
        <v>281</v>
      </c>
      <c r="I146" s="8">
        <f t="shared" si="24"/>
        <v>2020</v>
      </c>
      <c r="J146" s="31">
        <f>IF(K146=0,"",IF(_ijour12=0,MIN(DATE(YEAR(_debamort12),MONTH(_debamort12)+_MoisD+(G146-1)*_imois12,_jour212),DATE(YEAR(_debamort12),MONTH(_debamort12)+_MoisD+1+(G146-1)*_imois12,0)),DATE(YEAR(_debamort12),MONTH(_debamort12),_jour12+(G146-1)*_ijour12)))</f>
        <v>44044</v>
      </c>
      <c r="K146" s="156">
        <f t="shared" si="30"/>
        <v>138171.81</v>
      </c>
      <c r="L146" s="153">
        <f>IF(G146&lt;=_noeechmaxi1,ROUND(K146*'Données Projet 1 (2)'!A155,_nbdeci1t),0)</f>
        <v>214.17</v>
      </c>
      <c r="M146" s="152">
        <f>IF(OR(G146&lt;=_differe1t,G146&gt;_noeechmaxi1),IF(_difftotal1t,-L146,0),IF(G146&gt;=_noechremb1t,K146,IF('Données Projet 1 (2)'!B155-(L146*_echfixe1t)&gt;K146-2,K146,'Données Projet 1 (2)'!B155-(L146*_echfixe1t))))+B146</f>
        <v>392.75</v>
      </c>
      <c r="N146" s="154">
        <f t="shared" si="31"/>
        <v>15.6</v>
      </c>
      <c r="O146" s="157">
        <f t="shared" si="25"/>
        <v>622.52</v>
      </c>
      <c r="Q146" s="3"/>
      <c r="R146" s="164"/>
      <c r="S146" s="22"/>
      <c r="T146" s="21"/>
      <c r="U146" s="23"/>
      <c r="V146" s="10"/>
      <c r="W146" s="5">
        <f t="shared" si="32"/>
        <v>140</v>
      </c>
      <c r="X146" s="7">
        <f t="shared" si="33"/>
        <v>5</v>
      </c>
      <c r="Y146" s="8">
        <f t="shared" si="26"/>
        <v>2020</v>
      </c>
      <c r="Z146" s="31">
        <f>IF(AA146=0,"",IF(_ijour122=0,MIN(DATE(YEAR(_debamort122),MONTH(_debamort122)+_moisd12+(W146-1)*_imois122,__jou21),DATE(YEAR(_debamort122),MONTH(_debamort122)+_moisd12+1+(W146-1)*_imois122,0)),DATE(YEAR(_debamort122),MONTH(_debamort122),__jou123+(W146-1)*_ijour122)))</f>
        <v>44044</v>
      </c>
      <c r="AA146" s="156">
        <f t="shared" si="34"/>
        <v>240000</v>
      </c>
      <c r="AB146" s="153">
        <f>IF(W146&lt;=_noechmaxi1t,ROUND(AA146*'Données Projet 1 (2)'!H155,_nbdeci1t1),0)</f>
        <v>200</v>
      </c>
      <c r="AC146" s="152">
        <f>IF(OR(W146&lt;=_differe1t1t,W146&gt;_noechmaxi1t),IF(_difftotal1t1t,-AB146,0),IF(W146&gt;=_noechremb12,AA146,IF('Données Projet 1 (2)'!I155-(AB146*_echfixe12)&gt;AA146-2,AA146,'Données Projet 1 (2)'!I155-(AB146*_echfixe12))))+R146</f>
        <v>0</v>
      </c>
      <c r="AD146" s="154">
        <f t="shared" si="35"/>
        <v>20</v>
      </c>
      <c r="AE146" s="157">
        <f t="shared" si="27"/>
        <v>220</v>
      </c>
    </row>
    <row r="147" spans="1:31" x14ac:dyDescent="0.2">
      <c r="A147" s="3"/>
      <c r="B147" s="164"/>
      <c r="C147" s="22"/>
      <c r="D147" s="21"/>
      <c r="E147" s="23"/>
      <c r="F147" s="10"/>
      <c r="G147" s="5">
        <f t="shared" si="28"/>
        <v>141</v>
      </c>
      <c r="H147" s="7">
        <f t="shared" si="29"/>
        <v>280</v>
      </c>
      <c r="I147" s="8">
        <f t="shared" si="24"/>
        <v>2020</v>
      </c>
      <c r="J147" s="31">
        <f>IF(K147=0,"",IF(_ijour12=0,MIN(DATE(YEAR(_debamort12),MONTH(_debamort12)+(G147-1)*_imois12,_jour12),DATE(YEAR(_debamort12),MONTH(_debamort12)+1+(G147-1)*_imois12,0)),DATE(YEAR(_debamort12),MONTH(_debamort12),_jour12+(G147-1)*_ijour12)))</f>
        <v>44075</v>
      </c>
      <c r="K147" s="156">
        <f t="shared" si="30"/>
        <v>137779.06</v>
      </c>
      <c r="L147" s="153">
        <f>IF(G147&lt;=_noeechmaxi1,ROUND(K147*'Données Projet 1 (2)'!A156,_nbdeci1t),0)</f>
        <v>213.56</v>
      </c>
      <c r="M147" s="152">
        <f>IF(OR(G147&lt;=_differe1t,G147&gt;_noeechmaxi1),IF(_difftotal1t,-L147,0),IF(G147&gt;=_noechremb1t,K147,IF('Données Projet 1 (2)'!B156-(L147*_echfixe1t)&gt;K147-2,K147,'Données Projet 1 (2)'!B156-(L147*_echfixe1t))))+B147</f>
        <v>393.35999999999996</v>
      </c>
      <c r="N147" s="154">
        <f t="shared" si="31"/>
        <v>15.6</v>
      </c>
      <c r="O147" s="157">
        <f t="shared" si="25"/>
        <v>622.52</v>
      </c>
      <c r="Q147" s="3"/>
      <c r="R147" s="164"/>
      <c r="S147" s="22"/>
      <c r="T147" s="21"/>
      <c r="U147" s="23"/>
      <c r="V147" s="10"/>
      <c r="W147" s="5">
        <f t="shared" si="32"/>
        <v>141</v>
      </c>
      <c r="X147" s="7">
        <f t="shared" si="33"/>
        <v>4</v>
      </c>
      <c r="Y147" s="8">
        <f t="shared" si="26"/>
        <v>2020</v>
      </c>
      <c r="Z147" s="31">
        <f>IF(AA147=0,"",IF(_ijour122=0,MIN(DATE(YEAR(_debamort122),MONTH(_debamort122)+(W147-1)*_imois122,__jou123),DATE(YEAR(_debamort122),MONTH(_debamort122)+1+(W147-1)*_imois122,0)),DATE(YEAR(_debamort122),MONTH(_debamort122),__jou123+(W147-1)*_ijour122)))</f>
        <v>44075</v>
      </c>
      <c r="AA147" s="156">
        <f t="shared" si="34"/>
        <v>240000</v>
      </c>
      <c r="AB147" s="153">
        <f>IF(W147&lt;=_noechmaxi1t,ROUND(AA147*'Données Projet 1 (2)'!H156,_nbdeci1t1),0)</f>
        <v>200</v>
      </c>
      <c r="AC147" s="152">
        <f>IF(OR(W147&lt;=_differe1t1t,W147&gt;_noechmaxi1t),IF(_difftotal1t1t,-AB147,0),IF(W147&gt;=_noechremb12,AA147,IF('Données Projet 1 (2)'!I156-(AB147*_echfixe12)&gt;AA147-2,AA147,'Données Projet 1 (2)'!I156-(AB147*_echfixe12))))+R147</f>
        <v>0</v>
      </c>
      <c r="AD147" s="154">
        <f t="shared" si="35"/>
        <v>20</v>
      </c>
      <c r="AE147" s="157">
        <f t="shared" si="27"/>
        <v>220</v>
      </c>
    </row>
    <row r="148" spans="1:31" x14ac:dyDescent="0.2">
      <c r="A148" s="3"/>
      <c r="B148" s="164"/>
      <c r="C148" s="22"/>
      <c r="D148" s="21"/>
      <c r="E148" s="23"/>
      <c r="F148" s="10"/>
      <c r="G148" s="5">
        <f t="shared" si="28"/>
        <v>142</v>
      </c>
      <c r="H148" s="7">
        <f t="shared" si="29"/>
        <v>279</v>
      </c>
      <c r="I148" s="8">
        <f t="shared" si="24"/>
        <v>2020</v>
      </c>
      <c r="J148" s="31">
        <f>IF(K148=0,"",IF(_ijour12=0,MIN(DATE(YEAR(_debamort12),MONTH(_debamort12)+_MoisD+(G148-1)*_imois12,_jour212),DATE(YEAR(_debamort12),MONTH(_debamort12)+_MoisD+1+(G148-1)*_imois12,0)),DATE(YEAR(_debamort12),MONTH(_debamort12),_jour12+(G148-1)*_ijour12)))</f>
        <v>44105</v>
      </c>
      <c r="K148" s="156">
        <f t="shared" si="30"/>
        <v>137385.70000000001</v>
      </c>
      <c r="L148" s="153">
        <f>IF(G148&lt;=_noeechmaxi1,ROUND(K148*'Données Projet 1 (2)'!A157,_nbdeci1t),0)</f>
        <v>212.95</v>
      </c>
      <c r="M148" s="152">
        <f>IF(OR(G148&lt;=_differe1t,G148&gt;_noeechmaxi1),IF(_difftotal1t,-L148,0),IF(G148&gt;=_noechremb1t,K148,IF('Données Projet 1 (2)'!B157-(L148*_echfixe1t)&gt;K148-2,K148,'Données Projet 1 (2)'!B157-(L148*_echfixe1t))))+B148</f>
        <v>393.96999999999997</v>
      </c>
      <c r="N148" s="154">
        <f t="shared" si="31"/>
        <v>15.6</v>
      </c>
      <c r="O148" s="157">
        <f t="shared" si="25"/>
        <v>622.52</v>
      </c>
      <c r="Q148" s="3"/>
      <c r="R148" s="164"/>
      <c r="S148" s="22"/>
      <c r="T148" s="21"/>
      <c r="U148" s="23"/>
      <c r="V148" s="10"/>
      <c r="W148" s="5">
        <f t="shared" si="32"/>
        <v>142</v>
      </c>
      <c r="X148" s="7">
        <f t="shared" si="33"/>
        <v>3</v>
      </c>
      <c r="Y148" s="8">
        <f t="shared" si="26"/>
        <v>2020</v>
      </c>
      <c r="Z148" s="31">
        <f>IF(AA148=0,"",IF(_ijour122=0,MIN(DATE(YEAR(_debamort122),MONTH(_debamort122)+_moisd12+(W148-1)*_imois122,__jou21),DATE(YEAR(_debamort122),MONTH(_debamort122)+_moisd12+1+(W148-1)*_imois122,0)),DATE(YEAR(_debamort122),MONTH(_debamort122),__jou123+(W148-1)*_ijour122)))</f>
        <v>44105</v>
      </c>
      <c r="AA148" s="156">
        <f t="shared" si="34"/>
        <v>240000</v>
      </c>
      <c r="AB148" s="153">
        <f>IF(W148&lt;=_noechmaxi1t,ROUND(AA148*'Données Projet 1 (2)'!H157,_nbdeci1t1),0)</f>
        <v>200</v>
      </c>
      <c r="AC148" s="152">
        <f>IF(OR(W148&lt;=_differe1t1t,W148&gt;_noechmaxi1t),IF(_difftotal1t1t,-AB148,0),IF(W148&gt;=_noechremb12,AA148,IF('Données Projet 1 (2)'!I157-(AB148*_echfixe12)&gt;AA148-2,AA148,'Données Projet 1 (2)'!I157-(AB148*_echfixe12))))+R148</f>
        <v>0</v>
      </c>
      <c r="AD148" s="154">
        <f t="shared" si="35"/>
        <v>20</v>
      </c>
      <c r="AE148" s="157">
        <f t="shared" si="27"/>
        <v>220</v>
      </c>
    </row>
    <row r="149" spans="1:31" x14ac:dyDescent="0.2">
      <c r="A149" s="3"/>
      <c r="B149" s="164"/>
      <c r="C149" s="22"/>
      <c r="D149" s="21"/>
      <c r="E149" s="23"/>
      <c r="F149" s="10"/>
      <c r="G149" s="5">
        <f t="shared" si="28"/>
        <v>143</v>
      </c>
      <c r="H149" s="7">
        <f t="shared" si="29"/>
        <v>278</v>
      </c>
      <c r="I149" s="8">
        <f t="shared" si="24"/>
        <v>2020</v>
      </c>
      <c r="J149" s="31">
        <f>IF(K149=0,"",IF(_ijour12=0,MIN(DATE(YEAR(_debamort12),MONTH(_debamort12)+(G149-1)*_imois12,_jour12),DATE(YEAR(_debamort12),MONTH(_debamort12)+1+(G149-1)*_imois12,0)),DATE(YEAR(_debamort12),MONTH(_debamort12),_jour12+(G149-1)*_ijour12)))</f>
        <v>44136</v>
      </c>
      <c r="K149" s="156">
        <f t="shared" si="30"/>
        <v>136991.73000000001</v>
      </c>
      <c r="L149" s="153">
        <f>IF(G149&lt;=_noeechmaxi1,ROUND(K149*'Données Projet 1 (2)'!A158,_nbdeci1t),0)</f>
        <v>212.34</v>
      </c>
      <c r="M149" s="152">
        <f>IF(OR(G149&lt;=_differe1t,G149&gt;_noeechmaxi1),IF(_difftotal1t,-L149,0),IF(G149&gt;=_noechremb1t,K149,IF('Données Projet 1 (2)'!B158-(L149*_echfixe1t)&gt;K149-2,K149,'Données Projet 1 (2)'!B158-(L149*_echfixe1t))))+B149</f>
        <v>394.57999999999993</v>
      </c>
      <c r="N149" s="154">
        <f t="shared" si="31"/>
        <v>15.6</v>
      </c>
      <c r="O149" s="157">
        <f t="shared" si="25"/>
        <v>622.52</v>
      </c>
      <c r="Q149" s="3"/>
      <c r="R149" s="164"/>
      <c r="S149" s="22"/>
      <c r="T149" s="21"/>
      <c r="U149" s="23"/>
      <c r="V149" s="10"/>
      <c r="W149" s="5">
        <f t="shared" si="32"/>
        <v>143</v>
      </c>
      <c r="X149" s="7">
        <f t="shared" si="33"/>
        <v>2</v>
      </c>
      <c r="Y149" s="8">
        <f t="shared" si="26"/>
        <v>2020</v>
      </c>
      <c r="Z149" s="31">
        <f>IF(AA149=0,"",IF(_ijour122=0,MIN(DATE(YEAR(_debamort122),MONTH(_debamort122)+(W149-1)*_imois122,__jou123),DATE(YEAR(_debamort122),MONTH(_debamort122)+1+(W149-1)*_imois122,0)),DATE(YEAR(_debamort122),MONTH(_debamort122),__jou123+(W149-1)*_ijour122)))</f>
        <v>44136</v>
      </c>
      <c r="AA149" s="156">
        <f t="shared" si="34"/>
        <v>240000</v>
      </c>
      <c r="AB149" s="153">
        <f>IF(W149&lt;=_noechmaxi1t,ROUND(AA149*'Données Projet 1 (2)'!H158,_nbdeci1t1),0)</f>
        <v>200</v>
      </c>
      <c r="AC149" s="152">
        <f>IF(OR(W149&lt;=_differe1t1t,W149&gt;_noechmaxi1t),IF(_difftotal1t1t,-AB149,0),IF(W149&gt;=_noechremb12,AA149,IF('Données Projet 1 (2)'!I158-(AB149*_echfixe12)&gt;AA149-2,AA149,'Données Projet 1 (2)'!I158-(AB149*_echfixe12))))+R149</f>
        <v>0</v>
      </c>
      <c r="AD149" s="154">
        <f t="shared" si="35"/>
        <v>20</v>
      </c>
      <c r="AE149" s="157">
        <f t="shared" si="27"/>
        <v>220</v>
      </c>
    </row>
    <row r="150" spans="1:31" x14ac:dyDescent="0.2">
      <c r="A150" s="3"/>
      <c r="B150" s="164"/>
      <c r="C150" s="22"/>
      <c r="D150" s="21"/>
      <c r="E150" s="23"/>
      <c r="F150" s="10"/>
      <c r="G150" s="5">
        <f t="shared" si="28"/>
        <v>144</v>
      </c>
      <c r="H150" s="7">
        <f t="shared" si="29"/>
        <v>277</v>
      </c>
      <c r="I150" s="8">
        <f t="shared" si="24"/>
        <v>2020</v>
      </c>
      <c r="J150" s="31">
        <f>IF(K150=0,"",IF(_ijour12=0,MIN(DATE(YEAR(_debamort12),MONTH(_debamort12)+_MoisD+(G150-1)*_imois12,_jour212),DATE(YEAR(_debamort12),MONTH(_debamort12)+_MoisD+1+(G150-1)*_imois12,0)),DATE(YEAR(_debamort12),MONTH(_debamort12),_jour12+(G150-1)*_ijour12)))</f>
        <v>44166</v>
      </c>
      <c r="K150" s="156">
        <f t="shared" si="30"/>
        <v>136597.15000000002</v>
      </c>
      <c r="L150" s="153">
        <f>IF(G150&lt;=_noeechmaxi1,ROUND(K150*'Données Projet 1 (2)'!A159,_nbdeci1t),0)</f>
        <v>211.73</v>
      </c>
      <c r="M150" s="152">
        <f>IF(OR(G150&lt;=_differe1t,G150&gt;_noeechmaxi1),IF(_difftotal1t,-L150,0),IF(G150&gt;=_noechremb1t,K150,IF('Données Projet 1 (2)'!B159-(L150*_echfixe1t)&gt;K150-2,K150,'Données Projet 1 (2)'!B159-(L150*_echfixe1t))))+B150</f>
        <v>395.18999999999994</v>
      </c>
      <c r="N150" s="154">
        <f t="shared" si="31"/>
        <v>15.6</v>
      </c>
      <c r="O150" s="157">
        <f t="shared" si="25"/>
        <v>622.52</v>
      </c>
      <c r="Q150" s="3"/>
      <c r="R150" s="164"/>
      <c r="S150" s="22"/>
      <c r="T150" s="21"/>
      <c r="U150" s="23"/>
      <c r="V150" s="10"/>
      <c r="W150" s="5">
        <f t="shared" si="32"/>
        <v>144</v>
      </c>
      <c r="X150" s="7">
        <f t="shared" si="33"/>
        <v>1</v>
      </c>
      <c r="Y150" s="8">
        <f t="shared" si="26"/>
        <v>2020</v>
      </c>
      <c r="Z150" s="31">
        <f>IF(AA150=0,"",IF(_ijour122=0,MIN(DATE(YEAR(_debamort122),MONTH(_debamort122)+_moisd12+(W150-1)*_imois122,__jou21),DATE(YEAR(_debamort122),MONTH(_debamort122)+_moisd12+1+(W150-1)*_imois122,0)),DATE(YEAR(_debamort122),MONTH(_debamort122),__jou123+(W150-1)*_ijour122)))</f>
        <v>44166</v>
      </c>
      <c r="AA150" s="156">
        <f t="shared" si="34"/>
        <v>240000</v>
      </c>
      <c r="AB150" s="153">
        <f>IF(W150&lt;=_noechmaxi1t,ROUND(AA150*'Données Projet 1 (2)'!H159,_nbdeci1t1),0)</f>
        <v>200</v>
      </c>
      <c r="AC150" s="152">
        <f>IF(OR(W150&lt;=_differe1t1t,W150&gt;_noechmaxi1t),IF(_difftotal1t1t,-AB150,0),IF(W150&gt;=_noechremb12,AA150,IF('Données Projet 1 (2)'!I159-(AB150*_echfixe12)&gt;AA150-2,AA150,'Données Projet 1 (2)'!I159-(AB150*_echfixe12))))+R150</f>
        <v>240000</v>
      </c>
      <c r="AD150" s="154">
        <f t="shared" si="35"/>
        <v>20</v>
      </c>
      <c r="AE150" s="157">
        <f t="shared" si="27"/>
        <v>240220</v>
      </c>
    </row>
    <row r="151" spans="1:31" x14ac:dyDescent="0.2">
      <c r="A151" s="3"/>
      <c r="B151" s="164"/>
      <c r="C151" s="22"/>
      <c r="D151" s="21"/>
      <c r="E151" s="23"/>
      <c r="F151" s="10"/>
      <c r="G151" s="5">
        <f t="shared" si="28"/>
        <v>145</v>
      </c>
      <c r="H151" s="7">
        <f t="shared" si="29"/>
        <v>276</v>
      </c>
      <c r="I151" s="8">
        <f t="shared" si="24"/>
        <v>2021</v>
      </c>
      <c r="J151" s="31">
        <f>IF(K151=0,"",IF(_ijour12=0,MIN(DATE(YEAR(_debamort12),MONTH(_debamort12)+(G151-1)*_imois12,_jour12),DATE(YEAR(_debamort12),MONTH(_debamort12)+1+(G151-1)*_imois12,0)),DATE(YEAR(_debamort12),MONTH(_debamort12),_jour12+(G151-1)*_ijour12)))</f>
        <v>44197</v>
      </c>
      <c r="K151" s="156">
        <f t="shared" si="30"/>
        <v>136201.96000000002</v>
      </c>
      <c r="L151" s="153">
        <f>IF(G151&lt;=_noeechmaxi1,ROUND(K151*'Données Projet 1 (2)'!A160,_nbdeci1t),0)</f>
        <v>211.11</v>
      </c>
      <c r="M151" s="152">
        <f>IF(OR(G151&lt;=_differe1t,G151&gt;_noeechmaxi1),IF(_difftotal1t,-L151,0),IF(G151&gt;=_noechremb1t,K151,IF('Données Projet 1 (2)'!B160-(L151*_echfixe1t)&gt;K151-2,K151,'Données Projet 1 (2)'!B160-(L151*_echfixe1t))))+B151</f>
        <v>395.80999999999995</v>
      </c>
      <c r="N151" s="154">
        <f t="shared" si="31"/>
        <v>15.6</v>
      </c>
      <c r="O151" s="157">
        <f t="shared" si="25"/>
        <v>622.52</v>
      </c>
      <c r="Q151" s="3"/>
      <c r="R151" s="164"/>
      <c r="S151" s="22"/>
      <c r="T151" s="21"/>
      <c r="U151" s="23"/>
      <c r="V151" s="10"/>
      <c r="W151" s="5" t="str">
        <f t="shared" si="32"/>
        <v/>
      </c>
      <c r="X151" s="7" t="str">
        <f t="shared" si="33"/>
        <v/>
      </c>
      <c r="Y151" s="8" t="str">
        <f t="shared" si="26"/>
        <v/>
      </c>
      <c r="Z151" s="31" t="str">
        <f>IF(AA151=0,"",IF(_ijour122=0,MIN(DATE(YEAR(_debamort122),MONTH(_debamort122)+(W151-1)*_imois122,__jou123),DATE(YEAR(_debamort122),MONTH(_debamort122)+1+(W151-1)*_imois122,0)),DATE(YEAR(_debamort122),MONTH(_debamort122),__jou123+(W151-1)*_ijour122)))</f>
        <v/>
      </c>
      <c r="AA151" s="156">
        <f t="shared" si="34"/>
        <v>0</v>
      </c>
      <c r="AB151" s="153">
        <f>IF(W151&lt;=_noechmaxi1t,ROUND(AA151*'Données Projet 1 (2)'!H160,_nbdeci1t1),0)</f>
        <v>0</v>
      </c>
      <c r="AC151" s="152">
        <f>IF(OR(W151&lt;=_differe1t1t,W151&gt;_noechmaxi1t),IF(_difftotal1t1t,-AB151,0),IF(W151&gt;=_noechremb12,AA151,IF('Données Projet 1 (2)'!I160-(AB151*_echfixe12)&gt;AA151-2,AA151,'Données Projet 1 (2)'!I160-(AB151*_echfixe12))))+R151</f>
        <v>0</v>
      </c>
      <c r="AD151" s="154">
        <f t="shared" si="35"/>
        <v>0</v>
      </c>
      <c r="AE151" s="157">
        <f t="shared" si="27"/>
        <v>0</v>
      </c>
    </row>
    <row r="152" spans="1:31" x14ac:dyDescent="0.2">
      <c r="A152" s="3"/>
      <c r="B152" s="164"/>
      <c r="C152" s="22"/>
      <c r="D152" s="21"/>
      <c r="E152" s="23"/>
      <c r="F152" s="10"/>
      <c r="G152" s="5">
        <f t="shared" si="28"/>
        <v>146</v>
      </c>
      <c r="H152" s="7">
        <f t="shared" si="29"/>
        <v>275</v>
      </c>
      <c r="I152" s="8">
        <f t="shared" si="24"/>
        <v>2021</v>
      </c>
      <c r="J152" s="31">
        <f>IF(K152=0,"",IF(_ijour12=0,MIN(DATE(YEAR(_debamort12),MONTH(_debamort12)+_MoisD+(G152-1)*_imois12,_jour212),DATE(YEAR(_debamort12),MONTH(_debamort12)+_MoisD+1+(G152-1)*_imois12,0)),DATE(YEAR(_debamort12),MONTH(_debamort12),_jour12+(G152-1)*_ijour12)))</f>
        <v>44228</v>
      </c>
      <c r="K152" s="156">
        <f t="shared" si="30"/>
        <v>135806.15000000002</v>
      </c>
      <c r="L152" s="153">
        <f>IF(G152&lt;=_noeechmaxi1,ROUND(K152*'Données Projet 1 (2)'!A161,_nbdeci1t),0)</f>
        <v>210.5</v>
      </c>
      <c r="M152" s="152">
        <f>IF(OR(G152&lt;=_differe1t,G152&gt;_noeechmaxi1),IF(_difftotal1t,-L152,0),IF(G152&gt;=_noechremb1t,K152,IF('Données Projet 1 (2)'!B161-(L152*_echfixe1t)&gt;K152-2,K152,'Données Projet 1 (2)'!B161-(L152*_echfixe1t))))+B152</f>
        <v>396.41999999999996</v>
      </c>
      <c r="N152" s="154">
        <f t="shared" si="31"/>
        <v>15.6</v>
      </c>
      <c r="O152" s="157">
        <f t="shared" si="25"/>
        <v>622.52</v>
      </c>
      <c r="Q152" s="3"/>
      <c r="R152" s="164"/>
      <c r="S152" s="22"/>
      <c r="T152" s="21"/>
      <c r="U152" s="23"/>
      <c r="V152" s="10"/>
      <c r="W152" s="5" t="str">
        <f t="shared" si="32"/>
        <v/>
      </c>
      <c r="X152" s="7" t="str">
        <f t="shared" si="33"/>
        <v/>
      </c>
      <c r="Y152" s="8" t="str">
        <f t="shared" si="26"/>
        <v/>
      </c>
      <c r="Z152" s="31" t="str">
        <f>IF(AA152=0,"",IF(_ijour122=0,MIN(DATE(YEAR(_debamort122),MONTH(_debamort122)+_moisd12+(W152-1)*_imois122,__jou21),DATE(YEAR(_debamort122),MONTH(_debamort122)+_moisd12+1+(W152-1)*_imois122,0)),DATE(YEAR(_debamort122),MONTH(_debamort122),__jou123+(W152-1)*_ijour122)))</f>
        <v/>
      </c>
      <c r="AA152" s="156">
        <f t="shared" si="34"/>
        <v>0</v>
      </c>
      <c r="AB152" s="153">
        <f>IF(W152&lt;=_noechmaxi1t,ROUND(AA152*'Données Projet 1 (2)'!H161,_nbdeci1t1),0)</f>
        <v>0</v>
      </c>
      <c r="AC152" s="152">
        <f>IF(OR(W152&lt;=_differe1t1t,W152&gt;_noechmaxi1t),IF(_difftotal1t1t,-AB152,0),IF(W152&gt;=_noechremb12,AA152,IF('Données Projet 1 (2)'!I161-(AB152*_echfixe12)&gt;AA152-2,AA152,'Données Projet 1 (2)'!I161-(AB152*_echfixe12))))+R152</f>
        <v>0</v>
      </c>
      <c r="AD152" s="154">
        <f t="shared" si="35"/>
        <v>0</v>
      </c>
      <c r="AE152" s="157">
        <f t="shared" si="27"/>
        <v>0</v>
      </c>
    </row>
    <row r="153" spans="1:31" x14ac:dyDescent="0.2">
      <c r="A153" s="3"/>
      <c r="B153" s="164"/>
      <c r="C153" s="22"/>
      <c r="D153" s="21"/>
      <c r="E153" s="23"/>
      <c r="F153" s="10"/>
      <c r="G153" s="5">
        <f t="shared" si="28"/>
        <v>147</v>
      </c>
      <c r="H153" s="7">
        <f t="shared" si="29"/>
        <v>274</v>
      </c>
      <c r="I153" s="8">
        <f t="shared" si="24"/>
        <v>2021</v>
      </c>
      <c r="J153" s="31">
        <f>IF(K153=0,"",IF(_ijour12=0,MIN(DATE(YEAR(_debamort12),MONTH(_debamort12)+(G153-1)*_imois12,_jour12),DATE(YEAR(_debamort12),MONTH(_debamort12)+1+(G153-1)*_imois12,0)),DATE(YEAR(_debamort12),MONTH(_debamort12),_jour12+(G153-1)*_ijour12)))</f>
        <v>44256</v>
      </c>
      <c r="K153" s="156">
        <f t="shared" si="30"/>
        <v>135409.73000000001</v>
      </c>
      <c r="L153" s="153">
        <f>IF(G153&lt;=_noeechmaxi1,ROUND(K153*'Données Projet 1 (2)'!A162,_nbdeci1t),0)</f>
        <v>209.89</v>
      </c>
      <c r="M153" s="152">
        <f>IF(OR(G153&lt;=_differe1t,G153&gt;_noeechmaxi1),IF(_difftotal1t,-L153,0),IF(G153&gt;=_noechremb1t,K153,IF('Données Projet 1 (2)'!B162-(L153*_echfixe1t)&gt;K153-2,K153,'Données Projet 1 (2)'!B162-(L153*_echfixe1t))))+B153</f>
        <v>397.03</v>
      </c>
      <c r="N153" s="154">
        <f t="shared" si="31"/>
        <v>15.6</v>
      </c>
      <c r="O153" s="157">
        <f t="shared" si="25"/>
        <v>622.52</v>
      </c>
      <c r="Q153" s="3"/>
      <c r="R153" s="164"/>
      <c r="S153" s="22"/>
      <c r="T153" s="21"/>
      <c r="U153" s="23"/>
      <c r="V153" s="10"/>
      <c r="W153" s="5" t="str">
        <f t="shared" si="32"/>
        <v/>
      </c>
      <c r="X153" s="7" t="str">
        <f t="shared" si="33"/>
        <v/>
      </c>
      <c r="Y153" s="8" t="str">
        <f t="shared" si="26"/>
        <v/>
      </c>
      <c r="Z153" s="31" t="str">
        <f>IF(AA153=0,"",IF(_ijour122=0,MIN(DATE(YEAR(_debamort122),MONTH(_debamort122)+(W153-1)*_imois122,__jou123),DATE(YEAR(_debamort122),MONTH(_debamort122)+1+(W153-1)*_imois122,0)),DATE(YEAR(_debamort122),MONTH(_debamort122),__jou123+(W153-1)*_ijour122)))</f>
        <v/>
      </c>
      <c r="AA153" s="156">
        <f t="shared" si="34"/>
        <v>0</v>
      </c>
      <c r="AB153" s="153">
        <f>IF(W153&lt;=_noechmaxi1t,ROUND(AA153*'Données Projet 1 (2)'!H162,_nbdeci1t1),0)</f>
        <v>0</v>
      </c>
      <c r="AC153" s="152">
        <f>IF(OR(W153&lt;=_differe1t1t,W153&gt;_noechmaxi1t),IF(_difftotal1t1t,-AB153,0),IF(W153&gt;=_noechremb12,AA153,IF('Données Projet 1 (2)'!I162-(AB153*_echfixe12)&gt;AA153-2,AA153,'Données Projet 1 (2)'!I162-(AB153*_echfixe12))))+R153</f>
        <v>0</v>
      </c>
      <c r="AD153" s="154">
        <f t="shared" si="35"/>
        <v>0</v>
      </c>
      <c r="AE153" s="157">
        <f t="shared" si="27"/>
        <v>0</v>
      </c>
    </row>
    <row r="154" spans="1:31" x14ac:dyDescent="0.2">
      <c r="A154" s="3"/>
      <c r="B154" s="164"/>
      <c r="C154" s="22"/>
      <c r="D154" s="21"/>
      <c r="E154" s="23"/>
      <c r="F154" s="10"/>
      <c r="G154" s="5">
        <f t="shared" si="28"/>
        <v>148</v>
      </c>
      <c r="H154" s="7">
        <f t="shared" si="29"/>
        <v>273</v>
      </c>
      <c r="I154" s="8">
        <f t="shared" si="24"/>
        <v>2021</v>
      </c>
      <c r="J154" s="31">
        <f>IF(K154=0,"",IF(_ijour12=0,MIN(DATE(YEAR(_debamort12),MONTH(_debamort12)+_MoisD+(G154-1)*_imois12,_jour212),DATE(YEAR(_debamort12),MONTH(_debamort12)+_MoisD+1+(G154-1)*_imois12,0)),DATE(YEAR(_debamort12),MONTH(_debamort12),_jour12+(G154-1)*_ijour12)))</f>
        <v>44287</v>
      </c>
      <c r="K154" s="156">
        <f t="shared" si="30"/>
        <v>135012.70000000001</v>
      </c>
      <c r="L154" s="153">
        <f>IF(G154&lt;=_noeechmaxi1,ROUND(K154*'Données Projet 1 (2)'!A163,_nbdeci1t),0)</f>
        <v>209.27</v>
      </c>
      <c r="M154" s="152">
        <f>IF(OR(G154&lt;=_differe1t,G154&gt;_noeechmaxi1),IF(_difftotal1t,-L154,0),IF(G154&gt;=_noechremb1t,K154,IF('Données Projet 1 (2)'!B163-(L154*_echfixe1t)&gt;K154-2,K154,'Données Projet 1 (2)'!B163-(L154*_echfixe1t))))+B154</f>
        <v>397.65</v>
      </c>
      <c r="N154" s="154">
        <f t="shared" si="31"/>
        <v>15.6</v>
      </c>
      <c r="O154" s="157">
        <f t="shared" si="25"/>
        <v>622.52</v>
      </c>
      <c r="Q154" s="3"/>
      <c r="R154" s="164"/>
      <c r="S154" s="22"/>
      <c r="T154" s="21"/>
      <c r="U154" s="23"/>
      <c r="V154" s="10"/>
      <c r="W154" s="5" t="str">
        <f t="shared" si="32"/>
        <v/>
      </c>
      <c r="X154" s="7" t="str">
        <f t="shared" si="33"/>
        <v/>
      </c>
      <c r="Y154" s="8" t="str">
        <f t="shared" si="26"/>
        <v/>
      </c>
      <c r="Z154" s="31" t="str">
        <f>IF(AA154=0,"",IF(_ijour122=0,MIN(DATE(YEAR(_debamort122),MONTH(_debamort122)+_moisd12+(W154-1)*_imois122,__jou21),DATE(YEAR(_debamort122),MONTH(_debamort122)+_moisd12+1+(W154-1)*_imois122,0)),DATE(YEAR(_debamort122),MONTH(_debamort122),__jou123+(W154-1)*_ijour122)))</f>
        <v/>
      </c>
      <c r="AA154" s="156">
        <f t="shared" si="34"/>
        <v>0</v>
      </c>
      <c r="AB154" s="153">
        <f>IF(W154&lt;=_noechmaxi1t,ROUND(AA154*'Données Projet 1 (2)'!H163,_nbdeci1t1),0)</f>
        <v>0</v>
      </c>
      <c r="AC154" s="152">
        <f>IF(OR(W154&lt;=_differe1t1t,W154&gt;_noechmaxi1t),IF(_difftotal1t1t,-AB154,0),IF(W154&gt;=_noechremb12,AA154,IF('Données Projet 1 (2)'!I163-(AB154*_echfixe12)&gt;AA154-2,AA154,'Données Projet 1 (2)'!I163-(AB154*_echfixe12))))+R154</f>
        <v>0</v>
      </c>
      <c r="AD154" s="154">
        <f t="shared" si="35"/>
        <v>0</v>
      </c>
      <c r="AE154" s="157">
        <f t="shared" si="27"/>
        <v>0</v>
      </c>
    </row>
    <row r="155" spans="1:31" x14ac:dyDescent="0.2">
      <c r="A155" s="3"/>
      <c r="B155" s="164"/>
      <c r="C155" s="22"/>
      <c r="D155" s="21"/>
      <c r="E155" s="23"/>
      <c r="F155" s="10"/>
      <c r="G155" s="5">
        <f t="shared" si="28"/>
        <v>149</v>
      </c>
      <c r="H155" s="7">
        <f t="shared" si="29"/>
        <v>272</v>
      </c>
      <c r="I155" s="8">
        <f t="shared" si="24"/>
        <v>2021</v>
      </c>
      <c r="J155" s="31">
        <f>IF(K155=0,"",IF(_ijour12=0,MIN(DATE(YEAR(_debamort12),MONTH(_debamort12)+(G155-1)*_imois12,_jour12),DATE(YEAR(_debamort12),MONTH(_debamort12)+1+(G155-1)*_imois12,0)),DATE(YEAR(_debamort12),MONTH(_debamort12),_jour12+(G155-1)*_ijour12)))</f>
        <v>44317</v>
      </c>
      <c r="K155" s="156">
        <f t="shared" si="30"/>
        <v>134615.05000000002</v>
      </c>
      <c r="L155" s="153">
        <f>IF(G155&lt;=_noeechmaxi1,ROUND(K155*'Données Projet 1 (2)'!A164,_nbdeci1t),0)</f>
        <v>208.65</v>
      </c>
      <c r="M155" s="152">
        <f>IF(OR(G155&lt;=_differe1t,G155&gt;_noeechmaxi1),IF(_difftotal1t,-L155,0),IF(G155&gt;=_noechremb1t,K155,IF('Données Projet 1 (2)'!B164-(L155*_echfixe1t)&gt;K155-2,K155,'Données Projet 1 (2)'!B164-(L155*_echfixe1t))))+B155</f>
        <v>398.27</v>
      </c>
      <c r="N155" s="154">
        <f t="shared" si="31"/>
        <v>15.6</v>
      </c>
      <c r="O155" s="157">
        <f t="shared" si="25"/>
        <v>622.52</v>
      </c>
      <c r="Q155" s="3"/>
      <c r="R155" s="164"/>
      <c r="S155" s="22"/>
      <c r="T155" s="21"/>
      <c r="U155" s="23"/>
      <c r="V155" s="10"/>
      <c r="W155" s="5" t="str">
        <f t="shared" si="32"/>
        <v/>
      </c>
      <c r="X155" s="7" t="str">
        <f t="shared" si="33"/>
        <v/>
      </c>
      <c r="Y155" s="8" t="str">
        <f t="shared" si="26"/>
        <v/>
      </c>
      <c r="Z155" s="31" t="str">
        <f>IF(AA155=0,"",IF(_ijour122=0,MIN(DATE(YEAR(_debamort122),MONTH(_debamort122)+(W155-1)*_imois122,__jou123),DATE(YEAR(_debamort122),MONTH(_debamort122)+1+(W155-1)*_imois122,0)),DATE(YEAR(_debamort122),MONTH(_debamort122),__jou123+(W155-1)*_ijour122)))</f>
        <v/>
      </c>
      <c r="AA155" s="156">
        <f t="shared" si="34"/>
        <v>0</v>
      </c>
      <c r="AB155" s="153">
        <f>IF(W155&lt;=_noechmaxi1t,ROUND(AA155*'Données Projet 1 (2)'!H164,_nbdeci1t1),0)</f>
        <v>0</v>
      </c>
      <c r="AC155" s="152">
        <f>IF(OR(W155&lt;=_differe1t1t,W155&gt;_noechmaxi1t),IF(_difftotal1t1t,-AB155,0),IF(W155&gt;=_noechremb12,AA155,IF('Données Projet 1 (2)'!I164-(AB155*_echfixe12)&gt;AA155-2,AA155,'Données Projet 1 (2)'!I164-(AB155*_echfixe12))))+R155</f>
        <v>0</v>
      </c>
      <c r="AD155" s="154">
        <f t="shared" si="35"/>
        <v>0</v>
      </c>
      <c r="AE155" s="157">
        <f t="shared" si="27"/>
        <v>0</v>
      </c>
    </row>
    <row r="156" spans="1:31" x14ac:dyDescent="0.2">
      <c r="A156" s="3"/>
      <c r="B156" s="164"/>
      <c r="C156" s="22"/>
      <c r="D156" s="21"/>
      <c r="E156" s="23"/>
      <c r="F156" s="10"/>
      <c r="G156" s="5">
        <f t="shared" si="28"/>
        <v>150</v>
      </c>
      <c r="H156" s="7">
        <f t="shared" si="29"/>
        <v>271</v>
      </c>
      <c r="I156" s="8">
        <f t="shared" si="24"/>
        <v>2021</v>
      </c>
      <c r="J156" s="31">
        <f>IF(K156=0,"",IF(_ijour12=0,MIN(DATE(YEAR(_debamort12),MONTH(_debamort12)+_MoisD+(G156-1)*_imois12,_jour212),DATE(YEAR(_debamort12),MONTH(_debamort12)+_MoisD+1+(G156-1)*_imois12,0)),DATE(YEAR(_debamort12),MONTH(_debamort12),_jour12+(G156-1)*_ijour12)))</f>
        <v>44348</v>
      </c>
      <c r="K156" s="156">
        <f t="shared" si="30"/>
        <v>134216.78000000003</v>
      </c>
      <c r="L156" s="153">
        <f>IF(G156&lt;=_noeechmaxi1,ROUND(K156*'Données Projet 1 (2)'!A165,_nbdeci1t),0)</f>
        <v>208.04</v>
      </c>
      <c r="M156" s="152">
        <f>IF(OR(G156&lt;=_differe1t,G156&gt;_noeechmaxi1),IF(_difftotal1t,-L156,0),IF(G156&gt;=_noechremb1t,K156,IF('Données Projet 1 (2)'!B165-(L156*_echfixe1t)&gt;K156-2,K156,'Données Projet 1 (2)'!B165-(L156*_echfixe1t))))+B156</f>
        <v>398.88</v>
      </c>
      <c r="N156" s="154">
        <f t="shared" si="31"/>
        <v>15.6</v>
      </c>
      <c r="O156" s="157">
        <f t="shared" si="25"/>
        <v>622.52</v>
      </c>
      <c r="Q156" s="3"/>
      <c r="R156" s="164"/>
      <c r="S156" s="22"/>
      <c r="T156" s="21"/>
      <c r="U156" s="23"/>
      <c r="V156" s="10"/>
      <c r="W156" s="5" t="str">
        <f t="shared" si="32"/>
        <v/>
      </c>
      <c r="X156" s="7" t="str">
        <f t="shared" si="33"/>
        <v/>
      </c>
      <c r="Y156" s="8" t="str">
        <f t="shared" si="26"/>
        <v/>
      </c>
      <c r="Z156" s="31" t="str">
        <f>IF(AA156=0,"",IF(_ijour122=0,MIN(DATE(YEAR(_debamort122),MONTH(_debamort122)+_moisd12+(W156-1)*_imois122,__jou21),DATE(YEAR(_debamort122),MONTH(_debamort122)+_moisd12+1+(W156-1)*_imois122,0)),DATE(YEAR(_debamort122),MONTH(_debamort122),__jou123+(W156-1)*_ijour122)))</f>
        <v/>
      </c>
      <c r="AA156" s="156">
        <f t="shared" si="34"/>
        <v>0</v>
      </c>
      <c r="AB156" s="153">
        <f>IF(W156&lt;=_noechmaxi1t,ROUND(AA156*'Données Projet 1 (2)'!H165,_nbdeci1t1),0)</f>
        <v>0</v>
      </c>
      <c r="AC156" s="152">
        <f>IF(OR(W156&lt;=_differe1t1t,W156&gt;_noechmaxi1t),IF(_difftotal1t1t,-AB156,0),IF(W156&gt;=_noechremb12,AA156,IF('Données Projet 1 (2)'!I165-(AB156*_echfixe12)&gt;AA156-2,AA156,'Données Projet 1 (2)'!I165-(AB156*_echfixe12))))+R156</f>
        <v>0</v>
      </c>
      <c r="AD156" s="154">
        <f t="shared" si="35"/>
        <v>0</v>
      </c>
      <c r="AE156" s="157">
        <f t="shared" si="27"/>
        <v>0</v>
      </c>
    </row>
    <row r="157" spans="1:31" x14ac:dyDescent="0.2">
      <c r="A157" s="3"/>
      <c r="B157" s="164"/>
      <c r="C157" s="22"/>
      <c r="D157" s="21"/>
      <c r="E157" s="23"/>
      <c r="F157" s="10"/>
      <c r="G157" s="5">
        <f t="shared" si="28"/>
        <v>151</v>
      </c>
      <c r="H157" s="7">
        <f t="shared" si="29"/>
        <v>270</v>
      </c>
      <c r="I157" s="8">
        <f t="shared" si="24"/>
        <v>2021</v>
      </c>
      <c r="J157" s="31">
        <f>IF(K157=0,"",IF(_ijour12=0,MIN(DATE(YEAR(_debamort12),MONTH(_debamort12)+(G157-1)*_imois12,_jour12),DATE(YEAR(_debamort12),MONTH(_debamort12)+1+(G157-1)*_imois12,0)),DATE(YEAR(_debamort12),MONTH(_debamort12),_jour12+(G157-1)*_ijour12)))</f>
        <v>44378</v>
      </c>
      <c r="K157" s="156">
        <f t="shared" si="30"/>
        <v>133817.90000000002</v>
      </c>
      <c r="L157" s="153">
        <f>IF(G157&lt;=_noeechmaxi1,ROUND(K157*'Données Projet 1 (2)'!A166,_nbdeci1t),0)</f>
        <v>207.42</v>
      </c>
      <c r="M157" s="152">
        <f>IF(OR(G157&lt;=_differe1t,G157&gt;_noeechmaxi1),IF(_difftotal1t,-L157,0),IF(G157&gt;=_noechremb1t,K157,IF('Données Projet 1 (2)'!B166-(L157*_echfixe1t)&gt;K157-2,K157,'Données Projet 1 (2)'!B166-(L157*_echfixe1t))))+B157</f>
        <v>399.5</v>
      </c>
      <c r="N157" s="154">
        <f t="shared" si="31"/>
        <v>15.6</v>
      </c>
      <c r="O157" s="157">
        <f t="shared" si="25"/>
        <v>622.52</v>
      </c>
      <c r="Q157" s="3"/>
      <c r="R157" s="164"/>
      <c r="S157" s="22"/>
      <c r="T157" s="21"/>
      <c r="U157" s="23"/>
      <c r="V157" s="10"/>
      <c r="W157" s="5" t="str">
        <f t="shared" si="32"/>
        <v/>
      </c>
      <c r="X157" s="7" t="str">
        <f t="shared" si="33"/>
        <v/>
      </c>
      <c r="Y157" s="8" t="str">
        <f t="shared" si="26"/>
        <v/>
      </c>
      <c r="Z157" s="31" t="str">
        <f>IF(AA157=0,"",IF(_ijour122=0,MIN(DATE(YEAR(_debamort122),MONTH(_debamort122)+(W157-1)*_imois122,__jou123),DATE(YEAR(_debamort122),MONTH(_debamort122)+1+(W157-1)*_imois122,0)),DATE(YEAR(_debamort122),MONTH(_debamort122),__jou123+(W157-1)*_ijour122)))</f>
        <v/>
      </c>
      <c r="AA157" s="156">
        <f t="shared" si="34"/>
        <v>0</v>
      </c>
      <c r="AB157" s="153">
        <f>IF(W157&lt;=_noechmaxi1t,ROUND(AA157*'Données Projet 1 (2)'!H166,_nbdeci1t1),0)</f>
        <v>0</v>
      </c>
      <c r="AC157" s="152">
        <f>IF(OR(W157&lt;=_differe1t1t,W157&gt;_noechmaxi1t),IF(_difftotal1t1t,-AB157,0),IF(W157&gt;=_noechremb12,AA157,IF('Données Projet 1 (2)'!I166-(AB157*_echfixe12)&gt;AA157-2,AA157,'Données Projet 1 (2)'!I166-(AB157*_echfixe12))))+R157</f>
        <v>0</v>
      </c>
      <c r="AD157" s="154">
        <f t="shared" si="35"/>
        <v>0</v>
      </c>
      <c r="AE157" s="157">
        <f t="shared" si="27"/>
        <v>0</v>
      </c>
    </row>
    <row r="158" spans="1:31" x14ac:dyDescent="0.2">
      <c r="A158" s="3"/>
      <c r="B158" s="164"/>
      <c r="C158" s="22"/>
      <c r="D158" s="21"/>
      <c r="E158" s="23"/>
      <c r="F158" s="10"/>
      <c r="G158" s="5">
        <f t="shared" si="28"/>
        <v>152</v>
      </c>
      <c r="H158" s="7">
        <f t="shared" si="29"/>
        <v>269</v>
      </c>
      <c r="I158" s="8">
        <f t="shared" si="24"/>
        <v>2021</v>
      </c>
      <c r="J158" s="31">
        <f>IF(K158=0,"",IF(_ijour12=0,MIN(DATE(YEAR(_debamort12),MONTH(_debamort12)+_MoisD+(G158-1)*_imois12,_jour212),DATE(YEAR(_debamort12),MONTH(_debamort12)+_MoisD+1+(G158-1)*_imois12,0)),DATE(YEAR(_debamort12),MONTH(_debamort12),_jour12+(G158-1)*_ijour12)))</f>
        <v>44409</v>
      </c>
      <c r="K158" s="156">
        <f t="shared" si="30"/>
        <v>133418.40000000002</v>
      </c>
      <c r="L158" s="153">
        <f>IF(G158&lt;=_noeechmaxi1,ROUND(K158*'Données Projet 1 (2)'!A167,_nbdeci1t),0)</f>
        <v>206.8</v>
      </c>
      <c r="M158" s="152">
        <f>IF(OR(G158&lt;=_differe1t,G158&gt;_noeechmaxi1),IF(_difftotal1t,-L158,0),IF(G158&gt;=_noechremb1t,K158,IF('Données Projet 1 (2)'!B167-(L158*_echfixe1t)&gt;K158-2,K158,'Données Projet 1 (2)'!B167-(L158*_echfixe1t))))+B158</f>
        <v>400.11999999999995</v>
      </c>
      <c r="N158" s="154">
        <f t="shared" si="31"/>
        <v>15.6</v>
      </c>
      <c r="O158" s="157">
        <f t="shared" si="25"/>
        <v>622.52</v>
      </c>
      <c r="Q158" s="3"/>
      <c r="R158" s="164"/>
      <c r="S158" s="22"/>
      <c r="T158" s="21"/>
      <c r="U158" s="23"/>
      <c r="V158" s="10"/>
      <c r="W158" s="5" t="str">
        <f t="shared" si="32"/>
        <v/>
      </c>
      <c r="X158" s="7" t="str">
        <f t="shared" si="33"/>
        <v/>
      </c>
      <c r="Y158" s="8" t="str">
        <f t="shared" si="26"/>
        <v/>
      </c>
      <c r="Z158" s="31" t="str">
        <f>IF(AA158=0,"",IF(_ijour122=0,MIN(DATE(YEAR(_debamort122),MONTH(_debamort122)+_moisd12+(W158-1)*_imois122,__jou21),DATE(YEAR(_debamort122),MONTH(_debamort122)+_moisd12+1+(W158-1)*_imois122,0)),DATE(YEAR(_debamort122),MONTH(_debamort122),__jou123+(W158-1)*_ijour122)))</f>
        <v/>
      </c>
      <c r="AA158" s="156">
        <f t="shared" si="34"/>
        <v>0</v>
      </c>
      <c r="AB158" s="153">
        <f>IF(W158&lt;=_noechmaxi1t,ROUND(AA158*'Données Projet 1 (2)'!H167,_nbdeci1t1),0)</f>
        <v>0</v>
      </c>
      <c r="AC158" s="152">
        <f>IF(OR(W158&lt;=_differe1t1t,W158&gt;_noechmaxi1t),IF(_difftotal1t1t,-AB158,0),IF(W158&gt;=_noechremb12,AA158,IF('Données Projet 1 (2)'!I167-(AB158*_echfixe12)&gt;AA158-2,AA158,'Données Projet 1 (2)'!I167-(AB158*_echfixe12))))+R158</f>
        <v>0</v>
      </c>
      <c r="AD158" s="154">
        <f t="shared" si="35"/>
        <v>0</v>
      </c>
      <c r="AE158" s="157">
        <f t="shared" si="27"/>
        <v>0</v>
      </c>
    </row>
    <row r="159" spans="1:31" x14ac:dyDescent="0.2">
      <c r="A159" s="3"/>
      <c r="B159" s="164"/>
      <c r="C159" s="22"/>
      <c r="D159" s="21"/>
      <c r="E159" s="23"/>
      <c r="F159" s="10"/>
      <c r="G159" s="5">
        <f t="shared" si="28"/>
        <v>153</v>
      </c>
      <c r="H159" s="7">
        <f t="shared" si="29"/>
        <v>268</v>
      </c>
      <c r="I159" s="8">
        <f t="shared" si="24"/>
        <v>2021</v>
      </c>
      <c r="J159" s="31">
        <f>IF(K159=0,"",IF(_ijour12=0,MIN(DATE(YEAR(_debamort12),MONTH(_debamort12)+(G159-1)*_imois12,_jour12),DATE(YEAR(_debamort12),MONTH(_debamort12)+1+(G159-1)*_imois12,0)),DATE(YEAR(_debamort12),MONTH(_debamort12),_jour12+(G159-1)*_ijour12)))</f>
        <v>44440</v>
      </c>
      <c r="K159" s="156">
        <f t="shared" si="30"/>
        <v>133018.28000000003</v>
      </c>
      <c r="L159" s="153">
        <f>IF(G159&lt;=_noeechmaxi1,ROUND(K159*'Données Projet 1 (2)'!A168,_nbdeci1t),0)</f>
        <v>206.18</v>
      </c>
      <c r="M159" s="152">
        <f>IF(OR(G159&lt;=_differe1t,G159&gt;_noeechmaxi1),IF(_difftotal1t,-L159,0),IF(G159&gt;=_noechremb1t,K159,IF('Données Projet 1 (2)'!B168-(L159*_echfixe1t)&gt;K159-2,K159,'Données Projet 1 (2)'!B168-(L159*_echfixe1t))))+B159</f>
        <v>400.73999999999995</v>
      </c>
      <c r="N159" s="154">
        <f t="shared" si="31"/>
        <v>15.6</v>
      </c>
      <c r="O159" s="157">
        <f t="shared" si="25"/>
        <v>622.52</v>
      </c>
      <c r="Q159" s="3"/>
      <c r="R159" s="164"/>
      <c r="S159" s="22"/>
      <c r="T159" s="21"/>
      <c r="U159" s="23"/>
      <c r="V159" s="10"/>
      <c r="W159" s="5" t="str">
        <f t="shared" si="32"/>
        <v/>
      </c>
      <c r="X159" s="7" t="str">
        <f t="shared" si="33"/>
        <v/>
      </c>
      <c r="Y159" s="8" t="str">
        <f t="shared" si="26"/>
        <v/>
      </c>
      <c r="Z159" s="31" t="str">
        <f>IF(AA159=0,"",IF(_ijour122=0,MIN(DATE(YEAR(_debamort122),MONTH(_debamort122)+(W159-1)*_imois122,__jou123),DATE(YEAR(_debamort122),MONTH(_debamort122)+1+(W159-1)*_imois122,0)),DATE(YEAR(_debamort122),MONTH(_debamort122),__jou123+(W159-1)*_ijour122)))</f>
        <v/>
      </c>
      <c r="AA159" s="156">
        <f t="shared" si="34"/>
        <v>0</v>
      </c>
      <c r="AB159" s="153">
        <f>IF(W159&lt;=_noechmaxi1t,ROUND(AA159*'Données Projet 1 (2)'!H168,_nbdeci1t1),0)</f>
        <v>0</v>
      </c>
      <c r="AC159" s="152">
        <f>IF(OR(W159&lt;=_differe1t1t,W159&gt;_noechmaxi1t),IF(_difftotal1t1t,-AB159,0),IF(W159&gt;=_noechremb12,AA159,IF('Données Projet 1 (2)'!I168-(AB159*_echfixe12)&gt;AA159-2,AA159,'Données Projet 1 (2)'!I168-(AB159*_echfixe12))))+R159</f>
        <v>0</v>
      </c>
      <c r="AD159" s="154">
        <f t="shared" si="35"/>
        <v>0</v>
      </c>
      <c r="AE159" s="157">
        <f t="shared" si="27"/>
        <v>0</v>
      </c>
    </row>
    <row r="160" spans="1:31" x14ac:dyDescent="0.2">
      <c r="A160" s="3"/>
      <c r="B160" s="164"/>
      <c r="C160" s="22"/>
      <c r="D160" s="21"/>
      <c r="E160" s="23"/>
      <c r="F160" s="10"/>
      <c r="G160" s="5">
        <f t="shared" si="28"/>
        <v>154</v>
      </c>
      <c r="H160" s="7">
        <f t="shared" si="29"/>
        <v>267</v>
      </c>
      <c r="I160" s="8">
        <f t="shared" si="24"/>
        <v>2021</v>
      </c>
      <c r="J160" s="31">
        <f>IF(K160=0,"",IF(_ijour12=0,MIN(DATE(YEAR(_debamort12),MONTH(_debamort12)+_MoisD+(G160-1)*_imois12,_jour212),DATE(YEAR(_debamort12),MONTH(_debamort12)+_MoisD+1+(G160-1)*_imois12,0)),DATE(YEAR(_debamort12),MONTH(_debamort12),_jour12+(G160-1)*_ijour12)))</f>
        <v>44470</v>
      </c>
      <c r="K160" s="156">
        <f t="shared" si="30"/>
        <v>132617.54000000004</v>
      </c>
      <c r="L160" s="153">
        <f>IF(G160&lt;=_noeechmaxi1,ROUND(K160*'Données Projet 1 (2)'!A169,_nbdeci1t),0)</f>
        <v>205.56</v>
      </c>
      <c r="M160" s="152">
        <f>IF(OR(G160&lt;=_differe1t,G160&gt;_noeechmaxi1),IF(_difftotal1t,-L160,0),IF(G160&gt;=_noechremb1t,K160,IF('Données Projet 1 (2)'!B169-(L160*_echfixe1t)&gt;K160-2,K160,'Données Projet 1 (2)'!B169-(L160*_echfixe1t))))+B160</f>
        <v>401.35999999999996</v>
      </c>
      <c r="N160" s="154">
        <f t="shared" si="31"/>
        <v>15.6</v>
      </c>
      <c r="O160" s="157">
        <f t="shared" si="25"/>
        <v>622.52</v>
      </c>
      <c r="Q160" s="3"/>
      <c r="R160" s="164"/>
      <c r="S160" s="22"/>
      <c r="T160" s="21"/>
      <c r="U160" s="23"/>
      <c r="V160" s="10"/>
      <c r="W160" s="5" t="str">
        <f t="shared" si="32"/>
        <v/>
      </c>
      <c r="X160" s="7" t="str">
        <f t="shared" si="33"/>
        <v/>
      </c>
      <c r="Y160" s="8" t="str">
        <f t="shared" si="26"/>
        <v/>
      </c>
      <c r="Z160" s="31" t="str">
        <f>IF(AA160=0,"",IF(_ijour122=0,MIN(DATE(YEAR(_debamort122),MONTH(_debamort122)+_moisd12+(W160-1)*_imois122,__jou21),DATE(YEAR(_debamort122),MONTH(_debamort122)+_moisd12+1+(W160-1)*_imois122,0)),DATE(YEAR(_debamort122),MONTH(_debamort122),__jou123+(W160-1)*_ijour122)))</f>
        <v/>
      </c>
      <c r="AA160" s="156">
        <f t="shared" si="34"/>
        <v>0</v>
      </c>
      <c r="AB160" s="153">
        <f>IF(W160&lt;=_noechmaxi1t,ROUND(AA160*'Données Projet 1 (2)'!H169,_nbdeci1t1),0)</f>
        <v>0</v>
      </c>
      <c r="AC160" s="152">
        <f>IF(OR(W160&lt;=_differe1t1t,W160&gt;_noechmaxi1t),IF(_difftotal1t1t,-AB160,0),IF(W160&gt;=_noechremb12,AA160,IF('Données Projet 1 (2)'!I169-(AB160*_echfixe12)&gt;AA160-2,AA160,'Données Projet 1 (2)'!I169-(AB160*_echfixe12))))+R160</f>
        <v>0</v>
      </c>
      <c r="AD160" s="154">
        <f t="shared" si="35"/>
        <v>0</v>
      </c>
      <c r="AE160" s="157">
        <f t="shared" si="27"/>
        <v>0</v>
      </c>
    </row>
    <row r="161" spans="1:31" x14ac:dyDescent="0.2">
      <c r="A161" s="3"/>
      <c r="B161" s="164"/>
      <c r="C161" s="22"/>
      <c r="D161" s="21"/>
      <c r="E161" s="23"/>
      <c r="F161" s="10"/>
      <c r="G161" s="5">
        <f t="shared" si="28"/>
        <v>155</v>
      </c>
      <c r="H161" s="7">
        <f t="shared" si="29"/>
        <v>266</v>
      </c>
      <c r="I161" s="8">
        <f t="shared" si="24"/>
        <v>2021</v>
      </c>
      <c r="J161" s="31">
        <f>IF(K161=0,"",IF(_ijour12=0,MIN(DATE(YEAR(_debamort12),MONTH(_debamort12)+(G161-1)*_imois12,_jour12),DATE(YEAR(_debamort12),MONTH(_debamort12)+1+(G161-1)*_imois12,0)),DATE(YEAR(_debamort12),MONTH(_debamort12),_jour12+(G161-1)*_ijour12)))</f>
        <v>44501</v>
      </c>
      <c r="K161" s="156">
        <f t="shared" si="30"/>
        <v>132216.18000000005</v>
      </c>
      <c r="L161" s="153">
        <f>IF(G161&lt;=_noeechmaxi1,ROUND(K161*'Données Projet 1 (2)'!A170,_nbdeci1t),0)</f>
        <v>204.94</v>
      </c>
      <c r="M161" s="152">
        <f>IF(OR(G161&lt;=_differe1t,G161&gt;_noeechmaxi1),IF(_difftotal1t,-L161,0),IF(G161&gt;=_noechremb1t,K161,IF('Données Projet 1 (2)'!B170-(L161*_echfixe1t)&gt;K161-2,K161,'Données Projet 1 (2)'!B170-(L161*_echfixe1t))))+B161</f>
        <v>401.97999999999996</v>
      </c>
      <c r="N161" s="154">
        <f t="shared" si="31"/>
        <v>15.6</v>
      </c>
      <c r="O161" s="157">
        <f t="shared" si="25"/>
        <v>622.52</v>
      </c>
      <c r="Q161" s="3"/>
      <c r="R161" s="164"/>
      <c r="S161" s="22"/>
      <c r="T161" s="21"/>
      <c r="U161" s="23"/>
      <c r="V161" s="10"/>
      <c r="W161" s="5" t="str">
        <f t="shared" si="32"/>
        <v/>
      </c>
      <c r="X161" s="7" t="str">
        <f t="shared" si="33"/>
        <v/>
      </c>
      <c r="Y161" s="8" t="str">
        <f t="shared" si="26"/>
        <v/>
      </c>
      <c r="Z161" s="31" t="str">
        <f>IF(AA161=0,"",IF(_ijour122=0,MIN(DATE(YEAR(_debamort122),MONTH(_debamort122)+(W161-1)*_imois122,__jou123),DATE(YEAR(_debamort122),MONTH(_debamort122)+1+(W161-1)*_imois122,0)),DATE(YEAR(_debamort122),MONTH(_debamort122),__jou123+(W161-1)*_ijour122)))</f>
        <v/>
      </c>
      <c r="AA161" s="156">
        <f t="shared" si="34"/>
        <v>0</v>
      </c>
      <c r="AB161" s="153">
        <f>IF(W161&lt;=_noechmaxi1t,ROUND(AA161*'Données Projet 1 (2)'!H170,_nbdeci1t1),0)</f>
        <v>0</v>
      </c>
      <c r="AC161" s="152">
        <f>IF(OR(W161&lt;=_differe1t1t,W161&gt;_noechmaxi1t),IF(_difftotal1t1t,-AB161,0),IF(W161&gt;=_noechremb12,AA161,IF('Données Projet 1 (2)'!I170-(AB161*_echfixe12)&gt;AA161-2,AA161,'Données Projet 1 (2)'!I170-(AB161*_echfixe12))))+R161</f>
        <v>0</v>
      </c>
      <c r="AD161" s="154">
        <f t="shared" si="35"/>
        <v>0</v>
      </c>
      <c r="AE161" s="157">
        <f t="shared" si="27"/>
        <v>0</v>
      </c>
    </row>
    <row r="162" spans="1:31" x14ac:dyDescent="0.2">
      <c r="A162" s="3"/>
      <c r="B162" s="164"/>
      <c r="C162" s="22"/>
      <c r="D162" s="21"/>
      <c r="E162" s="23"/>
      <c r="F162" s="10"/>
      <c r="G162" s="5">
        <f t="shared" si="28"/>
        <v>156</v>
      </c>
      <c r="H162" s="7">
        <f t="shared" si="29"/>
        <v>265</v>
      </c>
      <c r="I162" s="8">
        <f t="shared" si="24"/>
        <v>2021</v>
      </c>
      <c r="J162" s="31">
        <f>IF(K162=0,"",IF(_ijour12=0,MIN(DATE(YEAR(_debamort12),MONTH(_debamort12)+_MoisD+(G162-1)*_imois12,_jour212),DATE(YEAR(_debamort12),MONTH(_debamort12)+_MoisD+1+(G162-1)*_imois12,0)),DATE(YEAR(_debamort12),MONTH(_debamort12),_jour12+(G162-1)*_ijour12)))</f>
        <v>44531</v>
      </c>
      <c r="K162" s="156">
        <f t="shared" si="30"/>
        <v>131814.20000000004</v>
      </c>
      <c r="L162" s="153">
        <f>IF(G162&lt;=_noeechmaxi1,ROUND(K162*'Données Projet 1 (2)'!A171,_nbdeci1t),0)</f>
        <v>204.31</v>
      </c>
      <c r="M162" s="152">
        <f>IF(OR(G162&lt;=_differe1t,G162&gt;_noeechmaxi1),IF(_difftotal1t,-L162,0),IF(G162&gt;=_noechremb1t,K162,IF('Données Projet 1 (2)'!B171-(L162*_echfixe1t)&gt;K162-2,K162,'Données Projet 1 (2)'!B171-(L162*_echfixe1t))))+B162</f>
        <v>402.60999999999996</v>
      </c>
      <c r="N162" s="154">
        <f t="shared" si="31"/>
        <v>15.6</v>
      </c>
      <c r="O162" s="157">
        <f t="shared" si="25"/>
        <v>622.52</v>
      </c>
      <c r="Q162" s="3"/>
      <c r="R162" s="164"/>
      <c r="S162" s="22"/>
      <c r="T162" s="21"/>
      <c r="U162" s="23"/>
      <c r="V162" s="10"/>
      <c r="W162" s="5" t="str">
        <f t="shared" si="32"/>
        <v/>
      </c>
      <c r="X162" s="7" t="str">
        <f t="shared" si="33"/>
        <v/>
      </c>
      <c r="Y162" s="8" t="str">
        <f t="shared" si="26"/>
        <v/>
      </c>
      <c r="Z162" s="31" t="str">
        <f>IF(AA162=0,"",IF(_ijour122=0,MIN(DATE(YEAR(_debamort122),MONTH(_debamort122)+_moisd12+(W162-1)*_imois122,__jou21),DATE(YEAR(_debamort122),MONTH(_debamort122)+_moisd12+1+(W162-1)*_imois122,0)),DATE(YEAR(_debamort122),MONTH(_debamort122),__jou123+(W162-1)*_ijour122)))</f>
        <v/>
      </c>
      <c r="AA162" s="156">
        <f t="shared" si="34"/>
        <v>0</v>
      </c>
      <c r="AB162" s="153">
        <f>IF(W162&lt;=_noechmaxi1t,ROUND(AA162*'Données Projet 1 (2)'!H171,_nbdeci1t1),0)</f>
        <v>0</v>
      </c>
      <c r="AC162" s="152">
        <f>IF(OR(W162&lt;=_differe1t1t,W162&gt;_noechmaxi1t),IF(_difftotal1t1t,-AB162,0),IF(W162&gt;=_noechremb12,AA162,IF('Données Projet 1 (2)'!I171-(AB162*_echfixe12)&gt;AA162-2,AA162,'Données Projet 1 (2)'!I171-(AB162*_echfixe12))))+R162</f>
        <v>0</v>
      </c>
      <c r="AD162" s="154">
        <f t="shared" si="35"/>
        <v>0</v>
      </c>
      <c r="AE162" s="157">
        <f t="shared" si="27"/>
        <v>0</v>
      </c>
    </row>
    <row r="163" spans="1:31" x14ac:dyDescent="0.2">
      <c r="A163" s="3"/>
      <c r="B163" s="164"/>
      <c r="C163" s="22"/>
      <c r="D163" s="21"/>
      <c r="E163" s="23"/>
      <c r="F163" s="10"/>
      <c r="G163" s="5">
        <f t="shared" si="28"/>
        <v>157</v>
      </c>
      <c r="H163" s="7">
        <f t="shared" si="29"/>
        <v>264</v>
      </c>
      <c r="I163" s="8">
        <f t="shared" si="24"/>
        <v>2022</v>
      </c>
      <c r="J163" s="31">
        <f>IF(K163=0,"",IF(_ijour12=0,MIN(DATE(YEAR(_debamort12),MONTH(_debamort12)+(G163-1)*_imois12,_jour12),DATE(YEAR(_debamort12),MONTH(_debamort12)+1+(G163-1)*_imois12,0)),DATE(YEAR(_debamort12),MONTH(_debamort12),_jour12+(G163-1)*_ijour12)))</f>
        <v>44562</v>
      </c>
      <c r="K163" s="156">
        <f t="shared" si="30"/>
        <v>131411.59000000005</v>
      </c>
      <c r="L163" s="153">
        <f>IF(G163&lt;=_noeechmaxi1,ROUND(K163*'Données Projet 1 (2)'!A172,_nbdeci1t),0)</f>
        <v>203.69</v>
      </c>
      <c r="M163" s="152">
        <f>IF(OR(G163&lt;=_differe1t,G163&gt;_noeechmaxi1),IF(_difftotal1t,-L163,0),IF(G163&gt;=_noechremb1t,K163,IF('Données Projet 1 (2)'!B172-(L163*_echfixe1t)&gt;K163-2,K163,'Données Projet 1 (2)'!B172-(L163*_echfixe1t))))+B163</f>
        <v>403.22999999999996</v>
      </c>
      <c r="N163" s="154">
        <f t="shared" si="31"/>
        <v>15.6</v>
      </c>
      <c r="O163" s="157">
        <f t="shared" si="25"/>
        <v>622.52</v>
      </c>
      <c r="Q163" s="3"/>
      <c r="R163" s="164"/>
      <c r="S163" s="22"/>
      <c r="T163" s="21"/>
      <c r="U163" s="23"/>
      <c r="V163" s="10"/>
      <c r="W163" s="5" t="str">
        <f t="shared" si="32"/>
        <v/>
      </c>
      <c r="X163" s="7" t="str">
        <f t="shared" si="33"/>
        <v/>
      </c>
      <c r="Y163" s="8" t="str">
        <f t="shared" si="26"/>
        <v/>
      </c>
      <c r="Z163" s="31" t="str">
        <f>IF(AA163=0,"",IF(_ijour122=0,MIN(DATE(YEAR(_debamort122),MONTH(_debamort122)+(W163-1)*_imois122,__jou123),DATE(YEAR(_debamort122),MONTH(_debamort122)+1+(W163-1)*_imois122,0)),DATE(YEAR(_debamort122),MONTH(_debamort122),__jou123+(W163-1)*_ijour122)))</f>
        <v/>
      </c>
      <c r="AA163" s="156">
        <f t="shared" si="34"/>
        <v>0</v>
      </c>
      <c r="AB163" s="153">
        <f>IF(W163&lt;=_noechmaxi1t,ROUND(AA163*'Données Projet 1 (2)'!H172,_nbdeci1t1),0)</f>
        <v>0</v>
      </c>
      <c r="AC163" s="152">
        <f>IF(OR(W163&lt;=_differe1t1t,W163&gt;_noechmaxi1t),IF(_difftotal1t1t,-AB163,0),IF(W163&gt;=_noechremb12,AA163,IF('Données Projet 1 (2)'!I172-(AB163*_echfixe12)&gt;AA163-2,AA163,'Données Projet 1 (2)'!I172-(AB163*_echfixe12))))+R163</f>
        <v>0</v>
      </c>
      <c r="AD163" s="154">
        <f t="shared" si="35"/>
        <v>0</v>
      </c>
      <c r="AE163" s="157">
        <f t="shared" si="27"/>
        <v>0</v>
      </c>
    </row>
    <row r="164" spans="1:31" x14ac:dyDescent="0.2">
      <c r="A164" s="3"/>
      <c r="B164" s="164"/>
      <c r="C164" s="22"/>
      <c r="D164" s="21"/>
      <c r="E164" s="23"/>
      <c r="F164" s="10"/>
      <c r="G164" s="5">
        <f t="shared" si="28"/>
        <v>158</v>
      </c>
      <c r="H164" s="7">
        <f t="shared" si="29"/>
        <v>263</v>
      </c>
      <c r="I164" s="8">
        <f t="shared" si="24"/>
        <v>2022</v>
      </c>
      <c r="J164" s="31">
        <f>IF(K164=0,"",IF(_ijour12=0,MIN(DATE(YEAR(_debamort12),MONTH(_debamort12)+_MoisD+(G164-1)*_imois12,_jour212),DATE(YEAR(_debamort12),MONTH(_debamort12)+_MoisD+1+(G164-1)*_imois12,0)),DATE(YEAR(_debamort12),MONTH(_debamort12),_jour12+(G164-1)*_ijour12)))</f>
        <v>44593</v>
      </c>
      <c r="K164" s="156">
        <f t="shared" si="30"/>
        <v>131008.36000000006</v>
      </c>
      <c r="L164" s="153">
        <f>IF(G164&lt;=_noeechmaxi1,ROUND(K164*'Données Projet 1 (2)'!A173,_nbdeci1t),0)</f>
        <v>203.06</v>
      </c>
      <c r="M164" s="152">
        <f>IF(OR(G164&lt;=_differe1t,G164&gt;_noeechmaxi1),IF(_difftotal1t,-L164,0),IF(G164&gt;=_noechremb1t,K164,IF('Données Projet 1 (2)'!B173-(L164*_echfixe1t)&gt;K164-2,K164,'Données Projet 1 (2)'!B173-(L164*_echfixe1t))))+B164</f>
        <v>403.85999999999996</v>
      </c>
      <c r="N164" s="154">
        <f t="shared" si="31"/>
        <v>15.6</v>
      </c>
      <c r="O164" s="157">
        <f t="shared" si="25"/>
        <v>622.52</v>
      </c>
      <c r="Q164" s="3"/>
      <c r="R164" s="164"/>
      <c r="S164" s="22"/>
      <c r="T164" s="21"/>
      <c r="U164" s="23"/>
      <c r="V164" s="10"/>
      <c r="W164" s="5" t="str">
        <f t="shared" si="32"/>
        <v/>
      </c>
      <c r="X164" s="7" t="str">
        <f t="shared" si="33"/>
        <v/>
      </c>
      <c r="Y164" s="8" t="str">
        <f t="shared" si="26"/>
        <v/>
      </c>
      <c r="Z164" s="31" t="str">
        <f>IF(AA164=0,"",IF(_ijour122=0,MIN(DATE(YEAR(_debamort122),MONTH(_debamort122)+_moisd12+(W164-1)*_imois122,__jou21),DATE(YEAR(_debamort122),MONTH(_debamort122)+_moisd12+1+(W164-1)*_imois122,0)),DATE(YEAR(_debamort122),MONTH(_debamort122),__jou123+(W164-1)*_ijour122)))</f>
        <v/>
      </c>
      <c r="AA164" s="156">
        <f t="shared" si="34"/>
        <v>0</v>
      </c>
      <c r="AB164" s="153">
        <f>IF(W164&lt;=_noechmaxi1t,ROUND(AA164*'Données Projet 1 (2)'!H173,_nbdeci1t1),0)</f>
        <v>0</v>
      </c>
      <c r="AC164" s="152">
        <f>IF(OR(W164&lt;=_differe1t1t,W164&gt;_noechmaxi1t),IF(_difftotal1t1t,-AB164,0),IF(W164&gt;=_noechremb12,AA164,IF('Données Projet 1 (2)'!I173-(AB164*_echfixe12)&gt;AA164-2,AA164,'Données Projet 1 (2)'!I173-(AB164*_echfixe12))))+R164</f>
        <v>0</v>
      </c>
      <c r="AD164" s="154">
        <f t="shared" si="35"/>
        <v>0</v>
      </c>
      <c r="AE164" s="157">
        <f t="shared" si="27"/>
        <v>0</v>
      </c>
    </row>
    <row r="165" spans="1:31" x14ac:dyDescent="0.2">
      <c r="A165" s="3"/>
      <c r="B165" s="164"/>
      <c r="C165" s="22"/>
      <c r="D165" s="21"/>
      <c r="E165" s="23"/>
      <c r="F165" s="10"/>
      <c r="G165" s="5">
        <f t="shared" si="28"/>
        <v>159</v>
      </c>
      <c r="H165" s="7">
        <f t="shared" si="29"/>
        <v>262</v>
      </c>
      <c r="I165" s="8">
        <f t="shared" si="24"/>
        <v>2022</v>
      </c>
      <c r="J165" s="31">
        <f>IF(K165=0,"",IF(_ijour12=0,MIN(DATE(YEAR(_debamort12),MONTH(_debamort12)+(G165-1)*_imois12,_jour12),DATE(YEAR(_debamort12),MONTH(_debamort12)+1+(G165-1)*_imois12,0)),DATE(YEAR(_debamort12),MONTH(_debamort12),_jour12+(G165-1)*_ijour12)))</f>
        <v>44621</v>
      </c>
      <c r="K165" s="156">
        <f t="shared" si="30"/>
        <v>130604.50000000006</v>
      </c>
      <c r="L165" s="153">
        <f>IF(G165&lt;=_noeechmaxi1,ROUND(K165*'Données Projet 1 (2)'!A174,_nbdeci1t),0)</f>
        <v>202.44</v>
      </c>
      <c r="M165" s="152">
        <f>IF(OR(G165&lt;=_differe1t,G165&gt;_noeechmaxi1),IF(_difftotal1t,-L165,0),IF(G165&gt;=_noechremb1t,K165,IF('Données Projet 1 (2)'!B174-(L165*_echfixe1t)&gt;K165-2,K165,'Données Projet 1 (2)'!B174-(L165*_echfixe1t))))+B165</f>
        <v>404.47999999999996</v>
      </c>
      <c r="N165" s="154">
        <f t="shared" si="31"/>
        <v>15.6</v>
      </c>
      <c r="O165" s="157">
        <f t="shared" si="25"/>
        <v>622.52</v>
      </c>
      <c r="Q165" s="3"/>
      <c r="R165" s="164"/>
      <c r="S165" s="22"/>
      <c r="T165" s="21"/>
      <c r="U165" s="23"/>
      <c r="V165" s="10"/>
      <c r="W165" s="5" t="str">
        <f t="shared" si="32"/>
        <v/>
      </c>
      <c r="X165" s="7" t="str">
        <f t="shared" si="33"/>
        <v/>
      </c>
      <c r="Y165" s="8" t="str">
        <f t="shared" si="26"/>
        <v/>
      </c>
      <c r="Z165" s="31" t="str">
        <f>IF(AA165=0,"",IF(_ijour122=0,MIN(DATE(YEAR(_debamort122),MONTH(_debamort122)+(W165-1)*_imois122,__jou123),DATE(YEAR(_debamort122),MONTH(_debamort122)+1+(W165-1)*_imois122,0)),DATE(YEAR(_debamort122),MONTH(_debamort122),__jou123+(W165-1)*_ijour122)))</f>
        <v/>
      </c>
      <c r="AA165" s="156">
        <f t="shared" si="34"/>
        <v>0</v>
      </c>
      <c r="AB165" s="153">
        <f>IF(W165&lt;=_noechmaxi1t,ROUND(AA165*'Données Projet 1 (2)'!H174,_nbdeci1t1),0)</f>
        <v>0</v>
      </c>
      <c r="AC165" s="152">
        <f>IF(OR(W165&lt;=_differe1t1t,W165&gt;_noechmaxi1t),IF(_difftotal1t1t,-AB165,0),IF(W165&gt;=_noechremb12,AA165,IF('Données Projet 1 (2)'!I174-(AB165*_echfixe12)&gt;AA165-2,AA165,'Données Projet 1 (2)'!I174-(AB165*_echfixe12))))+R165</f>
        <v>0</v>
      </c>
      <c r="AD165" s="154">
        <f t="shared" si="35"/>
        <v>0</v>
      </c>
      <c r="AE165" s="157">
        <f t="shared" si="27"/>
        <v>0</v>
      </c>
    </row>
    <row r="166" spans="1:31" x14ac:dyDescent="0.2">
      <c r="A166" s="3"/>
      <c r="B166" s="164"/>
      <c r="C166" s="22"/>
      <c r="D166" s="21"/>
      <c r="E166" s="23"/>
      <c r="F166" s="10"/>
      <c r="G166" s="5">
        <f t="shared" si="28"/>
        <v>160</v>
      </c>
      <c r="H166" s="7">
        <f t="shared" si="29"/>
        <v>261</v>
      </c>
      <c r="I166" s="8">
        <f t="shared" si="24"/>
        <v>2022</v>
      </c>
      <c r="J166" s="31">
        <f>IF(K166=0,"",IF(_ijour12=0,MIN(DATE(YEAR(_debamort12),MONTH(_debamort12)+_MoisD+(G166-1)*_imois12,_jour212),DATE(YEAR(_debamort12),MONTH(_debamort12)+_MoisD+1+(G166-1)*_imois12,0)),DATE(YEAR(_debamort12),MONTH(_debamort12),_jour12+(G166-1)*_ijour12)))</f>
        <v>44652</v>
      </c>
      <c r="K166" s="156">
        <f t="shared" si="30"/>
        <v>130200.02000000006</v>
      </c>
      <c r="L166" s="153">
        <f>IF(G166&lt;=_noeechmaxi1,ROUND(K166*'Données Projet 1 (2)'!A175,_nbdeci1t),0)</f>
        <v>201.81</v>
      </c>
      <c r="M166" s="152">
        <f>IF(OR(G166&lt;=_differe1t,G166&gt;_noeechmaxi1),IF(_difftotal1t,-L166,0),IF(G166&gt;=_noechremb1t,K166,IF('Données Projet 1 (2)'!B175-(L166*_echfixe1t)&gt;K166-2,K166,'Données Projet 1 (2)'!B175-(L166*_echfixe1t))))+B166</f>
        <v>405.10999999999996</v>
      </c>
      <c r="N166" s="154">
        <f t="shared" si="31"/>
        <v>15.6</v>
      </c>
      <c r="O166" s="157">
        <f t="shared" si="25"/>
        <v>622.52</v>
      </c>
      <c r="Q166" s="3"/>
      <c r="R166" s="164"/>
      <c r="S166" s="22"/>
      <c r="T166" s="21"/>
      <c r="U166" s="23"/>
      <c r="V166" s="10"/>
      <c r="W166" s="5" t="str">
        <f t="shared" si="32"/>
        <v/>
      </c>
      <c r="X166" s="7" t="str">
        <f t="shared" si="33"/>
        <v/>
      </c>
      <c r="Y166" s="8" t="str">
        <f t="shared" si="26"/>
        <v/>
      </c>
      <c r="Z166" s="31" t="str">
        <f>IF(AA166=0,"",IF(_ijour122=0,MIN(DATE(YEAR(_debamort122),MONTH(_debamort122)+_moisd12+(W166-1)*_imois122,__jou21),DATE(YEAR(_debamort122),MONTH(_debamort122)+_moisd12+1+(W166-1)*_imois122,0)),DATE(YEAR(_debamort122),MONTH(_debamort122),__jou123+(W166-1)*_ijour122)))</f>
        <v/>
      </c>
      <c r="AA166" s="156">
        <f t="shared" si="34"/>
        <v>0</v>
      </c>
      <c r="AB166" s="153">
        <f>IF(W166&lt;=_noechmaxi1t,ROUND(AA166*'Données Projet 1 (2)'!H175,_nbdeci1t1),0)</f>
        <v>0</v>
      </c>
      <c r="AC166" s="152">
        <f>IF(OR(W166&lt;=_differe1t1t,W166&gt;_noechmaxi1t),IF(_difftotal1t1t,-AB166,0),IF(W166&gt;=_noechremb12,AA166,IF('Données Projet 1 (2)'!I175-(AB166*_echfixe12)&gt;AA166-2,AA166,'Données Projet 1 (2)'!I175-(AB166*_echfixe12))))+R166</f>
        <v>0</v>
      </c>
      <c r="AD166" s="154">
        <f t="shared" si="35"/>
        <v>0</v>
      </c>
      <c r="AE166" s="157">
        <f t="shared" si="27"/>
        <v>0</v>
      </c>
    </row>
    <row r="167" spans="1:31" x14ac:dyDescent="0.2">
      <c r="A167" s="3"/>
      <c r="B167" s="164"/>
      <c r="C167" s="22"/>
      <c r="D167" s="21"/>
      <c r="E167" s="23"/>
      <c r="F167" s="10"/>
      <c r="G167" s="5">
        <f t="shared" si="28"/>
        <v>161</v>
      </c>
      <c r="H167" s="7">
        <f t="shared" si="29"/>
        <v>260</v>
      </c>
      <c r="I167" s="8">
        <f t="shared" si="24"/>
        <v>2022</v>
      </c>
      <c r="J167" s="31">
        <f>IF(K167=0,"",IF(_ijour12=0,MIN(DATE(YEAR(_debamort12),MONTH(_debamort12)+(G167-1)*_imois12,_jour12),DATE(YEAR(_debamort12),MONTH(_debamort12)+1+(G167-1)*_imois12,0)),DATE(YEAR(_debamort12),MONTH(_debamort12),_jour12+(G167-1)*_ijour12)))</f>
        <v>44682</v>
      </c>
      <c r="K167" s="156">
        <f t="shared" si="30"/>
        <v>129794.91000000006</v>
      </c>
      <c r="L167" s="153">
        <f>IF(G167&lt;=_noeechmaxi1,ROUND(K167*'Données Projet 1 (2)'!A176,_nbdeci1t),0)</f>
        <v>201.18</v>
      </c>
      <c r="M167" s="152">
        <f>IF(OR(G167&lt;=_differe1t,G167&gt;_noeechmaxi1),IF(_difftotal1t,-L167,0),IF(G167&gt;=_noechremb1t,K167,IF('Données Projet 1 (2)'!B176-(L167*_echfixe1t)&gt;K167-2,K167,'Données Projet 1 (2)'!B176-(L167*_echfixe1t))))+B167</f>
        <v>405.73999999999995</v>
      </c>
      <c r="N167" s="154">
        <f t="shared" si="31"/>
        <v>15.6</v>
      </c>
      <c r="O167" s="157">
        <f t="shared" si="25"/>
        <v>622.52</v>
      </c>
      <c r="Q167" s="3"/>
      <c r="R167" s="164"/>
      <c r="S167" s="22"/>
      <c r="T167" s="21"/>
      <c r="U167" s="23"/>
      <c r="V167" s="10"/>
      <c r="W167" s="5" t="str">
        <f t="shared" si="32"/>
        <v/>
      </c>
      <c r="X167" s="7" t="str">
        <f t="shared" si="33"/>
        <v/>
      </c>
      <c r="Y167" s="8" t="str">
        <f t="shared" si="26"/>
        <v/>
      </c>
      <c r="Z167" s="31" t="str">
        <f>IF(AA167=0,"",IF(_ijour122=0,MIN(DATE(YEAR(_debamort122),MONTH(_debamort122)+(W167-1)*_imois122,__jou123),DATE(YEAR(_debamort122),MONTH(_debamort122)+1+(W167-1)*_imois122,0)),DATE(YEAR(_debamort122),MONTH(_debamort122),__jou123+(W167-1)*_ijour122)))</f>
        <v/>
      </c>
      <c r="AA167" s="156">
        <f t="shared" si="34"/>
        <v>0</v>
      </c>
      <c r="AB167" s="153">
        <f>IF(W167&lt;=_noechmaxi1t,ROUND(AA167*'Données Projet 1 (2)'!H176,_nbdeci1t1),0)</f>
        <v>0</v>
      </c>
      <c r="AC167" s="152">
        <f>IF(OR(W167&lt;=_differe1t1t,W167&gt;_noechmaxi1t),IF(_difftotal1t1t,-AB167,0),IF(W167&gt;=_noechremb12,AA167,IF('Données Projet 1 (2)'!I176-(AB167*_echfixe12)&gt;AA167-2,AA167,'Données Projet 1 (2)'!I176-(AB167*_echfixe12))))+R167</f>
        <v>0</v>
      </c>
      <c r="AD167" s="154">
        <f t="shared" si="35"/>
        <v>0</v>
      </c>
      <c r="AE167" s="157">
        <f t="shared" si="27"/>
        <v>0</v>
      </c>
    </row>
    <row r="168" spans="1:31" x14ac:dyDescent="0.2">
      <c r="A168" s="3"/>
      <c r="B168" s="164"/>
      <c r="C168" s="22"/>
      <c r="D168" s="21"/>
      <c r="E168" s="23"/>
      <c r="F168" s="10"/>
      <c r="G168" s="5">
        <f t="shared" si="28"/>
        <v>162</v>
      </c>
      <c r="H168" s="7">
        <f t="shared" si="29"/>
        <v>259</v>
      </c>
      <c r="I168" s="8">
        <f t="shared" si="24"/>
        <v>2022</v>
      </c>
      <c r="J168" s="31">
        <f>IF(K168=0,"",IF(_ijour12=0,MIN(DATE(YEAR(_debamort12),MONTH(_debamort12)+_MoisD+(G168-1)*_imois12,_jour212),DATE(YEAR(_debamort12),MONTH(_debamort12)+_MoisD+1+(G168-1)*_imois12,0)),DATE(YEAR(_debamort12),MONTH(_debamort12),_jour12+(G168-1)*_ijour12)))</f>
        <v>44713</v>
      </c>
      <c r="K168" s="156">
        <f t="shared" si="30"/>
        <v>129389.17000000006</v>
      </c>
      <c r="L168" s="153">
        <f>IF(G168&lt;=_noeechmaxi1,ROUND(K168*'Données Projet 1 (2)'!A177,_nbdeci1t),0)</f>
        <v>200.55</v>
      </c>
      <c r="M168" s="152">
        <f>IF(OR(G168&lt;=_differe1t,G168&gt;_noeechmaxi1),IF(_difftotal1t,-L168,0),IF(G168&gt;=_noechremb1t,K168,IF('Données Projet 1 (2)'!B177-(L168*_echfixe1t)&gt;K168-2,K168,'Données Projet 1 (2)'!B177-(L168*_echfixe1t))))+B168</f>
        <v>406.36999999999995</v>
      </c>
      <c r="N168" s="154">
        <f t="shared" si="31"/>
        <v>15.6</v>
      </c>
      <c r="O168" s="157">
        <f t="shared" si="25"/>
        <v>622.52</v>
      </c>
      <c r="Q168" s="3"/>
      <c r="R168" s="164"/>
      <c r="S168" s="22"/>
      <c r="T168" s="21"/>
      <c r="U168" s="23"/>
      <c r="V168" s="10"/>
      <c r="W168" s="5" t="str">
        <f t="shared" si="32"/>
        <v/>
      </c>
      <c r="X168" s="7" t="str">
        <f t="shared" si="33"/>
        <v/>
      </c>
      <c r="Y168" s="8" t="str">
        <f t="shared" si="26"/>
        <v/>
      </c>
      <c r="Z168" s="31" t="str">
        <f>IF(AA168=0,"",IF(_ijour122=0,MIN(DATE(YEAR(_debamort122),MONTH(_debamort122)+_moisd12+(W168-1)*_imois122,__jou21),DATE(YEAR(_debamort122),MONTH(_debamort122)+_moisd12+1+(W168-1)*_imois122,0)),DATE(YEAR(_debamort122),MONTH(_debamort122),__jou123+(W168-1)*_ijour122)))</f>
        <v/>
      </c>
      <c r="AA168" s="156">
        <f t="shared" si="34"/>
        <v>0</v>
      </c>
      <c r="AB168" s="153">
        <f>IF(W168&lt;=_noechmaxi1t,ROUND(AA168*'Données Projet 1 (2)'!H177,_nbdeci1t1),0)</f>
        <v>0</v>
      </c>
      <c r="AC168" s="152">
        <f>IF(OR(W168&lt;=_differe1t1t,W168&gt;_noechmaxi1t),IF(_difftotal1t1t,-AB168,0),IF(W168&gt;=_noechremb12,AA168,IF('Données Projet 1 (2)'!I177-(AB168*_echfixe12)&gt;AA168-2,AA168,'Données Projet 1 (2)'!I177-(AB168*_echfixe12))))+R168</f>
        <v>0</v>
      </c>
      <c r="AD168" s="154">
        <f t="shared" si="35"/>
        <v>0</v>
      </c>
      <c r="AE168" s="157">
        <f t="shared" si="27"/>
        <v>0</v>
      </c>
    </row>
    <row r="169" spans="1:31" x14ac:dyDescent="0.2">
      <c r="A169" s="3"/>
      <c r="B169" s="164"/>
      <c r="C169" s="22"/>
      <c r="D169" s="21"/>
      <c r="E169" s="23"/>
      <c r="F169" s="10"/>
      <c r="G169" s="5">
        <f t="shared" si="28"/>
        <v>163</v>
      </c>
      <c r="H169" s="7">
        <f t="shared" si="29"/>
        <v>258</v>
      </c>
      <c r="I169" s="8">
        <f t="shared" si="24"/>
        <v>2022</v>
      </c>
      <c r="J169" s="31">
        <f>IF(K169=0,"",IF(_ijour12=0,MIN(DATE(YEAR(_debamort12),MONTH(_debamort12)+(G169-1)*_imois12,_jour12),DATE(YEAR(_debamort12),MONTH(_debamort12)+1+(G169-1)*_imois12,0)),DATE(YEAR(_debamort12),MONTH(_debamort12),_jour12+(G169-1)*_ijour12)))</f>
        <v>44743</v>
      </c>
      <c r="K169" s="156">
        <f t="shared" si="30"/>
        <v>128982.80000000006</v>
      </c>
      <c r="L169" s="153">
        <f>IF(G169&lt;=_noeechmaxi1,ROUND(K169*'Données Projet 1 (2)'!A178,_nbdeci1t),0)</f>
        <v>199.92</v>
      </c>
      <c r="M169" s="152">
        <f>IF(OR(G169&lt;=_differe1t,G169&gt;_noeechmaxi1),IF(_difftotal1t,-L169,0),IF(G169&gt;=_noechremb1t,K169,IF('Données Projet 1 (2)'!B178-(L169*_echfixe1t)&gt;K169-2,K169,'Données Projet 1 (2)'!B178-(L169*_echfixe1t))))+B169</f>
        <v>407</v>
      </c>
      <c r="N169" s="154">
        <f t="shared" si="31"/>
        <v>15.6</v>
      </c>
      <c r="O169" s="157">
        <f t="shared" si="25"/>
        <v>622.52</v>
      </c>
      <c r="Q169" s="3"/>
      <c r="R169" s="164"/>
      <c r="S169" s="22"/>
      <c r="T169" s="21"/>
      <c r="U169" s="23"/>
      <c r="V169" s="10"/>
      <c r="W169" s="5" t="str">
        <f t="shared" si="32"/>
        <v/>
      </c>
      <c r="X169" s="7" t="str">
        <f t="shared" si="33"/>
        <v/>
      </c>
      <c r="Y169" s="8" t="str">
        <f t="shared" si="26"/>
        <v/>
      </c>
      <c r="Z169" s="31" t="str">
        <f>IF(AA169=0,"",IF(_ijour122=0,MIN(DATE(YEAR(_debamort122),MONTH(_debamort122)+(W169-1)*_imois122,__jou123),DATE(YEAR(_debamort122),MONTH(_debamort122)+1+(W169-1)*_imois122,0)),DATE(YEAR(_debamort122),MONTH(_debamort122),__jou123+(W169-1)*_ijour122)))</f>
        <v/>
      </c>
      <c r="AA169" s="156">
        <f t="shared" si="34"/>
        <v>0</v>
      </c>
      <c r="AB169" s="153">
        <f>IF(W169&lt;=_noechmaxi1t,ROUND(AA169*'Données Projet 1 (2)'!H178,_nbdeci1t1),0)</f>
        <v>0</v>
      </c>
      <c r="AC169" s="152">
        <f>IF(OR(W169&lt;=_differe1t1t,W169&gt;_noechmaxi1t),IF(_difftotal1t1t,-AB169,0),IF(W169&gt;=_noechremb12,AA169,IF('Données Projet 1 (2)'!I178-(AB169*_echfixe12)&gt;AA169-2,AA169,'Données Projet 1 (2)'!I178-(AB169*_echfixe12))))+R169</f>
        <v>0</v>
      </c>
      <c r="AD169" s="154">
        <f t="shared" si="35"/>
        <v>0</v>
      </c>
      <c r="AE169" s="157">
        <f t="shared" si="27"/>
        <v>0</v>
      </c>
    </row>
    <row r="170" spans="1:31" x14ac:dyDescent="0.2">
      <c r="A170" s="3"/>
      <c r="B170" s="164"/>
      <c r="C170" s="22"/>
      <c r="D170" s="21"/>
      <c r="E170" s="23"/>
      <c r="F170" s="10"/>
      <c r="G170" s="5">
        <f t="shared" si="28"/>
        <v>164</v>
      </c>
      <c r="H170" s="7">
        <f t="shared" si="29"/>
        <v>257</v>
      </c>
      <c r="I170" s="8">
        <f t="shared" si="24"/>
        <v>2022</v>
      </c>
      <c r="J170" s="31">
        <f>IF(K170=0,"",IF(_ijour12=0,MIN(DATE(YEAR(_debamort12),MONTH(_debamort12)+_MoisD+(G170-1)*_imois12,_jour212),DATE(YEAR(_debamort12),MONTH(_debamort12)+_MoisD+1+(G170-1)*_imois12,0)),DATE(YEAR(_debamort12),MONTH(_debamort12),_jour12+(G170-1)*_ijour12)))</f>
        <v>44774</v>
      </c>
      <c r="K170" s="156">
        <f t="shared" si="30"/>
        <v>128575.80000000006</v>
      </c>
      <c r="L170" s="153">
        <f>IF(G170&lt;=_noeechmaxi1,ROUND(K170*'Données Projet 1 (2)'!A179,_nbdeci1t),0)</f>
        <v>199.29</v>
      </c>
      <c r="M170" s="152">
        <f>IF(OR(G170&lt;=_differe1t,G170&gt;_noeechmaxi1),IF(_difftotal1t,-L170,0),IF(G170&gt;=_noechremb1t,K170,IF('Données Projet 1 (2)'!B179-(L170*_echfixe1t)&gt;K170-2,K170,'Données Projet 1 (2)'!B179-(L170*_echfixe1t))))+B170</f>
        <v>407.63</v>
      </c>
      <c r="N170" s="154">
        <f t="shared" si="31"/>
        <v>15.6</v>
      </c>
      <c r="O170" s="157">
        <f t="shared" si="25"/>
        <v>622.52</v>
      </c>
      <c r="Q170" s="3"/>
      <c r="R170" s="164"/>
      <c r="S170" s="22"/>
      <c r="T170" s="21"/>
      <c r="U170" s="23"/>
      <c r="V170" s="10"/>
      <c r="W170" s="5" t="str">
        <f t="shared" si="32"/>
        <v/>
      </c>
      <c r="X170" s="7" t="str">
        <f t="shared" si="33"/>
        <v/>
      </c>
      <c r="Y170" s="8" t="str">
        <f t="shared" si="26"/>
        <v/>
      </c>
      <c r="Z170" s="31" t="str">
        <f>IF(AA170=0,"",IF(_ijour122=0,MIN(DATE(YEAR(_debamort122),MONTH(_debamort122)+_moisd12+(W170-1)*_imois122,__jou21),DATE(YEAR(_debamort122),MONTH(_debamort122)+_moisd12+1+(W170-1)*_imois122,0)),DATE(YEAR(_debamort122),MONTH(_debamort122),__jou123+(W170-1)*_ijour122)))</f>
        <v/>
      </c>
      <c r="AA170" s="156">
        <f t="shared" si="34"/>
        <v>0</v>
      </c>
      <c r="AB170" s="153">
        <f>IF(W170&lt;=_noechmaxi1t,ROUND(AA170*'Données Projet 1 (2)'!H179,_nbdeci1t1),0)</f>
        <v>0</v>
      </c>
      <c r="AC170" s="152">
        <f>IF(OR(W170&lt;=_differe1t1t,W170&gt;_noechmaxi1t),IF(_difftotal1t1t,-AB170,0),IF(W170&gt;=_noechremb12,AA170,IF('Données Projet 1 (2)'!I179-(AB170*_echfixe12)&gt;AA170-2,AA170,'Données Projet 1 (2)'!I179-(AB170*_echfixe12))))+R170</f>
        <v>0</v>
      </c>
      <c r="AD170" s="154">
        <f t="shared" si="35"/>
        <v>0</v>
      </c>
      <c r="AE170" s="157">
        <f t="shared" si="27"/>
        <v>0</v>
      </c>
    </row>
    <row r="171" spans="1:31" x14ac:dyDescent="0.2">
      <c r="A171" s="3"/>
      <c r="B171" s="164"/>
      <c r="C171" s="22"/>
      <c r="D171" s="21"/>
      <c r="E171" s="23"/>
      <c r="F171" s="10"/>
      <c r="G171" s="5">
        <f t="shared" si="28"/>
        <v>165</v>
      </c>
      <c r="H171" s="7">
        <f t="shared" si="29"/>
        <v>256</v>
      </c>
      <c r="I171" s="8">
        <f t="shared" si="24"/>
        <v>2022</v>
      </c>
      <c r="J171" s="31">
        <f>IF(K171=0,"",IF(_ijour12=0,MIN(DATE(YEAR(_debamort12),MONTH(_debamort12)+(G171-1)*_imois12,_jour12),DATE(YEAR(_debamort12),MONTH(_debamort12)+1+(G171-1)*_imois12,0)),DATE(YEAR(_debamort12),MONTH(_debamort12),_jour12+(G171-1)*_ijour12)))</f>
        <v>44805</v>
      </c>
      <c r="K171" s="156">
        <f t="shared" si="30"/>
        <v>128168.17000000006</v>
      </c>
      <c r="L171" s="153">
        <f>IF(G171&lt;=_noeechmaxi1,ROUND(K171*'Données Projet 1 (2)'!A180,_nbdeci1t),0)</f>
        <v>198.66</v>
      </c>
      <c r="M171" s="152">
        <f>IF(OR(G171&lt;=_differe1t,G171&gt;_noeechmaxi1),IF(_difftotal1t,-L171,0),IF(G171&gt;=_noechremb1t,K171,IF('Données Projet 1 (2)'!B180-(L171*_echfixe1t)&gt;K171-2,K171,'Données Projet 1 (2)'!B180-(L171*_echfixe1t))))+B171</f>
        <v>408.26</v>
      </c>
      <c r="N171" s="154">
        <f t="shared" si="31"/>
        <v>15.6</v>
      </c>
      <c r="O171" s="157">
        <f t="shared" si="25"/>
        <v>622.52</v>
      </c>
      <c r="Q171" s="3"/>
      <c r="R171" s="164"/>
      <c r="S171" s="22"/>
      <c r="T171" s="21"/>
      <c r="U171" s="23"/>
      <c r="V171" s="10"/>
      <c r="W171" s="5" t="str">
        <f t="shared" si="32"/>
        <v/>
      </c>
      <c r="X171" s="7" t="str">
        <f t="shared" si="33"/>
        <v/>
      </c>
      <c r="Y171" s="8" t="str">
        <f t="shared" si="26"/>
        <v/>
      </c>
      <c r="Z171" s="31" t="str">
        <f>IF(AA171=0,"",IF(_ijour122=0,MIN(DATE(YEAR(_debamort122),MONTH(_debamort122)+(W171-1)*_imois122,__jou123),DATE(YEAR(_debamort122),MONTH(_debamort122)+1+(W171-1)*_imois122,0)),DATE(YEAR(_debamort122),MONTH(_debamort122),__jou123+(W171-1)*_ijour122)))</f>
        <v/>
      </c>
      <c r="AA171" s="156">
        <f t="shared" si="34"/>
        <v>0</v>
      </c>
      <c r="AB171" s="153">
        <f>IF(W171&lt;=_noechmaxi1t,ROUND(AA171*'Données Projet 1 (2)'!H180,_nbdeci1t1),0)</f>
        <v>0</v>
      </c>
      <c r="AC171" s="152">
        <f>IF(OR(W171&lt;=_differe1t1t,W171&gt;_noechmaxi1t),IF(_difftotal1t1t,-AB171,0),IF(W171&gt;=_noechremb12,AA171,IF('Données Projet 1 (2)'!I180-(AB171*_echfixe12)&gt;AA171-2,AA171,'Données Projet 1 (2)'!I180-(AB171*_echfixe12))))+R171</f>
        <v>0</v>
      </c>
      <c r="AD171" s="154">
        <f t="shared" si="35"/>
        <v>0</v>
      </c>
      <c r="AE171" s="157">
        <f t="shared" si="27"/>
        <v>0</v>
      </c>
    </row>
    <row r="172" spans="1:31" x14ac:dyDescent="0.2">
      <c r="A172" s="3"/>
      <c r="B172" s="164"/>
      <c r="C172" s="22"/>
      <c r="D172" s="21"/>
      <c r="E172" s="23"/>
      <c r="F172" s="10"/>
      <c r="G172" s="5">
        <f t="shared" si="28"/>
        <v>166</v>
      </c>
      <c r="H172" s="7">
        <f t="shared" si="29"/>
        <v>255</v>
      </c>
      <c r="I172" s="8">
        <f t="shared" si="24"/>
        <v>2022</v>
      </c>
      <c r="J172" s="31">
        <f>IF(K172=0,"",IF(_ijour12=0,MIN(DATE(YEAR(_debamort12),MONTH(_debamort12)+_MoisD+(G172-1)*_imois12,_jour212),DATE(YEAR(_debamort12),MONTH(_debamort12)+_MoisD+1+(G172-1)*_imois12,0)),DATE(YEAR(_debamort12),MONTH(_debamort12),_jour12+(G172-1)*_ijour12)))</f>
        <v>44835</v>
      </c>
      <c r="K172" s="156">
        <f t="shared" si="30"/>
        <v>127759.91000000006</v>
      </c>
      <c r="L172" s="153">
        <f>IF(G172&lt;=_noeechmaxi1,ROUND(K172*'Données Projet 1 (2)'!A181,_nbdeci1t),0)</f>
        <v>198.03</v>
      </c>
      <c r="M172" s="152">
        <f>IF(OR(G172&lt;=_differe1t,G172&gt;_noeechmaxi1),IF(_difftotal1t,-L172,0),IF(G172&gt;=_noechremb1t,K172,IF('Données Projet 1 (2)'!B181-(L172*_echfixe1t)&gt;K172-2,K172,'Données Projet 1 (2)'!B181-(L172*_echfixe1t))))+B172</f>
        <v>408.89</v>
      </c>
      <c r="N172" s="154">
        <f t="shared" si="31"/>
        <v>15.6</v>
      </c>
      <c r="O172" s="157">
        <f t="shared" si="25"/>
        <v>622.52</v>
      </c>
      <c r="Q172" s="3"/>
      <c r="R172" s="164"/>
      <c r="S172" s="22"/>
      <c r="T172" s="21"/>
      <c r="U172" s="23"/>
      <c r="V172" s="10"/>
      <c r="W172" s="5" t="str">
        <f t="shared" si="32"/>
        <v/>
      </c>
      <c r="X172" s="7" t="str">
        <f t="shared" si="33"/>
        <v/>
      </c>
      <c r="Y172" s="8" t="str">
        <f t="shared" si="26"/>
        <v/>
      </c>
      <c r="Z172" s="31" t="str">
        <f>IF(AA172=0,"",IF(_ijour122=0,MIN(DATE(YEAR(_debamort122),MONTH(_debamort122)+_moisd12+(W172-1)*_imois122,__jou21),DATE(YEAR(_debamort122),MONTH(_debamort122)+_moisd12+1+(W172-1)*_imois122,0)),DATE(YEAR(_debamort122),MONTH(_debamort122),__jou123+(W172-1)*_ijour122)))</f>
        <v/>
      </c>
      <c r="AA172" s="156">
        <f t="shared" si="34"/>
        <v>0</v>
      </c>
      <c r="AB172" s="153">
        <f>IF(W172&lt;=_noechmaxi1t,ROUND(AA172*'Données Projet 1 (2)'!H181,_nbdeci1t1),0)</f>
        <v>0</v>
      </c>
      <c r="AC172" s="152">
        <f>IF(OR(W172&lt;=_differe1t1t,W172&gt;_noechmaxi1t),IF(_difftotal1t1t,-AB172,0),IF(W172&gt;=_noechremb12,AA172,IF('Données Projet 1 (2)'!I181-(AB172*_echfixe12)&gt;AA172-2,AA172,'Données Projet 1 (2)'!I181-(AB172*_echfixe12))))+R172</f>
        <v>0</v>
      </c>
      <c r="AD172" s="154">
        <f t="shared" si="35"/>
        <v>0</v>
      </c>
      <c r="AE172" s="157">
        <f t="shared" si="27"/>
        <v>0</v>
      </c>
    </row>
    <row r="173" spans="1:31" x14ac:dyDescent="0.2">
      <c r="A173" s="3"/>
      <c r="B173" s="164"/>
      <c r="C173" s="22"/>
      <c r="D173" s="21"/>
      <c r="E173" s="23"/>
      <c r="F173" s="10"/>
      <c r="G173" s="5">
        <f t="shared" si="28"/>
        <v>167</v>
      </c>
      <c r="H173" s="7">
        <f t="shared" si="29"/>
        <v>254</v>
      </c>
      <c r="I173" s="8">
        <f t="shared" si="24"/>
        <v>2022</v>
      </c>
      <c r="J173" s="31">
        <f>IF(K173=0,"",IF(_ijour12=0,MIN(DATE(YEAR(_debamort12),MONTH(_debamort12)+(G173-1)*_imois12,_jour12),DATE(YEAR(_debamort12),MONTH(_debamort12)+1+(G173-1)*_imois12,0)),DATE(YEAR(_debamort12),MONTH(_debamort12),_jour12+(G173-1)*_ijour12)))</f>
        <v>44866</v>
      </c>
      <c r="K173" s="156">
        <f t="shared" si="30"/>
        <v>127351.02000000006</v>
      </c>
      <c r="L173" s="153">
        <f>IF(G173&lt;=_noeechmaxi1,ROUND(K173*'Données Projet 1 (2)'!A182,_nbdeci1t),0)</f>
        <v>197.39</v>
      </c>
      <c r="M173" s="152">
        <f>IF(OR(G173&lt;=_differe1t,G173&gt;_noeechmaxi1),IF(_difftotal1t,-L173,0),IF(G173&gt;=_noechremb1t,K173,IF('Données Projet 1 (2)'!B182-(L173*_echfixe1t)&gt;K173-2,K173,'Données Projet 1 (2)'!B182-(L173*_echfixe1t))))+B173</f>
        <v>409.53</v>
      </c>
      <c r="N173" s="154">
        <f t="shared" si="31"/>
        <v>15.6</v>
      </c>
      <c r="O173" s="157">
        <f t="shared" si="25"/>
        <v>622.52</v>
      </c>
      <c r="Q173" s="3"/>
      <c r="R173" s="164"/>
      <c r="S173" s="22"/>
      <c r="T173" s="21"/>
      <c r="U173" s="23"/>
      <c r="V173" s="10"/>
      <c r="W173" s="5" t="str">
        <f t="shared" si="32"/>
        <v/>
      </c>
      <c r="X173" s="7" t="str">
        <f t="shared" si="33"/>
        <v/>
      </c>
      <c r="Y173" s="8" t="str">
        <f t="shared" si="26"/>
        <v/>
      </c>
      <c r="Z173" s="31" t="str">
        <f>IF(AA173=0,"",IF(_ijour122=0,MIN(DATE(YEAR(_debamort122),MONTH(_debamort122)+(W173-1)*_imois122,__jou123),DATE(YEAR(_debamort122),MONTH(_debamort122)+1+(W173-1)*_imois122,0)),DATE(YEAR(_debamort122),MONTH(_debamort122),__jou123+(W173-1)*_ijour122)))</f>
        <v/>
      </c>
      <c r="AA173" s="156">
        <f t="shared" si="34"/>
        <v>0</v>
      </c>
      <c r="AB173" s="153">
        <f>IF(W173&lt;=_noechmaxi1t,ROUND(AA173*'Données Projet 1 (2)'!H182,_nbdeci1t1),0)</f>
        <v>0</v>
      </c>
      <c r="AC173" s="152">
        <f>IF(OR(W173&lt;=_differe1t1t,W173&gt;_noechmaxi1t),IF(_difftotal1t1t,-AB173,0),IF(W173&gt;=_noechremb12,AA173,IF('Données Projet 1 (2)'!I182-(AB173*_echfixe12)&gt;AA173-2,AA173,'Données Projet 1 (2)'!I182-(AB173*_echfixe12))))+R173</f>
        <v>0</v>
      </c>
      <c r="AD173" s="154">
        <f t="shared" si="35"/>
        <v>0</v>
      </c>
      <c r="AE173" s="157">
        <f t="shared" si="27"/>
        <v>0</v>
      </c>
    </row>
    <row r="174" spans="1:31" x14ac:dyDescent="0.2">
      <c r="A174" s="3"/>
      <c r="B174" s="164"/>
      <c r="C174" s="22"/>
      <c r="D174" s="21"/>
      <c r="E174" s="23"/>
      <c r="F174" s="10"/>
      <c r="G174" s="5">
        <f t="shared" si="28"/>
        <v>168</v>
      </c>
      <c r="H174" s="7">
        <f t="shared" si="29"/>
        <v>253</v>
      </c>
      <c r="I174" s="8">
        <f t="shared" si="24"/>
        <v>2022</v>
      </c>
      <c r="J174" s="31">
        <f>IF(K174=0,"",IF(_ijour12=0,MIN(DATE(YEAR(_debamort12),MONTH(_debamort12)+_MoisD+(G174-1)*_imois12,_jour212),DATE(YEAR(_debamort12),MONTH(_debamort12)+_MoisD+1+(G174-1)*_imois12,0)),DATE(YEAR(_debamort12),MONTH(_debamort12),_jour12+(G174-1)*_ijour12)))</f>
        <v>44896</v>
      </c>
      <c r="K174" s="156">
        <f t="shared" si="30"/>
        <v>126941.49000000006</v>
      </c>
      <c r="L174" s="153">
        <f>IF(G174&lt;=_noeechmaxi1,ROUND(K174*'Données Projet 1 (2)'!A183,_nbdeci1t),0)</f>
        <v>196.76</v>
      </c>
      <c r="M174" s="152">
        <f>IF(OR(G174&lt;=_differe1t,G174&gt;_noeechmaxi1),IF(_difftotal1t,-L174,0),IF(G174&gt;=_noechremb1t,K174,IF('Données Projet 1 (2)'!B183-(L174*_echfixe1t)&gt;K174-2,K174,'Données Projet 1 (2)'!B183-(L174*_echfixe1t))))+B174</f>
        <v>410.15999999999997</v>
      </c>
      <c r="N174" s="154">
        <f t="shared" si="31"/>
        <v>15.6</v>
      </c>
      <c r="O174" s="157">
        <f t="shared" si="25"/>
        <v>622.52</v>
      </c>
      <c r="Q174" s="3"/>
      <c r="R174" s="164"/>
      <c r="S174" s="22"/>
      <c r="T174" s="21"/>
      <c r="U174" s="23"/>
      <c r="V174" s="10"/>
      <c r="W174" s="5" t="str">
        <f t="shared" si="32"/>
        <v/>
      </c>
      <c r="X174" s="7" t="str">
        <f t="shared" si="33"/>
        <v/>
      </c>
      <c r="Y174" s="8" t="str">
        <f t="shared" si="26"/>
        <v/>
      </c>
      <c r="Z174" s="31" t="str">
        <f>IF(AA174=0,"",IF(_ijour122=0,MIN(DATE(YEAR(_debamort122),MONTH(_debamort122)+_moisd12+(W174-1)*_imois122,__jou21),DATE(YEAR(_debamort122),MONTH(_debamort122)+_moisd12+1+(W174-1)*_imois122,0)),DATE(YEAR(_debamort122),MONTH(_debamort122),__jou123+(W174-1)*_ijour122)))</f>
        <v/>
      </c>
      <c r="AA174" s="156">
        <f t="shared" si="34"/>
        <v>0</v>
      </c>
      <c r="AB174" s="153">
        <f>IF(W174&lt;=_noechmaxi1t,ROUND(AA174*'Données Projet 1 (2)'!H183,_nbdeci1t1),0)</f>
        <v>0</v>
      </c>
      <c r="AC174" s="152">
        <f>IF(OR(W174&lt;=_differe1t1t,W174&gt;_noechmaxi1t),IF(_difftotal1t1t,-AB174,0),IF(W174&gt;=_noechremb12,AA174,IF('Données Projet 1 (2)'!I183-(AB174*_echfixe12)&gt;AA174-2,AA174,'Données Projet 1 (2)'!I183-(AB174*_echfixe12))))+R174</f>
        <v>0</v>
      </c>
      <c r="AD174" s="154">
        <f t="shared" si="35"/>
        <v>0</v>
      </c>
      <c r="AE174" s="157">
        <f t="shared" si="27"/>
        <v>0</v>
      </c>
    </row>
    <row r="175" spans="1:31" x14ac:dyDescent="0.2">
      <c r="A175" s="3"/>
      <c r="B175" s="164"/>
      <c r="C175" s="22"/>
      <c r="D175" s="21"/>
      <c r="E175" s="23"/>
      <c r="F175" s="10"/>
      <c r="G175" s="5">
        <f t="shared" si="28"/>
        <v>169</v>
      </c>
      <c r="H175" s="7">
        <f t="shared" si="29"/>
        <v>252</v>
      </c>
      <c r="I175" s="8">
        <f t="shared" si="24"/>
        <v>2023</v>
      </c>
      <c r="J175" s="31">
        <f>IF(K175=0,"",IF(_ijour12=0,MIN(DATE(YEAR(_debamort12),MONTH(_debamort12)+(G175-1)*_imois12,_jour12),DATE(YEAR(_debamort12),MONTH(_debamort12)+1+(G175-1)*_imois12,0)),DATE(YEAR(_debamort12),MONTH(_debamort12),_jour12+(G175-1)*_ijour12)))</f>
        <v>44927</v>
      </c>
      <c r="K175" s="156">
        <f t="shared" si="30"/>
        <v>126531.33000000006</v>
      </c>
      <c r="L175" s="153">
        <f>IF(G175&lt;=_noeechmaxi1,ROUND(K175*'Données Projet 1 (2)'!A184,_nbdeci1t),0)</f>
        <v>196.12</v>
      </c>
      <c r="M175" s="152">
        <f>IF(OR(G175&lt;=_differe1t,G175&gt;_noeechmaxi1),IF(_difftotal1t,-L175,0),IF(G175&gt;=_noechremb1t,K175,IF('Données Projet 1 (2)'!B184-(L175*_echfixe1t)&gt;K175-2,K175,'Données Projet 1 (2)'!B184-(L175*_echfixe1t))))+B175</f>
        <v>410.79999999999995</v>
      </c>
      <c r="N175" s="154">
        <f t="shared" si="31"/>
        <v>15.6</v>
      </c>
      <c r="O175" s="157">
        <f t="shared" si="25"/>
        <v>622.52</v>
      </c>
      <c r="Q175" s="3"/>
      <c r="R175" s="164"/>
      <c r="S175" s="22"/>
      <c r="T175" s="21"/>
      <c r="U175" s="23"/>
      <c r="V175" s="10"/>
      <c r="W175" s="5" t="str">
        <f t="shared" si="32"/>
        <v/>
      </c>
      <c r="X175" s="7" t="str">
        <f t="shared" si="33"/>
        <v/>
      </c>
      <c r="Y175" s="8" t="str">
        <f t="shared" si="26"/>
        <v/>
      </c>
      <c r="Z175" s="31" t="str">
        <f>IF(AA175=0,"",IF(_ijour122=0,MIN(DATE(YEAR(_debamort122),MONTH(_debamort122)+(W175-1)*_imois122,__jou123),DATE(YEAR(_debamort122),MONTH(_debamort122)+1+(W175-1)*_imois122,0)),DATE(YEAR(_debamort122),MONTH(_debamort122),__jou123+(W175-1)*_ijour122)))</f>
        <v/>
      </c>
      <c r="AA175" s="156">
        <f t="shared" si="34"/>
        <v>0</v>
      </c>
      <c r="AB175" s="153">
        <f>IF(W175&lt;=_noechmaxi1t,ROUND(AA175*'Données Projet 1 (2)'!H184,_nbdeci1t1),0)</f>
        <v>0</v>
      </c>
      <c r="AC175" s="152">
        <f>IF(OR(W175&lt;=_differe1t1t,W175&gt;_noechmaxi1t),IF(_difftotal1t1t,-AB175,0),IF(W175&gt;=_noechremb12,AA175,IF('Données Projet 1 (2)'!I184-(AB175*_echfixe12)&gt;AA175-2,AA175,'Données Projet 1 (2)'!I184-(AB175*_echfixe12))))+R175</f>
        <v>0</v>
      </c>
      <c r="AD175" s="154">
        <f t="shared" si="35"/>
        <v>0</v>
      </c>
      <c r="AE175" s="157">
        <f t="shared" si="27"/>
        <v>0</v>
      </c>
    </row>
    <row r="176" spans="1:31" x14ac:dyDescent="0.2">
      <c r="A176" s="3"/>
      <c r="B176" s="164"/>
      <c r="C176" s="22"/>
      <c r="D176" s="21"/>
      <c r="E176" s="23"/>
      <c r="F176" s="10"/>
      <c r="G176" s="5">
        <f t="shared" si="28"/>
        <v>170</v>
      </c>
      <c r="H176" s="7">
        <f t="shared" si="29"/>
        <v>251</v>
      </c>
      <c r="I176" s="8">
        <f t="shared" si="24"/>
        <v>2023</v>
      </c>
      <c r="J176" s="31">
        <f>IF(K176=0,"",IF(_ijour12=0,MIN(DATE(YEAR(_debamort12),MONTH(_debamort12)+_MoisD+(G176-1)*_imois12,_jour212),DATE(YEAR(_debamort12),MONTH(_debamort12)+_MoisD+1+(G176-1)*_imois12,0)),DATE(YEAR(_debamort12),MONTH(_debamort12),_jour12+(G176-1)*_ijour12)))</f>
        <v>44958</v>
      </c>
      <c r="K176" s="156">
        <f t="shared" si="30"/>
        <v>126120.53000000006</v>
      </c>
      <c r="L176" s="153">
        <f>IF(G176&lt;=_noeechmaxi1,ROUND(K176*'Données Projet 1 (2)'!A185,_nbdeci1t),0)</f>
        <v>195.49</v>
      </c>
      <c r="M176" s="152">
        <f>IF(OR(G176&lt;=_differe1t,G176&gt;_noeechmaxi1),IF(_difftotal1t,-L176,0),IF(G176&gt;=_noechremb1t,K176,IF('Données Projet 1 (2)'!B185-(L176*_echfixe1t)&gt;K176-2,K176,'Données Projet 1 (2)'!B185-(L176*_echfixe1t))))+B176</f>
        <v>411.42999999999995</v>
      </c>
      <c r="N176" s="154">
        <f t="shared" si="31"/>
        <v>15.6</v>
      </c>
      <c r="O176" s="157">
        <f t="shared" si="25"/>
        <v>622.52</v>
      </c>
      <c r="Q176" s="3"/>
      <c r="R176" s="164"/>
      <c r="S176" s="22"/>
      <c r="T176" s="21"/>
      <c r="U176" s="23"/>
      <c r="V176" s="10"/>
      <c r="W176" s="5" t="str">
        <f t="shared" si="32"/>
        <v/>
      </c>
      <c r="X176" s="7" t="str">
        <f t="shared" si="33"/>
        <v/>
      </c>
      <c r="Y176" s="8" t="str">
        <f t="shared" si="26"/>
        <v/>
      </c>
      <c r="Z176" s="31" t="str">
        <f>IF(AA176=0,"",IF(_ijour122=0,MIN(DATE(YEAR(_debamort122),MONTH(_debamort122)+_moisd12+(W176-1)*_imois122,__jou21),DATE(YEAR(_debamort122),MONTH(_debamort122)+_moisd12+1+(W176-1)*_imois122,0)),DATE(YEAR(_debamort122),MONTH(_debamort122),__jou123+(W176-1)*_ijour122)))</f>
        <v/>
      </c>
      <c r="AA176" s="156">
        <f t="shared" si="34"/>
        <v>0</v>
      </c>
      <c r="AB176" s="153">
        <f>IF(W176&lt;=_noechmaxi1t,ROUND(AA176*'Données Projet 1 (2)'!H185,_nbdeci1t1),0)</f>
        <v>0</v>
      </c>
      <c r="AC176" s="152">
        <f>IF(OR(W176&lt;=_differe1t1t,W176&gt;_noechmaxi1t),IF(_difftotal1t1t,-AB176,0),IF(W176&gt;=_noechremb12,AA176,IF('Données Projet 1 (2)'!I185-(AB176*_echfixe12)&gt;AA176-2,AA176,'Données Projet 1 (2)'!I185-(AB176*_echfixe12))))+R176</f>
        <v>0</v>
      </c>
      <c r="AD176" s="154">
        <f t="shared" si="35"/>
        <v>0</v>
      </c>
      <c r="AE176" s="157">
        <f t="shared" si="27"/>
        <v>0</v>
      </c>
    </row>
    <row r="177" spans="1:31" x14ac:dyDescent="0.2">
      <c r="A177" s="3"/>
      <c r="B177" s="164"/>
      <c r="C177" s="22"/>
      <c r="D177" s="21"/>
      <c r="E177" s="23"/>
      <c r="F177" s="10"/>
      <c r="G177" s="5">
        <f t="shared" si="28"/>
        <v>171</v>
      </c>
      <c r="H177" s="7">
        <f t="shared" si="29"/>
        <v>250</v>
      </c>
      <c r="I177" s="8">
        <f t="shared" si="24"/>
        <v>2023</v>
      </c>
      <c r="J177" s="31">
        <f>IF(K177=0,"",IF(_ijour12=0,MIN(DATE(YEAR(_debamort12),MONTH(_debamort12)+(G177-1)*_imois12,_jour12),DATE(YEAR(_debamort12),MONTH(_debamort12)+1+(G177-1)*_imois12,0)),DATE(YEAR(_debamort12),MONTH(_debamort12),_jour12+(G177-1)*_ijour12)))</f>
        <v>44986</v>
      </c>
      <c r="K177" s="156">
        <f t="shared" si="30"/>
        <v>125709.10000000006</v>
      </c>
      <c r="L177" s="153">
        <f>IF(G177&lt;=_noeechmaxi1,ROUND(K177*'Données Projet 1 (2)'!A186,_nbdeci1t),0)</f>
        <v>194.85</v>
      </c>
      <c r="M177" s="152">
        <f>IF(OR(G177&lt;=_differe1t,G177&gt;_noeechmaxi1),IF(_difftotal1t,-L177,0),IF(G177&gt;=_noechremb1t,K177,IF('Données Projet 1 (2)'!B186-(L177*_echfixe1t)&gt;K177-2,K177,'Données Projet 1 (2)'!B186-(L177*_echfixe1t))))+B177</f>
        <v>412.06999999999994</v>
      </c>
      <c r="N177" s="154">
        <f t="shared" si="31"/>
        <v>15.6</v>
      </c>
      <c r="O177" s="157">
        <f t="shared" si="25"/>
        <v>622.52</v>
      </c>
      <c r="Q177" s="3"/>
      <c r="R177" s="164"/>
      <c r="S177" s="22"/>
      <c r="T177" s="21"/>
      <c r="U177" s="23"/>
      <c r="V177" s="10"/>
      <c r="W177" s="5" t="str">
        <f t="shared" si="32"/>
        <v/>
      </c>
      <c r="X177" s="7" t="str">
        <f t="shared" si="33"/>
        <v/>
      </c>
      <c r="Y177" s="8" t="str">
        <f t="shared" si="26"/>
        <v/>
      </c>
      <c r="Z177" s="31" t="str">
        <f>IF(AA177=0,"",IF(_ijour122=0,MIN(DATE(YEAR(_debamort122),MONTH(_debamort122)+(W177-1)*_imois122,__jou123),DATE(YEAR(_debamort122),MONTH(_debamort122)+1+(W177-1)*_imois122,0)),DATE(YEAR(_debamort122),MONTH(_debamort122),__jou123+(W177-1)*_ijour122)))</f>
        <v/>
      </c>
      <c r="AA177" s="156">
        <f t="shared" si="34"/>
        <v>0</v>
      </c>
      <c r="AB177" s="153">
        <f>IF(W177&lt;=_noechmaxi1t,ROUND(AA177*'Données Projet 1 (2)'!H186,_nbdeci1t1),0)</f>
        <v>0</v>
      </c>
      <c r="AC177" s="152">
        <f>IF(OR(W177&lt;=_differe1t1t,W177&gt;_noechmaxi1t),IF(_difftotal1t1t,-AB177,0),IF(W177&gt;=_noechremb12,AA177,IF('Données Projet 1 (2)'!I186-(AB177*_echfixe12)&gt;AA177-2,AA177,'Données Projet 1 (2)'!I186-(AB177*_echfixe12))))+R177</f>
        <v>0</v>
      </c>
      <c r="AD177" s="154">
        <f t="shared" si="35"/>
        <v>0</v>
      </c>
      <c r="AE177" s="157">
        <f t="shared" si="27"/>
        <v>0</v>
      </c>
    </row>
    <row r="178" spans="1:31" x14ac:dyDescent="0.2">
      <c r="A178" s="3"/>
      <c r="B178" s="164"/>
      <c r="C178" s="22"/>
      <c r="D178" s="21"/>
      <c r="E178" s="23"/>
      <c r="F178" s="10"/>
      <c r="G178" s="5">
        <f t="shared" si="28"/>
        <v>172</v>
      </c>
      <c r="H178" s="7">
        <f t="shared" si="29"/>
        <v>249</v>
      </c>
      <c r="I178" s="8">
        <f t="shared" si="24"/>
        <v>2023</v>
      </c>
      <c r="J178" s="31">
        <f>IF(K178=0,"",IF(_ijour12=0,MIN(DATE(YEAR(_debamort12),MONTH(_debamort12)+_MoisD+(G178-1)*_imois12,_jour212),DATE(YEAR(_debamort12),MONTH(_debamort12)+_MoisD+1+(G178-1)*_imois12,0)),DATE(YEAR(_debamort12),MONTH(_debamort12),_jour12+(G178-1)*_ijour12)))</f>
        <v>45017</v>
      </c>
      <c r="K178" s="156">
        <f t="shared" si="30"/>
        <v>125297.03000000006</v>
      </c>
      <c r="L178" s="153">
        <f>IF(G178&lt;=_noeechmaxi1,ROUND(K178*'Données Projet 1 (2)'!A187,_nbdeci1t),0)</f>
        <v>194.21</v>
      </c>
      <c r="M178" s="152">
        <f>IF(OR(G178&lt;=_differe1t,G178&gt;_noeechmaxi1),IF(_difftotal1t,-L178,0),IF(G178&gt;=_noechremb1t,K178,IF('Données Projet 1 (2)'!B187-(L178*_echfixe1t)&gt;K178-2,K178,'Données Projet 1 (2)'!B187-(L178*_echfixe1t))))+B178</f>
        <v>412.70999999999992</v>
      </c>
      <c r="N178" s="154">
        <f t="shared" si="31"/>
        <v>15.6</v>
      </c>
      <c r="O178" s="157">
        <f t="shared" si="25"/>
        <v>622.52</v>
      </c>
      <c r="Q178" s="3"/>
      <c r="R178" s="164"/>
      <c r="S178" s="22"/>
      <c r="T178" s="21"/>
      <c r="U178" s="23"/>
      <c r="V178" s="10"/>
      <c r="W178" s="5" t="str">
        <f t="shared" si="32"/>
        <v/>
      </c>
      <c r="X178" s="7" t="str">
        <f t="shared" si="33"/>
        <v/>
      </c>
      <c r="Y178" s="8" t="str">
        <f t="shared" si="26"/>
        <v/>
      </c>
      <c r="Z178" s="31" t="str">
        <f>IF(AA178=0,"",IF(_ijour122=0,MIN(DATE(YEAR(_debamort122),MONTH(_debamort122)+_moisd12+(W178-1)*_imois122,__jou21),DATE(YEAR(_debamort122),MONTH(_debamort122)+_moisd12+1+(W178-1)*_imois122,0)),DATE(YEAR(_debamort122),MONTH(_debamort122),__jou123+(W178-1)*_ijour122)))</f>
        <v/>
      </c>
      <c r="AA178" s="156">
        <f t="shared" si="34"/>
        <v>0</v>
      </c>
      <c r="AB178" s="153">
        <f>IF(W178&lt;=_noechmaxi1t,ROUND(AA178*'Données Projet 1 (2)'!H187,_nbdeci1t1),0)</f>
        <v>0</v>
      </c>
      <c r="AC178" s="152">
        <f>IF(OR(W178&lt;=_differe1t1t,W178&gt;_noechmaxi1t),IF(_difftotal1t1t,-AB178,0),IF(W178&gt;=_noechremb12,AA178,IF('Données Projet 1 (2)'!I187-(AB178*_echfixe12)&gt;AA178-2,AA178,'Données Projet 1 (2)'!I187-(AB178*_echfixe12))))+R178</f>
        <v>0</v>
      </c>
      <c r="AD178" s="154">
        <f t="shared" si="35"/>
        <v>0</v>
      </c>
      <c r="AE178" s="157">
        <f t="shared" si="27"/>
        <v>0</v>
      </c>
    </row>
    <row r="179" spans="1:31" x14ac:dyDescent="0.2">
      <c r="A179" s="3"/>
      <c r="B179" s="164"/>
      <c r="C179" s="22"/>
      <c r="D179" s="21"/>
      <c r="E179" s="23"/>
      <c r="F179" s="10"/>
      <c r="G179" s="5">
        <f t="shared" si="28"/>
        <v>173</v>
      </c>
      <c r="H179" s="7">
        <f t="shared" si="29"/>
        <v>248</v>
      </c>
      <c r="I179" s="8">
        <f t="shared" si="24"/>
        <v>2023</v>
      </c>
      <c r="J179" s="31">
        <f>IF(K179=0,"",IF(_ijour12=0,MIN(DATE(YEAR(_debamort12),MONTH(_debamort12)+(G179-1)*_imois12,_jour12),DATE(YEAR(_debamort12),MONTH(_debamort12)+1+(G179-1)*_imois12,0)),DATE(YEAR(_debamort12),MONTH(_debamort12),_jour12+(G179-1)*_ijour12)))</f>
        <v>45047</v>
      </c>
      <c r="K179" s="156">
        <f t="shared" si="30"/>
        <v>124884.32000000005</v>
      </c>
      <c r="L179" s="153">
        <f>IF(G179&lt;=_noeechmaxi1,ROUND(K179*'Données Projet 1 (2)'!A188,_nbdeci1t),0)</f>
        <v>193.57</v>
      </c>
      <c r="M179" s="152">
        <f>IF(OR(G179&lt;=_differe1t,G179&gt;_noeechmaxi1),IF(_difftotal1t,-L179,0),IF(G179&gt;=_noechremb1t,K179,IF('Données Projet 1 (2)'!B188-(L179*_echfixe1t)&gt;K179-2,K179,'Données Projet 1 (2)'!B188-(L179*_echfixe1t))))+B179</f>
        <v>413.34999999999997</v>
      </c>
      <c r="N179" s="154">
        <f t="shared" si="31"/>
        <v>15.6</v>
      </c>
      <c r="O179" s="157">
        <f t="shared" si="25"/>
        <v>622.52</v>
      </c>
      <c r="Q179" s="3"/>
      <c r="R179" s="164"/>
      <c r="S179" s="22"/>
      <c r="T179" s="21"/>
      <c r="U179" s="23"/>
      <c r="V179" s="10"/>
      <c r="W179" s="5" t="str">
        <f t="shared" si="32"/>
        <v/>
      </c>
      <c r="X179" s="7" t="str">
        <f t="shared" si="33"/>
        <v/>
      </c>
      <c r="Y179" s="8" t="str">
        <f t="shared" si="26"/>
        <v/>
      </c>
      <c r="Z179" s="31" t="str">
        <f>IF(AA179=0,"",IF(_ijour122=0,MIN(DATE(YEAR(_debamort122),MONTH(_debamort122)+(W179-1)*_imois122,__jou123),DATE(YEAR(_debamort122),MONTH(_debamort122)+1+(W179-1)*_imois122,0)),DATE(YEAR(_debamort122),MONTH(_debamort122),__jou123+(W179-1)*_ijour122)))</f>
        <v/>
      </c>
      <c r="AA179" s="156">
        <f t="shared" si="34"/>
        <v>0</v>
      </c>
      <c r="AB179" s="153">
        <f>IF(W179&lt;=_noechmaxi1t,ROUND(AA179*'Données Projet 1 (2)'!H188,_nbdeci1t1),0)</f>
        <v>0</v>
      </c>
      <c r="AC179" s="152">
        <f>IF(OR(W179&lt;=_differe1t1t,W179&gt;_noechmaxi1t),IF(_difftotal1t1t,-AB179,0),IF(W179&gt;=_noechremb12,AA179,IF('Données Projet 1 (2)'!I188-(AB179*_echfixe12)&gt;AA179-2,AA179,'Données Projet 1 (2)'!I188-(AB179*_echfixe12))))+R179</f>
        <v>0</v>
      </c>
      <c r="AD179" s="154">
        <f t="shared" si="35"/>
        <v>0</v>
      </c>
      <c r="AE179" s="157">
        <f t="shared" si="27"/>
        <v>0</v>
      </c>
    </row>
    <row r="180" spans="1:31" x14ac:dyDescent="0.2">
      <c r="A180" s="3"/>
      <c r="B180" s="164"/>
      <c r="C180" s="22"/>
      <c r="D180" s="21"/>
      <c r="E180" s="23"/>
      <c r="F180" s="10"/>
      <c r="G180" s="5">
        <f t="shared" si="28"/>
        <v>174</v>
      </c>
      <c r="H180" s="7">
        <f t="shared" si="29"/>
        <v>247</v>
      </c>
      <c r="I180" s="8">
        <f t="shared" si="24"/>
        <v>2023</v>
      </c>
      <c r="J180" s="31">
        <f>IF(K180=0,"",IF(_ijour12=0,MIN(DATE(YEAR(_debamort12),MONTH(_debamort12)+_MoisD+(G180-1)*_imois12,_jour212),DATE(YEAR(_debamort12),MONTH(_debamort12)+_MoisD+1+(G180-1)*_imois12,0)),DATE(YEAR(_debamort12),MONTH(_debamort12),_jour12+(G180-1)*_ijour12)))</f>
        <v>45078</v>
      </c>
      <c r="K180" s="156">
        <f t="shared" si="30"/>
        <v>124470.97000000004</v>
      </c>
      <c r="L180" s="153">
        <f>IF(G180&lt;=_noeechmaxi1,ROUND(K180*'Données Projet 1 (2)'!A189,_nbdeci1t),0)</f>
        <v>192.93</v>
      </c>
      <c r="M180" s="152">
        <f>IF(OR(G180&lt;=_differe1t,G180&gt;_noeechmaxi1),IF(_difftotal1t,-L180,0),IF(G180&gt;=_noechremb1t,K180,IF('Données Projet 1 (2)'!B189-(L180*_echfixe1t)&gt;K180-2,K180,'Données Projet 1 (2)'!B189-(L180*_echfixe1t))))+B180</f>
        <v>413.98999999999995</v>
      </c>
      <c r="N180" s="154">
        <f t="shared" si="31"/>
        <v>15.6</v>
      </c>
      <c r="O180" s="157">
        <f t="shared" si="25"/>
        <v>622.52</v>
      </c>
      <c r="Q180" s="3"/>
      <c r="R180" s="164"/>
      <c r="S180" s="22"/>
      <c r="T180" s="21"/>
      <c r="U180" s="23"/>
      <c r="V180" s="10"/>
      <c r="W180" s="5" t="str">
        <f t="shared" si="32"/>
        <v/>
      </c>
      <c r="X180" s="7" t="str">
        <f t="shared" si="33"/>
        <v/>
      </c>
      <c r="Y180" s="8" t="str">
        <f t="shared" si="26"/>
        <v/>
      </c>
      <c r="Z180" s="31" t="str">
        <f>IF(AA180=0,"",IF(_ijour122=0,MIN(DATE(YEAR(_debamort122),MONTH(_debamort122)+_moisd12+(W180-1)*_imois122,__jou21),DATE(YEAR(_debamort122),MONTH(_debamort122)+_moisd12+1+(W180-1)*_imois122,0)),DATE(YEAR(_debamort122),MONTH(_debamort122),__jou123+(W180-1)*_ijour122)))</f>
        <v/>
      </c>
      <c r="AA180" s="156">
        <f t="shared" si="34"/>
        <v>0</v>
      </c>
      <c r="AB180" s="153">
        <f>IF(W180&lt;=_noechmaxi1t,ROUND(AA180*'Données Projet 1 (2)'!H189,_nbdeci1t1),0)</f>
        <v>0</v>
      </c>
      <c r="AC180" s="152">
        <f>IF(OR(W180&lt;=_differe1t1t,W180&gt;_noechmaxi1t),IF(_difftotal1t1t,-AB180,0),IF(W180&gt;=_noechremb12,AA180,IF('Données Projet 1 (2)'!I189-(AB180*_echfixe12)&gt;AA180-2,AA180,'Données Projet 1 (2)'!I189-(AB180*_echfixe12))))+R180</f>
        <v>0</v>
      </c>
      <c r="AD180" s="154">
        <f t="shared" si="35"/>
        <v>0</v>
      </c>
      <c r="AE180" s="157">
        <f t="shared" si="27"/>
        <v>0</v>
      </c>
    </row>
    <row r="181" spans="1:31" x14ac:dyDescent="0.2">
      <c r="A181" s="3"/>
      <c r="B181" s="164"/>
      <c r="C181" s="22"/>
      <c r="D181" s="21"/>
      <c r="E181" s="23"/>
      <c r="F181" s="10"/>
      <c r="G181" s="5">
        <f t="shared" si="28"/>
        <v>175</v>
      </c>
      <c r="H181" s="7">
        <f t="shared" si="29"/>
        <v>246</v>
      </c>
      <c r="I181" s="8">
        <f t="shared" si="24"/>
        <v>2023</v>
      </c>
      <c r="J181" s="31">
        <f>IF(K181=0,"",IF(_ijour12=0,MIN(DATE(YEAR(_debamort12),MONTH(_debamort12)+(G181-1)*_imois12,_jour12),DATE(YEAR(_debamort12),MONTH(_debamort12)+1+(G181-1)*_imois12,0)),DATE(YEAR(_debamort12),MONTH(_debamort12),_jour12+(G181-1)*_ijour12)))</f>
        <v>45108</v>
      </c>
      <c r="K181" s="156">
        <f t="shared" si="30"/>
        <v>124056.98000000004</v>
      </c>
      <c r="L181" s="153">
        <f>IF(G181&lt;=_noeechmaxi1,ROUND(K181*'Données Projet 1 (2)'!A190,_nbdeci1t),0)</f>
        <v>192.29</v>
      </c>
      <c r="M181" s="152">
        <f>IF(OR(G181&lt;=_differe1t,G181&gt;_noeechmaxi1),IF(_difftotal1t,-L181,0),IF(G181&gt;=_noechremb1t,K181,IF('Données Projet 1 (2)'!B190-(L181*_echfixe1t)&gt;K181-2,K181,'Données Projet 1 (2)'!B190-(L181*_echfixe1t))))+B181</f>
        <v>414.63</v>
      </c>
      <c r="N181" s="154">
        <f t="shared" si="31"/>
        <v>15.6</v>
      </c>
      <c r="O181" s="157">
        <f t="shared" si="25"/>
        <v>622.52</v>
      </c>
      <c r="Q181" s="3"/>
      <c r="R181" s="164"/>
      <c r="S181" s="22"/>
      <c r="T181" s="21"/>
      <c r="U181" s="23"/>
      <c r="V181" s="10"/>
      <c r="W181" s="5" t="str">
        <f t="shared" si="32"/>
        <v/>
      </c>
      <c r="X181" s="7" t="str">
        <f t="shared" si="33"/>
        <v/>
      </c>
      <c r="Y181" s="8" t="str">
        <f t="shared" si="26"/>
        <v/>
      </c>
      <c r="Z181" s="31" t="str">
        <f>IF(AA181=0,"",IF(_ijour122=0,MIN(DATE(YEAR(_debamort122),MONTH(_debamort122)+(W181-1)*_imois122,__jou123),DATE(YEAR(_debamort122),MONTH(_debamort122)+1+(W181-1)*_imois122,0)),DATE(YEAR(_debamort122),MONTH(_debamort122),__jou123+(W181-1)*_ijour122)))</f>
        <v/>
      </c>
      <c r="AA181" s="156">
        <f t="shared" si="34"/>
        <v>0</v>
      </c>
      <c r="AB181" s="153">
        <f>IF(W181&lt;=_noechmaxi1t,ROUND(AA181*'Données Projet 1 (2)'!H190,_nbdeci1t1),0)</f>
        <v>0</v>
      </c>
      <c r="AC181" s="152">
        <f>IF(OR(W181&lt;=_differe1t1t,W181&gt;_noechmaxi1t),IF(_difftotal1t1t,-AB181,0),IF(W181&gt;=_noechremb12,AA181,IF('Données Projet 1 (2)'!I190-(AB181*_echfixe12)&gt;AA181-2,AA181,'Données Projet 1 (2)'!I190-(AB181*_echfixe12))))+R181</f>
        <v>0</v>
      </c>
      <c r="AD181" s="154">
        <f t="shared" si="35"/>
        <v>0</v>
      </c>
      <c r="AE181" s="157">
        <f t="shared" si="27"/>
        <v>0</v>
      </c>
    </row>
    <row r="182" spans="1:31" x14ac:dyDescent="0.2">
      <c r="A182" s="3"/>
      <c r="B182" s="164"/>
      <c r="C182" s="22"/>
      <c r="D182" s="21"/>
      <c r="E182" s="23"/>
      <c r="F182" s="10"/>
      <c r="G182" s="5">
        <f t="shared" si="28"/>
        <v>176</v>
      </c>
      <c r="H182" s="7">
        <f t="shared" si="29"/>
        <v>245</v>
      </c>
      <c r="I182" s="8">
        <f t="shared" si="24"/>
        <v>2023</v>
      </c>
      <c r="J182" s="31">
        <f>IF(K182=0,"",IF(_ijour12=0,MIN(DATE(YEAR(_debamort12),MONTH(_debamort12)+_MoisD+(G182-1)*_imois12,_jour212),DATE(YEAR(_debamort12),MONTH(_debamort12)+_MoisD+1+(G182-1)*_imois12,0)),DATE(YEAR(_debamort12),MONTH(_debamort12),_jour12+(G182-1)*_ijour12)))</f>
        <v>45139</v>
      </c>
      <c r="K182" s="156">
        <f t="shared" si="30"/>
        <v>123642.35000000003</v>
      </c>
      <c r="L182" s="153">
        <f>IF(G182&lt;=_noeechmaxi1,ROUND(K182*'Données Projet 1 (2)'!A191,_nbdeci1t),0)</f>
        <v>191.65</v>
      </c>
      <c r="M182" s="152">
        <f>IF(OR(G182&lt;=_differe1t,G182&gt;_noeechmaxi1),IF(_difftotal1t,-L182,0),IF(G182&gt;=_noechremb1t,K182,IF('Données Projet 1 (2)'!B191-(L182*_echfixe1t)&gt;K182-2,K182,'Données Projet 1 (2)'!B191-(L182*_echfixe1t))))+B182</f>
        <v>415.27</v>
      </c>
      <c r="N182" s="154">
        <f t="shared" si="31"/>
        <v>15.6</v>
      </c>
      <c r="O182" s="157">
        <f t="shared" si="25"/>
        <v>622.52</v>
      </c>
      <c r="Q182" s="3"/>
      <c r="R182" s="164"/>
      <c r="S182" s="22"/>
      <c r="T182" s="21"/>
      <c r="U182" s="23"/>
      <c r="V182" s="10"/>
      <c r="W182" s="5" t="str">
        <f t="shared" si="32"/>
        <v/>
      </c>
      <c r="X182" s="7" t="str">
        <f t="shared" si="33"/>
        <v/>
      </c>
      <c r="Y182" s="8" t="str">
        <f t="shared" si="26"/>
        <v/>
      </c>
      <c r="Z182" s="31" t="str">
        <f>IF(AA182=0,"",IF(_ijour122=0,MIN(DATE(YEAR(_debamort122),MONTH(_debamort122)+_moisd12+(W182-1)*_imois122,__jou21),DATE(YEAR(_debamort122),MONTH(_debamort122)+_moisd12+1+(W182-1)*_imois122,0)),DATE(YEAR(_debamort122),MONTH(_debamort122),__jou123+(W182-1)*_ijour122)))</f>
        <v/>
      </c>
      <c r="AA182" s="156">
        <f t="shared" si="34"/>
        <v>0</v>
      </c>
      <c r="AB182" s="153">
        <f>IF(W182&lt;=_noechmaxi1t,ROUND(AA182*'Données Projet 1 (2)'!H191,_nbdeci1t1),0)</f>
        <v>0</v>
      </c>
      <c r="AC182" s="152">
        <f>IF(OR(W182&lt;=_differe1t1t,W182&gt;_noechmaxi1t),IF(_difftotal1t1t,-AB182,0),IF(W182&gt;=_noechremb12,AA182,IF('Données Projet 1 (2)'!I191-(AB182*_echfixe12)&gt;AA182-2,AA182,'Données Projet 1 (2)'!I191-(AB182*_echfixe12))))+R182</f>
        <v>0</v>
      </c>
      <c r="AD182" s="154">
        <f t="shared" si="35"/>
        <v>0</v>
      </c>
      <c r="AE182" s="157">
        <f t="shared" si="27"/>
        <v>0</v>
      </c>
    </row>
    <row r="183" spans="1:31" x14ac:dyDescent="0.2">
      <c r="A183" s="3"/>
      <c r="B183" s="164"/>
      <c r="C183" s="22"/>
      <c r="D183" s="21"/>
      <c r="E183" s="23"/>
      <c r="F183" s="10"/>
      <c r="G183" s="5">
        <f t="shared" si="28"/>
        <v>177</v>
      </c>
      <c r="H183" s="7">
        <f t="shared" si="29"/>
        <v>244</v>
      </c>
      <c r="I183" s="8">
        <f t="shared" si="24"/>
        <v>2023</v>
      </c>
      <c r="J183" s="31">
        <f>IF(K183=0,"",IF(_ijour12=0,MIN(DATE(YEAR(_debamort12),MONTH(_debamort12)+(G183-1)*_imois12,_jour12),DATE(YEAR(_debamort12),MONTH(_debamort12)+1+(G183-1)*_imois12,0)),DATE(YEAR(_debamort12),MONTH(_debamort12),_jour12+(G183-1)*_ijour12)))</f>
        <v>45170</v>
      </c>
      <c r="K183" s="156">
        <f t="shared" si="30"/>
        <v>123227.08000000003</v>
      </c>
      <c r="L183" s="153">
        <f>IF(G183&lt;=_noeechmaxi1,ROUND(K183*'Données Projet 1 (2)'!A192,_nbdeci1t),0)</f>
        <v>191</v>
      </c>
      <c r="M183" s="152">
        <f>IF(OR(G183&lt;=_differe1t,G183&gt;_noeechmaxi1),IF(_difftotal1t,-L183,0),IF(G183&gt;=_noechremb1t,K183,IF('Données Projet 1 (2)'!B192-(L183*_echfixe1t)&gt;K183-2,K183,'Données Projet 1 (2)'!B192-(L183*_echfixe1t))))+B183</f>
        <v>415.91999999999996</v>
      </c>
      <c r="N183" s="154">
        <f t="shared" si="31"/>
        <v>15.6</v>
      </c>
      <c r="O183" s="157">
        <f t="shared" si="25"/>
        <v>622.52</v>
      </c>
      <c r="Q183" s="3"/>
      <c r="R183" s="164"/>
      <c r="S183" s="22"/>
      <c r="T183" s="21"/>
      <c r="U183" s="23"/>
      <c r="V183" s="10"/>
      <c r="W183" s="5" t="str">
        <f t="shared" si="32"/>
        <v/>
      </c>
      <c r="X183" s="7" t="str">
        <f t="shared" si="33"/>
        <v/>
      </c>
      <c r="Y183" s="8" t="str">
        <f t="shared" si="26"/>
        <v/>
      </c>
      <c r="Z183" s="31" t="str">
        <f>IF(AA183=0,"",IF(_ijour122=0,MIN(DATE(YEAR(_debamort122),MONTH(_debamort122)+(W183-1)*_imois122,__jou123),DATE(YEAR(_debamort122),MONTH(_debamort122)+1+(W183-1)*_imois122,0)),DATE(YEAR(_debamort122),MONTH(_debamort122),__jou123+(W183-1)*_ijour122)))</f>
        <v/>
      </c>
      <c r="AA183" s="156">
        <f t="shared" si="34"/>
        <v>0</v>
      </c>
      <c r="AB183" s="153">
        <f>IF(W183&lt;=_noechmaxi1t,ROUND(AA183*'Données Projet 1 (2)'!H192,_nbdeci1t1),0)</f>
        <v>0</v>
      </c>
      <c r="AC183" s="152">
        <f>IF(OR(W183&lt;=_differe1t1t,W183&gt;_noechmaxi1t),IF(_difftotal1t1t,-AB183,0),IF(W183&gt;=_noechremb12,AA183,IF('Données Projet 1 (2)'!I192-(AB183*_echfixe12)&gt;AA183-2,AA183,'Données Projet 1 (2)'!I192-(AB183*_echfixe12))))+R183</f>
        <v>0</v>
      </c>
      <c r="AD183" s="154">
        <f t="shared" si="35"/>
        <v>0</v>
      </c>
      <c r="AE183" s="157">
        <f t="shared" si="27"/>
        <v>0</v>
      </c>
    </row>
    <row r="184" spans="1:31" x14ac:dyDescent="0.2">
      <c r="A184" s="3"/>
      <c r="B184" s="164"/>
      <c r="C184" s="22"/>
      <c r="D184" s="21"/>
      <c r="E184" s="23"/>
      <c r="F184" s="10"/>
      <c r="G184" s="5">
        <f t="shared" si="28"/>
        <v>178</v>
      </c>
      <c r="H184" s="7">
        <f t="shared" si="29"/>
        <v>243</v>
      </c>
      <c r="I184" s="8">
        <f t="shared" si="24"/>
        <v>2023</v>
      </c>
      <c r="J184" s="31">
        <f>IF(K184=0,"",IF(_ijour12=0,MIN(DATE(YEAR(_debamort12),MONTH(_debamort12)+_MoisD+(G184-1)*_imois12,_jour212),DATE(YEAR(_debamort12),MONTH(_debamort12)+_MoisD+1+(G184-1)*_imois12,0)),DATE(YEAR(_debamort12),MONTH(_debamort12),_jour12+(G184-1)*_ijour12)))</f>
        <v>45200</v>
      </c>
      <c r="K184" s="156">
        <f t="shared" si="30"/>
        <v>122811.16000000003</v>
      </c>
      <c r="L184" s="153">
        <f>IF(G184&lt;=_noeechmaxi1,ROUND(K184*'Données Projet 1 (2)'!A193,_nbdeci1t),0)</f>
        <v>190.36</v>
      </c>
      <c r="M184" s="152">
        <f>IF(OR(G184&lt;=_differe1t,G184&gt;_noeechmaxi1),IF(_difftotal1t,-L184,0),IF(G184&gt;=_noechremb1t,K184,IF('Données Projet 1 (2)'!B193-(L184*_echfixe1t)&gt;K184-2,K184,'Données Projet 1 (2)'!B193-(L184*_echfixe1t))))+B184</f>
        <v>416.55999999999995</v>
      </c>
      <c r="N184" s="154">
        <f t="shared" si="31"/>
        <v>15.6</v>
      </c>
      <c r="O184" s="157">
        <f t="shared" si="25"/>
        <v>622.52</v>
      </c>
      <c r="Q184" s="3"/>
      <c r="R184" s="164"/>
      <c r="S184" s="22"/>
      <c r="T184" s="21"/>
      <c r="U184" s="23"/>
      <c r="V184" s="10"/>
      <c r="W184" s="5" t="str">
        <f t="shared" si="32"/>
        <v/>
      </c>
      <c r="X184" s="7" t="str">
        <f t="shared" si="33"/>
        <v/>
      </c>
      <c r="Y184" s="8" t="str">
        <f t="shared" si="26"/>
        <v/>
      </c>
      <c r="Z184" s="31" t="str">
        <f>IF(AA184=0,"",IF(_ijour122=0,MIN(DATE(YEAR(_debamort122),MONTH(_debamort122)+_moisd12+(W184-1)*_imois122,__jou21),DATE(YEAR(_debamort122),MONTH(_debamort122)+_moisd12+1+(W184-1)*_imois122,0)),DATE(YEAR(_debamort122),MONTH(_debamort122),__jou123+(W184-1)*_ijour122)))</f>
        <v/>
      </c>
      <c r="AA184" s="156">
        <f t="shared" si="34"/>
        <v>0</v>
      </c>
      <c r="AB184" s="153">
        <f>IF(W184&lt;=_noechmaxi1t,ROUND(AA184*'Données Projet 1 (2)'!H193,_nbdeci1t1),0)</f>
        <v>0</v>
      </c>
      <c r="AC184" s="152">
        <f>IF(OR(W184&lt;=_differe1t1t,W184&gt;_noechmaxi1t),IF(_difftotal1t1t,-AB184,0),IF(W184&gt;=_noechremb12,AA184,IF('Données Projet 1 (2)'!I193-(AB184*_echfixe12)&gt;AA184-2,AA184,'Données Projet 1 (2)'!I193-(AB184*_echfixe12))))+R184</f>
        <v>0</v>
      </c>
      <c r="AD184" s="154">
        <f t="shared" si="35"/>
        <v>0</v>
      </c>
      <c r="AE184" s="157">
        <f t="shared" si="27"/>
        <v>0</v>
      </c>
    </row>
    <row r="185" spans="1:31" x14ac:dyDescent="0.2">
      <c r="A185" s="3"/>
      <c r="B185" s="164"/>
      <c r="C185" s="22"/>
      <c r="D185" s="21"/>
      <c r="E185" s="23"/>
      <c r="F185" s="10"/>
      <c r="G185" s="5">
        <f t="shared" si="28"/>
        <v>179</v>
      </c>
      <c r="H185" s="7">
        <f t="shared" si="29"/>
        <v>242</v>
      </c>
      <c r="I185" s="8">
        <f t="shared" si="24"/>
        <v>2023</v>
      </c>
      <c r="J185" s="31">
        <f>IF(K185=0,"",IF(_ijour12=0,MIN(DATE(YEAR(_debamort12),MONTH(_debamort12)+(G185-1)*_imois12,_jour12),DATE(YEAR(_debamort12),MONTH(_debamort12)+1+(G185-1)*_imois12,0)),DATE(YEAR(_debamort12),MONTH(_debamort12),_jour12+(G185-1)*_ijour12)))</f>
        <v>45231</v>
      </c>
      <c r="K185" s="156">
        <f t="shared" si="30"/>
        <v>122394.60000000003</v>
      </c>
      <c r="L185" s="153">
        <f>IF(G185&lt;=_noeechmaxi1,ROUND(K185*'Données Projet 1 (2)'!A194,_nbdeci1t),0)</f>
        <v>189.71</v>
      </c>
      <c r="M185" s="152">
        <f>IF(OR(G185&lt;=_differe1t,G185&gt;_noeechmaxi1),IF(_difftotal1t,-L185,0),IF(G185&gt;=_noechremb1t,K185,IF('Données Projet 1 (2)'!B194-(L185*_echfixe1t)&gt;K185-2,K185,'Données Projet 1 (2)'!B194-(L185*_echfixe1t))))+B185</f>
        <v>417.20999999999992</v>
      </c>
      <c r="N185" s="154">
        <f t="shared" si="31"/>
        <v>15.6</v>
      </c>
      <c r="O185" s="157">
        <f t="shared" si="25"/>
        <v>622.52</v>
      </c>
      <c r="Q185" s="3"/>
      <c r="R185" s="164"/>
      <c r="S185" s="22"/>
      <c r="T185" s="21"/>
      <c r="U185" s="23"/>
      <c r="V185" s="10"/>
      <c r="W185" s="5" t="str">
        <f t="shared" si="32"/>
        <v/>
      </c>
      <c r="X185" s="7" t="str">
        <f t="shared" si="33"/>
        <v/>
      </c>
      <c r="Y185" s="8" t="str">
        <f t="shared" si="26"/>
        <v/>
      </c>
      <c r="Z185" s="31" t="str">
        <f>IF(AA185=0,"",IF(_ijour122=0,MIN(DATE(YEAR(_debamort122),MONTH(_debamort122)+(W185-1)*_imois122,__jou123),DATE(YEAR(_debamort122),MONTH(_debamort122)+1+(W185-1)*_imois122,0)),DATE(YEAR(_debamort122),MONTH(_debamort122),__jou123+(W185-1)*_ijour122)))</f>
        <v/>
      </c>
      <c r="AA185" s="156">
        <f t="shared" si="34"/>
        <v>0</v>
      </c>
      <c r="AB185" s="153">
        <f>IF(W185&lt;=_noechmaxi1t,ROUND(AA185*'Données Projet 1 (2)'!H194,_nbdeci1t1),0)</f>
        <v>0</v>
      </c>
      <c r="AC185" s="152">
        <f>IF(OR(W185&lt;=_differe1t1t,W185&gt;_noechmaxi1t),IF(_difftotal1t1t,-AB185,0),IF(W185&gt;=_noechremb12,AA185,IF('Données Projet 1 (2)'!I194-(AB185*_echfixe12)&gt;AA185-2,AA185,'Données Projet 1 (2)'!I194-(AB185*_echfixe12))))+R185</f>
        <v>0</v>
      </c>
      <c r="AD185" s="154">
        <f t="shared" si="35"/>
        <v>0</v>
      </c>
      <c r="AE185" s="157">
        <f t="shared" si="27"/>
        <v>0</v>
      </c>
    </row>
    <row r="186" spans="1:31" x14ac:dyDescent="0.2">
      <c r="A186" s="3"/>
      <c r="B186" s="164"/>
      <c r="C186" s="22"/>
      <c r="D186" s="21"/>
      <c r="E186" s="23"/>
      <c r="F186" s="10"/>
      <c r="G186" s="5">
        <f t="shared" si="28"/>
        <v>180</v>
      </c>
      <c r="H186" s="7">
        <f t="shared" si="29"/>
        <v>241</v>
      </c>
      <c r="I186" s="8">
        <f t="shared" si="24"/>
        <v>2023</v>
      </c>
      <c r="J186" s="31">
        <f>IF(K186=0,"",IF(_ijour12=0,MIN(DATE(YEAR(_debamort12),MONTH(_debamort12)+_MoisD+(G186-1)*_imois12,_jour212),DATE(YEAR(_debamort12),MONTH(_debamort12)+_MoisD+1+(G186-1)*_imois12,0)),DATE(YEAR(_debamort12),MONTH(_debamort12),_jour12+(G186-1)*_ijour12)))</f>
        <v>45261</v>
      </c>
      <c r="K186" s="156">
        <f t="shared" si="30"/>
        <v>121977.39000000003</v>
      </c>
      <c r="L186" s="153">
        <f>IF(G186&lt;=_noeechmaxi1,ROUND(K186*'Données Projet 1 (2)'!A195,_nbdeci1t),0)</f>
        <v>189.06</v>
      </c>
      <c r="M186" s="152">
        <f>IF(OR(G186&lt;=_differe1t,G186&gt;_noeechmaxi1),IF(_difftotal1t,-L186,0),IF(G186&gt;=_noechremb1t,K186,IF('Données Projet 1 (2)'!B195-(L186*_echfixe1t)&gt;K186-2,K186,'Données Projet 1 (2)'!B195-(L186*_echfixe1t))))+B186</f>
        <v>417.85999999999996</v>
      </c>
      <c r="N186" s="154">
        <f t="shared" si="31"/>
        <v>15.6</v>
      </c>
      <c r="O186" s="157">
        <f t="shared" si="25"/>
        <v>622.52</v>
      </c>
      <c r="Q186" s="3"/>
      <c r="R186" s="164"/>
      <c r="S186" s="22"/>
      <c r="T186" s="21"/>
      <c r="U186" s="23"/>
      <c r="V186" s="10"/>
      <c r="W186" s="5" t="str">
        <f t="shared" si="32"/>
        <v/>
      </c>
      <c r="X186" s="7" t="str">
        <f t="shared" si="33"/>
        <v/>
      </c>
      <c r="Y186" s="8" t="str">
        <f t="shared" si="26"/>
        <v/>
      </c>
      <c r="Z186" s="31" t="str">
        <f>IF(AA186=0,"",IF(_ijour122=0,MIN(DATE(YEAR(_debamort122),MONTH(_debamort122)+_moisd12+(W186-1)*_imois122,__jou21),DATE(YEAR(_debamort122),MONTH(_debamort122)+_moisd12+1+(W186-1)*_imois122,0)),DATE(YEAR(_debamort122),MONTH(_debamort122),__jou123+(W186-1)*_ijour122)))</f>
        <v/>
      </c>
      <c r="AA186" s="156">
        <f t="shared" si="34"/>
        <v>0</v>
      </c>
      <c r="AB186" s="153">
        <f>IF(W186&lt;=_noechmaxi1t,ROUND(AA186*'Données Projet 1 (2)'!H195,_nbdeci1t1),0)</f>
        <v>0</v>
      </c>
      <c r="AC186" s="152">
        <f>IF(OR(W186&lt;=_differe1t1t,W186&gt;_noechmaxi1t),IF(_difftotal1t1t,-AB186,0),IF(W186&gt;=_noechremb12,AA186,IF('Données Projet 1 (2)'!I195-(AB186*_echfixe12)&gt;AA186-2,AA186,'Données Projet 1 (2)'!I195-(AB186*_echfixe12))))+R186</f>
        <v>0</v>
      </c>
      <c r="AD186" s="154">
        <f t="shared" si="35"/>
        <v>0</v>
      </c>
      <c r="AE186" s="157">
        <f t="shared" si="27"/>
        <v>0</v>
      </c>
    </row>
    <row r="187" spans="1:31" x14ac:dyDescent="0.2">
      <c r="A187" s="3"/>
      <c r="B187" s="164"/>
      <c r="C187" s="22"/>
      <c r="D187" s="21"/>
      <c r="E187" s="23"/>
      <c r="F187" s="10"/>
      <c r="G187" s="5">
        <f t="shared" si="28"/>
        <v>181</v>
      </c>
      <c r="H187" s="7">
        <f t="shared" si="29"/>
        <v>240</v>
      </c>
      <c r="I187" s="8">
        <f t="shared" si="24"/>
        <v>2024</v>
      </c>
      <c r="J187" s="31">
        <f>IF(K187=0,"",IF(_ijour12=0,MIN(DATE(YEAR(_debamort12),MONTH(_debamort12)+(G187-1)*_imois12,_jour12),DATE(YEAR(_debamort12),MONTH(_debamort12)+1+(G187-1)*_imois12,0)),DATE(YEAR(_debamort12),MONTH(_debamort12),_jour12+(G187-1)*_ijour12)))</f>
        <v>45292</v>
      </c>
      <c r="K187" s="156">
        <f t="shared" si="30"/>
        <v>121559.53000000003</v>
      </c>
      <c r="L187" s="153">
        <f>IF(G187&lt;=_noeechmaxi1,ROUND(K187*'Données Projet 1 (2)'!A196,_nbdeci1t),0)</f>
        <v>188.42</v>
      </c>
      <c r="M187" s="152">
        <f>IF(OR(G187&lt;=_differe1t,G187&gt;_noeechmaxi1),IF(_difftotal1t,-L187,0),IF(G187&gt;=_noechremb1t,K187,IF('Données Projet 1 (2)'!B196-(L187*_echfixe1t)&gt;K187-2,K187,'Données Projet 1 (2)'!B196-(L187*_echfixe1t))))+B187</f>
        <v>418.5</v>
      </c>
      <c r="N187" s="154">
        <f t="shared" si="31"/>
        <v>15.6</v>
      </c>
      <c r="O187" s="157">
        <f t="shared" si="25"/>
        <v>622.52</v>
      </c>
      <c r="Q187" s="3"/>
      <c r="R187" s="164"/>
      <c r="S187" s="22"/>
      <c r="T187" s="21"/>
      <c r="U187" s="23"/>
      <c r="V187" s="10"/>
      <c r="W187" s="5" t="str">
        <f t="shared" si="32"/>
        <v/>
      </c>
      <c r="X187" s="7" t="str">
        <f t="shared" si="33"/>
        <v/>
      </c>
      <c r="Y187" s="8" t="str">
        <f t="shared" si="26"/>
        <v/>
      </c>
      <c r="Z187" s="31" t="str">
        <f>IF(AA187=0,"",IF(_ijour122=0,MIN(DATE(YEAR(_debamort122),MONTH(_debamort122)+(W187-1)*_imois122,__jou123),DATE(YEAR(_debamort122),MONTH(_debamort122)+1+(W187-1)*_imois122,0)),DATE(YEAR(_debamort122),MONTH(_debamort122),__jou123+(W187-1)*_ijour122)))</f>
        <v/>
      </c>
      <c r="AA187" s="156">
        <f t="shared" si="34"/>
        <v>0</v>
      </c>
      <c r="AB187" s="153">
        <f>IF(W187&lt;=_noechmaxi1t,ROUND(AA187*'Données Projet 1 (2)'!H196,_nbdeci1t1),0)</f>
        <v>0</v>
      </c>
      <c r="AC187" s="152">
        <f>IF(OR(W187&lt;=_differe1t1t,W187&gt;_noechmaxi1t),IF(_difftotal1t1t,-AB187,0),IF(W187&gt;=_noechremb12,AA187,IF('Données Projet 1 (2)'!I196-(AB187*_echfixe12)&gt;AA187-2,AA187,'Données Projet 1 (2)'!I196-(AB187*_echfixe12))))+R187</f>
        <v>0</v>
      </c>
      <c r="AD187" s="154">
        <f t="shared" si="35"/>
        <v>0</v>
      </c>
      <c r="AE187" s="157">
        <f t="shared" si="27"/>
        <v>0</v>
      </c>
    </row>
    <row r="188" spans="1:31" x14ac:dyDescent="0.2">
      <c r="A188" s="3"/>
      <c r="B188" s="164"/>
      <c r="C188" s="22"/>
      <c r="D188" s="21"/>
      <c r="E188" s="23"/>
      <c r="F188" s="10"/>
      <c r="G188" s="5">
        <f t="shared" si="28"/>
        <v>182</v>
      </c>
      <c r="H188" s="7">
        <f t="shared" si="29"/>
        <v>239</v>
      </c>
      <c r="I188" s="8">
        <f t="shared" si="24"/>
        <v>2024</v>
      </c>
      <c r="J188" s="31">
        <f>IF(K188=0,"",IF(_ijour12=0,MIN(DATE(YEAR(_debamort12),MONTH(_debamort12)+_MoisD+(G188-1)*_imois12,_jour212),DATE(YEAR(_debamort12),MONTH(_debamort12)+_MoisD+1+(G188-1)*_imois12,0)),DATE(YEAR(_debamort12),MONTH(_debamort12),_jour12+(G188-1)*_ijour12)))</f>
        <v>45323</v>
      </c>
      <c r="K188" s="156">
        <f t="shared" si="30"/>
        <v>121141.03000000003</v>
      </c>
      <c r="L188" s="153">
        <f>IF(G188&lt;=_noeechmaxi1,ROUND(K188*'Données Projet 1 (2)'!A197,_nbdeci1t),0)</f>
        <v>187.77</v>
      </c>
      <c r="M188" s="152">
        <f>IF(OR(G188&lt;=_differe1t,G188&gt;_noeechmaxi1),IF(_difftotal1t,-L188,0),IF(G188&gt;=_noechremb1t,K188,IF('Données Projet 1 (2)'!B197-(L188*_echfixe1t)&gt;K188-2,K188,'Données Projet 1 (2)'!B197-(L188*_echfixe1t))))+B188</f>
        <v>419.15</v>
      </c>
      <c r="N188" s="154">
        <f t="shared" si="31"/>
        <v>15.6</v>
      </c>
      <c r="O188" s="157">
        <f t="shared" si="25"/>
        <v>622.52</v>
      </c>
      <c r="Q188" s="3"/>
      <c r="R188" s="164"/>
      <c r="S188" s="22"/>
      <c r="T188" s="21"/>
      <c r="U188" s="23"/>
      <c r="V188" s="10"/>
      <c r="W188" s="5" t="str">
        <f t="shared" si="32"/>
        <v/>
      </c>
      <c r="X188" s="7" t="str">
        <f t="shared" si="33"/>
        <v/>
      </c>
      <c r="Y188" s="8" t="str">
        <f t="shared" si="26"/>
        <v/>
      </c>
      <c r="Z188" s="31" t="str">
        <f>IF(AA188=0,"",IF(_ijour122=0,MIN(DATE(YEAR(_debamort122),MONTH(_debamort122)+_moisd12+(W188-1)*_imois122,__jou21),DATE(YEAR(_debamort122),MONTH(_debamort122)+_moisd12+1+(W188-1)*_imois122,0)),DATE(YEAR(_debamort122),MONTH(_debamort122),__jou123+(W188-1)*_ijour122)))</f>
        <v/>
      </c>
      <c r="AA188" s="156">
        <f t="shared" si="34"/>
        <v>0</v>
      </c>
      <c r="AB188" s="153">
        <f>IF(W188&lt;=_noechmaxi1t,ROUND(AA188*'Données Projet 1 (2)'!H197,_nbdeci1t1),0)</f>
        <v>0</v>
      </c>
      <c r="AC188" s="152">
        <f>IF(OR(W188&lt;=_differe1t1t,W188&gt;_noechmaxi1t),IF(_difftotal1t1t,-AB188,0),IF(W188&gt;=_noechremb12,AA188,IF('Données Projet 1 (2)'!I197-(AB188*_echfixe12)&gt;AA188-2,AA188,'Données Projet 1 (2)'!I197-(AB188*_echfixe12))))+R188</f>
        <v>0</v>
      </c>
      <c r="AD188" s="154">
        <f t="shared" si="35"/>
        <v>0</v>
      </c>
      <c r="AE188" s="157">
        <f t="shared" si="27"/>
        <v>0</v>
      </c>
    </row>
    <row r="189" spans="1:31" x14ac:dyDescent="0.2">
      <c r="A189" s="3"/>
      <c r="B189" s="164"/>
      <c r="C189" s="22"/>
      <c r="D189" s="21"/>
      <c r="E189" s="23"/>
      <c r="F189" s="10"/>
      <c r="G189" s="5">
        <f t="shared" si="28"/>
        <v>183</v>
      </c>
      <c r="H189" s="7">
        <f t="shared" si="29"/>
        <v>238</v>
      </c>
      <c r="I189" s="8">
        <f t="shared" si="24"/>
        <v>2024</v>
      </c>
      <c r="J189" s="31">
        <f>IF(K189=0,"",IF(_ijour12=0,MIN(DATE(YEAR(_debamort12),MONTH(_debamort12)+(G189-1)*_imois12,_jour12),DATE(YEAR(_debamort12),MONTH(_debamort12)+1+(G189-1)*_imois12,0)),DATE(YEAR(_debamort12),MONTH(_debamort12),_jour12+(G189-1)*_ijour12)))</f>
        <v>45352</v>
      </c>
      <c r="K189" s="156">
        <f t="shared" si="30"/>
        <v>120721.88000000003</v>
      </c>
      <c r="L189" s="153">
        <f>IF(G189&lt;=_noeechmaxi1,ROUND(K189*'Données Projet 1 (2)'!A198,_nbdeci1t),0)</f>
        <v>187.12</v>
      </c>
      <c r="M189" s="152">
        <f>IF(OR(G189&lt;=_differe1t,G189&gt;_noeechmaxi1),IF(_difftotal1t,-L189,0),IF(G189&gt;=_noechremb1t,K189,IF('Données Projet 1 (2)'!B198-(L189*_echfixe1t)&gt;K189-2,K189,'Données Projet 1 (2)'!B198-(L189*_echfixe1t))))+B189</f>
        <v>419.79999999999995</v>
      </c>
      <c r="N189" s="154">
        <f t="shared" si="31"/>
        <v>15.6</v>
      </c>
      <c r="O189" s="157">
        <f t="shared" si="25"/>
        <v>622.52</v>
      </c>
      <c r="Q189" s="3"/>
      <c r="R189" s="164"/>
      <c r="S189" s="22"/>
      <c r="T189" s="21"/>
      <c r="U189" s="23"/>
      <c r="V189" s="10"/>
      <c r="W189" s="5" t="str">
        <f t="shared" si="32"/>
        <v/>
      </c>
      <c r="X189" s="7" t="str">
        <f t="shared" si="33"/>
        <v/>
      </c>
      <c r="Y189" s="8" t="str">
        <f t="shared" si="26"/>
        <v/>
      </c>
      <c r="Z189" s="31" t="str">
        <f>IF(AA189=0,"",IF(_ijour122=0,MIN(DATE(YEAR(_debamort122),MONTH(_debamort122)+(W189-1)*_imois122,__jou123),DATE(YEAR(_debamort122),MONTH(_debamort122)+1+(W189-1)*_imois122,0)),DATE(YEAR(_debamort122),MONTH(_debamort122),__jou123+(W189-1)*_ijour122)))</f>
        <v/>
      </c>
      <c r="AA189" s="156">
        <f t="shared" si="34"/>
        <v>0</v>
      </c>
      <c r="AB189" s="153">
        <f>IF(W189&lt;=_noechmaxi1t,ROUND(AA189*'Données Projet 1 (2)'!H198,_nbdeci1t1),0)</f>
        <v>0</v>
      </c>
      <c r="AC189" s="152">
        <f>IF(OR(W189&lt;=_differe1t1t,W189&gt;_noechmaxi1t),IF(_difftotal1t1t,-AB189,0),IF(W189&gt;=_noechremb12,AA189,IF('Données Projet 1 (2)'!I198-(AB189*_echfixe12)&gt;AA189-2,AA189,'Données Projet 1 (2)'!I198-(AB189*_echfixe12))))+R189</f>
        <v>0</v>
      </c>
      <c r="AD189" s="154">
        <f t="shared" si="35"/>
        <v>0</v>
      </c>
      <c r="AE189" s="157">
        <f t="shared" si="27"/>
        <v>0</v>
      </c>
    </row>
    <row r="190" spans="1:31" x14ac:dyDescent="0.2">
      <c r="A190" s="3"/>
      <c r="B190" s="164"/>
      <c r="C190" s="22"/>
      <c r="D190" s="21"/>
      <c r="E190" s="23"/>
      <c r="F190" s="10"/>
      <c r="G190" s="5">
        <f t="shared" si="28"/>
        <v>184</v>
      </c>
      <c r="H190" s="7">
        <f t="shared" si="29"/>
        <v>237</v>
      </c>
      <c r="I190" s="8">
        <f t="shared" si="24"/>
        <v>2024</v>
      </c>
      <c r="J190" s="31">
        <f>IF(K190=0,"",IF(_ijour12=0,MIN(DATE(YEAR(_debamort12),MONTH(_debamort12)+_MoisD+(G190-1)*_imois12,_jour212),DATE(YEAR(_debamort12),MONTH(_debamort12)+_MoisD+1+(G190-1)*_imois12,0)),DATE(YEAR(_debamort12),MONTH(_debamort12),_jour12+(G190-1)*_ijour12)))</f>
        <v>45383</v>
      </c>
      <c r="K190" s="156">
        <f t="shared" si="30"/>
        <v>120302.08000000003</v>
      </c>
      <c r="L190" s="153">
        <f>IF(G190&lt;=_noeechmaxi1,ROUND(K190*'Données Projet 1 (2)'!A199,_nbdeci1t),0)</f>
        <v>186.47</v>
      </c>
      <c r="M190" s="152">
        <f>IF(OR(G190&lt;=_differe1t,G190&gt;_noeechmaxi1),IF(_difftotal1t,-L190,0),IF(G190&gt;=_noechremb1t,K190,IF('Données Projet 1 (2)'!B199-(L190*_echfixe1t)&gt;K190-2,K190,'Données Projet 1 (2)'!B199-(L190*_echfixe1t))))+B190</f>
        <v>420.44999999999993</v>
      </c>
      <c r="N190" s="154">
        <f t="shared" si="31"/>
        <v>15.6</v>
      </c>
      <c r="O190" s="157">
        <f t="shared" si="25"/>
        <v>622.52</v>
      </c>
      <c r="Q190" s="3"/>
      <c r="R190" s="164"/>
      <c r="S190" s="22"/>
      <c r="T190" s="21"/>
      <c r="U190" s="23"/>
      <c r="V190" s="10"/>
      <c r="W190" s="5" t="str">
        <f t="shared" si="32"/>
        <v/>
      </c>
      <c r="X190" s="7" t="str">
        <f t="shared" si="33"/>
        <v/>
      </c>
      <c r="Y190" s="8" t="str">
        <f t="shared" si="26"/>
        <v/>
      </c>
      <c r="Z190" s="31" t="str">
        <f>IF(AA190=0,"",IF(_ijour122=0,MIN(DATE(YEAR(_debamort122),MONTH(_debamort122)+_moisd12+(W190-1)*_imois122,__jou21),DATE(YEAR(_debamort122),MONTH(_debamort122)+_moisd12+1+(W190-1)*_imois122,0)),DATE(YEAR(_debamort122),MONTH(_debamort122),__jou123+(W190-1)*_ijour122)))</f>
        <v/>
      </c>
      <c r="AA190" s="156">
        <f t="shared" si="34"/>
        <v>0</v>
      </c>
      <c r="AB190" s="153">
        <f>IF(W190&lt;=_noechmaxi1t,ROUND(AA190*'Données Projet 1 (2)'!H199,_nbdeci1t1),0)</f>
        <v>0</v>
      </c>
      <c r="AC190" s="152">
        <f>IF(OR(W190&lt;=_differe1t1t,W190&gt;_noechmaxi1t),IF(_difftotal1t1t,-AB190,0),IF(W190&gt;=_noechremb12,AA190,IF('Données Projet 1 (2)'!I199-(AB190*_echfixe12)&gt;AA190-2,AA190,'Données Projet 1 (2)'!I199-(AB190*_echfixe12))))+R190</f>
        <v>0</v>
      </c>
      <c r="AD190" s="154">
        <f t="shared" si="35"/>
        <v>0</v>
      </c>
      <c r="AE190" s="157">
        <f t="shared" si="27"/>
        <v>0</v>
      </c>
    </row>
    <row r="191" spans="1:31" x14ac:dyDescent="0.2">
      <c r="A191" s="3"/>
      <c r="B191" s="164"/>
      <c r="C191" s="22"/>
      <c r="D191" s="21"/>
      <c r="E191" s="23"/>
      <c r="F191" s="10"/>
      <c r="G191" s="5">
        <f t="shared" si="28"/>
        <v>185</v>
      </c>
      <c r="H191" s="7">
        <f t="shared" si="29"/>
        <v>236</v>
      </c>
      <c r="I191" s="8">
        <f t="shared" si="24"/>
        <v>2024</v>
      </c>
      <c r="J191" s="31">
        <f>IF(K191=0,"",IF(_ijour12=0,MIN(DATE(YEAR(_debamort12),MONTH(_debamort12)+(G191-1)*_imois12,_jour12),DATE(YEAR(_debamort12),MONTH(_debamort12)+1+(G191-1)*_imois12,0)),DATE(YEAR(_debamort12),MONTH(_debamort12),_jour12+(G191-1)*_ijour12)))</f>
        <v>45413</v>
      </c>
      <c r="K191" s="156">
        <f t="shared" si="30"/>
        <v>119881.63000000003</v>
      </c>
      <c r="L191" s="153">
        <f>IF(G191&lt;=_noeechmaxi1,ROUND(K191*'Données Projet 1 (2)'!A200,_nbdeci1t),0)</f>
        <v>185.82</v>
      </c>
      <c r="M191" s="152">
        <f>IF(OR(G191&lt;=_differe1t,G191&gt;_noeechmaxi1),IF(_difftotal1t,-L191,0),IF(G191&gt;=_noechremb1t,K191,IF('Données Projet 1 (2)'!B200-(L191*_echfixe1t)&gt;K191-2,K191,'Données Projet 1 (2)'!B200-(L191*_echfixe1t))))+B191</f>
        <v>421.09999999999997</v>
      </c>
      <c r="N191" s="154">
        <f t="shared" si="31"/>
        <v>15.6</v>
      </c>
      <c r="O191" s="157">
        <f t="shared" si="25"/>
        <v>622.52</v>
      </c>
      <c r="Q191" s="3"/>
      <c r="R191" s="164"/>
      <c r="S191" s="22"/>
      <c r="T191" s="21"/>
      <c r="U191" s="23"/>
      <c r="V191" s="10"/>
      <c r="W191" s="5" t="str">
        <f t="shared" si="32"/>
        <v/>
      </c>
      <c r="X191" s="7" t="str">
        <f t="shared" si="33"/>
        <v/>
      </c>
      <c r="Y191" s="8" t="str">
        <f t="shared" si="26"/>
        <v/>
      </c>
      <c r="Z191" s="31" t="str">
        <f>IF(AA191=0,"",IF(_ijour122=0,MIN(DATE(YEAR(_debamort122),MONTH(_debamort122)+(W191-1)*_imois122,__jou123),DATE(YEAR(_debamort122),MONTH(_debamort122)+1+(W191-1)*_imois122,0)),DATE(YEAR(_debamort122),MONTH(_debamort122),__jou123+(W191-1)*_ijour122)))</f>
        <v/>
      </c>
      <c r="AA191" s="156">
        <f t="shared" si="34"/>
        <v>0</v>
      </c>
      <c r="AB191" s="153">
        <f>IF(W191&lt;=_noechmaxi1t,ROUND(AA191*'Données Projet 1 (2)'!H200,_nbdeci1t1),0)</f>
        <v>0</v>
      </c>
      <c r="AC191" s="152">
        <f>IF(OR(W191&lt;=_differe1t1t,W191&gt;_noechmaxi1t),IF(_difftotal1t1t,-AB191,0),IF(W191&gt;=_noechremb12,AA191,IF('Données Projet 1 (2)'!I200-(AB191*_echfixe12)&gt;AA191-2,AA191,'Données Projet 1 (2)'!I200-(AB191*_echfixe12))))+R191</f>
        <v>0</v>
      </c>
      <c r="AD191" s="154">
        <f t="shared" si="35"/>
        <v>0</v>
      </c>
      <c r="AE191" s="157">
        <f t="shared" si="27"/>
        <v>0</v>
      </c>
    </row>
    <row r="192" spans="1:31" x14ac:dyDescent="0.2">
      <c r="A192" s="3"/>
      <c r="B192" s="164"/>
      <c r="C192" s="22"/>
      <c r="D192" s="21"/>
      <c r="E192" s="23"/>
      <c r="F192" s="10"/>
      <c r="G192" s="5">
        <f t="shared" si="28"/>
        <v>186</v>
      </c>
      <c r="H192" s="7">
        <f t="shared" si="29"/>
        <v>235</v>
      </c>
      <c r="I192" s="8">
        <f t="shared" si="24"/>
        <v>2024</v>
      </c>
      <c r="J192" s="31">
        <f>IF(K192=0,"",IF(_ijour12=0,MIN(DATE(YEAR(_debamort12),MONTH(_debamort12)+_MoisD+(G192-1)*_imois12,_jour212),DATE(YEAR(_debamort12),MONTH(_debamort12)+_MoisD+1+(G192-1)*_imois12,0)),DATE(YEAR(_debamort12),MONTH(_debamort12),_jour12+(G192-1)*_ijour12)))</f>
        <v>45444</v>
      </c>
      <c r="K192" s="156">
        <f t="shared" si="30"/>
        <v>119460.53000000003</v>
      </c>
      <c r="L192" s="153">
        <f>IF(G192&lt;=_noeechmaxi1,ROUND(K192*'Données Projet 1 (2)'!A201,_nbdeci1t),0)</f>
        <v>185.16</v>
      </c>
      <c r="M192" s="152">
        <f>IF(OR(G192&lt;=_differe1t,G192&gt;_noeechmaxi1),IF(_difftotal1t,-L192,0),IF(G192&gt;=_noechremb1t,K192,IF('Données Projet 1 (2)'!B201-(L192*_echfixe1t)&gt;K192-2,K192,'Données Projet 1 (2)'!B201-(L192*_echfixe1t))))+B192</f>
        <v>421.76</v>
      </c>
      <c r="N192" s="154">
        <f t="shared" si="31"/>
        <v>15.6</v>
      </c>
      <c r="O192" s="157">
        <f t="shared" si="25"/>
        <v>622.52</v>
      </c>
      <c r="Q192" s="3"/>
      <c r="R192" s="164"/>
      <c r="S192" s="22"/>
      <c r="T192" s="21"/>
      <c r="U192" s="23"/>
      <c r="V192" s="10"/>
      <c r="W192" s="5" t="str">
        <f t="shared" si="32"/>
        <v/>
      </c>
      <c r="X192" s="7" t="str">
        <f t="shared" si="33"/>
        <v/>
      </c>
      <c r="Y192" s="8" t="str">
        <f t="shared" si="26"/>
        <v/>
      </c>
      <c r="Z192" s="31" t="str">
        <f>IF(AA192=0,"",IF(_ijour122=0,MIN(DATE(YEAR(_debamort122),MONTH(_debamort122)+_moisd12+(W192-1)*_imois122,__jou21),DATE(YEAR(_debamort122),MONTH(_debamort122)+_moisd12+1+(W192-1)*_imois122,0)),DATE(YEAR(_debamort122),MONTH(_debamort122),__jou123+(W192-1)*_ijour122)))</f>
        <v/>
      </c>
      <c r="AA192" s="156">
        <f t="shared" si="34"/>
        <v>0</v>
      </c>
      <c r="AB192" s="153">
        <f>IF(W192&lt;=_noechmaxi1t,ROUND(AA192*'Données Projet 1 (2)'!H201,_nbdeci1t1),0)</f>
        <v>0</v>
      </c>
      <c r="AC192" s="152">
        <f>IF(OR(W192&lt;=_differe1t1t,W192&gt;_noechmaxi1t),IF(_difftotal1t1t,-AB192,0),IF(W192&gt;=_noechremb12,AA192,IF('Données Projet 1 (2)'!I201-(AB192*_echfixe12)&gt;AA192-2,AA192,'Données Projet 1 (2)'!I201-(AB192*_echfixe12))))+R192</f>
        <v>0</v>
      </c>
      <c r="AD192" s="154">
        <f t="shared" si="35"/>
        <v>0</v>
      </c>
      <c r="AE192" s="157">
        <f t="shared" si="27"/>
        <v>0</v>
      </c>
    </row>
    <row r="193" spans="1:31" x14ac:dyDescent="0.2">
      <c r="A193" s="3"/>
      <c r="B193" s="164"/>
      <c r="C193" s="22"/>
      <c r="D193" s="21"/>
      <c r="E193" s="23"/>
      <c r="F193" s="10"/>
      <c r="G193" s="5">
        <f t="shared" si="28"/>
        <v>187</v>
      </c>
      <c r="H193" s="7">
        <f t="shared" si="29"/>
        <v>234</v>
      </c>
      <c r="I193" s="8">
        <f t="shared" si="24"/>
        <v>2024</v>
      </c>
      <c r="J193" s="31">
        <f>IF(K193=0,"",IF(_ijour12=0,MIN(DATE(YEAR(_debamort12),MONTH(_debamort12)+(G193-1)*_imois12,_jour12),DATE(YEAR(_debamort12),MONTH(_debamort12)+1+(G193-1)*_imois12,0)),DATE(YEAR(_debamort12),MONTH(_debamort12),_jour12+(G193-1)*_ijour12)))</f>
        <v>45474</v>
      </c>
      <c r="K193" s="156">
        <f t="shared" si="30"/>
        <v>119038.77000000003</v>
      </c>
      <c r="L193" s="153">
        <f>IF(G193&lt;=_noeechmaxi1,ROUND(K193*'Données Projet 1 (2)'!A202,_nbdeci1t),0)</f>
        <v>184.51</v>
      </c>
      <c r="M193" s="152">
        <f>IF(OR(G193&lt;=_differe1t,G193&gt;_noeechmaxi1),IF(_difftotal1t,-L193,0),IF(G193&gt;=_noechremb1t,K193,IF('Données Projet 1 (2)'!B202-(L193*_echfixe1t)&gt;K193-2,K193,'Données Projet 1 (2)'!B202-(L193*_echfixe1t))))+B193</f>
        <v>422.40999999999997</v>
      </c>
      <c r="N193" s="154">
        <f t="shared" si="31"/>
        <v>15.6</v>
      </c>
      <c r="O193" s="157">
        <f t="shared" si="25"/>
        <v>622.52</v>
      </c>
      <c r="Q193" s="3"/>
      <c r="R193" s="164"/>
      <c r="S193" s="22"/>
      <c r="T193" s="21"/>
      <c r="U193" s="23"/>
      <c r="V193" s="10"/>
      <c r="W193" s="5" t="str">
        <f t="shared" si="32"/>
        <v/>
      </c>
      <c r="X193" s="7" t="str">
        <f t="shared" si="33"/>
        <v/>
      </c>
      <c r="Y193" s="8" t="str">
        <f t="shared" si="26"/>
        <v/>
      </c>
      <c r="Z193" s="31" t="str">
        <f>IF(AA193=0,"",IF(_ijour122=0,MIN(DATE(YEAR(_debamort122),MONTH(_debamort122)+(W193-1)*_imois122,__jou123),DATE(YEAR(_debamort122),MONTH(_debamort122)+1+(W193-1)*_imois122,0)),DATE(YEAR(_debamort122),MONTH(_debamort122),__jou123+(W193-1)*_ijour122)))</f>
        <v/>
      </c>
      <c r="AA193" s="156">
        <f t="shared" si="34"/>
        <v>0</v>
      </c>
      <c r="AB193" s="153">
        <f>IF(W193&lt;=_noechmaxi1t,ROUND(AA193*'Données Projet 1 (2)'!H202,_nbdeci1t1),0)</f>
        <v>0</v>
      </c>
      <c r="AC193" s="152">
        <f>IF(OR(W193&lt;=_differe1t1t,W193&gt;_noechmaxi1t),IF(_difftotal1t1t,-AB193,0),IF(W193&gt;=_noechremb12,AA193,IF('Données Projet 1 (2)'!I202-(AB193*_echfixe12)&gt;AA193-2,AA193,'Données Projet 1 (2)'!I202-(AB193*_echfixe12))))+R193</f>
        <v>0</v>
      </c>
      <c r="AD193" s="154">
        <f t="shared" si="35"/>
        <v>0</v>
      </c>
      <c r="AE193" s="157">
        <f t="shared" si="27"/>
        <v>0</v>
      </c>
    </row>
    <row r="194" spans="1:31" x14ac:dyDescent="0.2">
      <c r="A194" s="3"/>
      <c r="B194" s="164"/>
      <c r="C194" s="22"/>
      <c r="D194" s="21"/>
      <c r="E194" s="23"/>
      <c r="F194" s="10"/>
      <c r="G194" s="5">
        <f t="shared" si="28"/>
        <v>188</v>
      </c>
      <c r="H194" s="7">
        <f t="shared" si="29"/>
        <v>233</v>
      </c>
      <c r="I194" s="8">
        <f t="shared" si="24"/>
        <v>2024</v>
      </c>
      <c r="J194" s="31">
        <f>IF(K194=0,"",IF(_ijour12=0,MIN(DATE(YEAR(_debamort12),MONTH(_debamort12)+_MoisD+(G194-1)*_imois12,_jour212),DATE(YEAR(_debamort12),MONTH(_debamort12)+_MoisD+1+(G194-1)*_imois12,0)),DATE(YEAR(_debamort12),MONTH(_debamort12),_jour12+(G194-1)*_ijour12)))</f>
        <v>45505</v>
      </c>
      <c r="K194" s="156">
        <f t="shared" si="30"/>
        <v>118616.36000000003</v>
      </c>
      <c r="L194" s="153">
        <f>IF(G194&lt;=_noeechmaxi1,ROUND(K194*'Données Projet 1 (2)'!A203,_nbdeci1t),0)</f>
        <v>183.86</v>
      </c>
      <c r="M194" s="152">
        <f>IF(OR(G194&lt;=_differe1t,G194&gt;_noeechmaxi1),IF(_difftotal1t,-L194,0),IF(G194&gt;=_noechremb1t,K194,IF('Données Projet 1 (2)'!B203-(L194*_echfixe1t)&gt;K194-2,K194,'Données Projet 1 (2)'!B203-(L194*_echfixe1t))))+B194</f>
        <v>423.05999999999995</v>
      </c>
      <c r="N194" s="154">
        <f t="shared" si="31"/>
        <v>15.6</v>
      </c>
      <c r="O194" s="157">
        <f t="shared" si="25"/>
        <v>622.52</v>
      </c>
      <c r="Q194" s="3"/>
      <c r="R194" s="164"/>
      <c r="S194" s="22"/>
      <c r="T194" s="21"/>
      <c r="U194" s="23"/>
      <c r="V194" s="10"/>
      <c r="W194" s="5" t="str">
        <f t="shared" si="32"/>
        <v/>
      </c>
      <c r="X194" s="7" t="str">
        <f t="shared" si="33"/>
        <v/>
      </c>
      <c r="Y194" s="8" t="str">
        <f t="shared" si="26"/>
        <v/>
      </c>
      <c r="Z194" s="31" t="str">
        <f>IF(AA194=0,"",IF(_ijour122=0,MIN(DATE(YEAR(_debamort122),MONTH(_debamort122)+_moisd12+(W194-1)*_imois122,__jou21),DATE(YEAR(_debamort122),MONTH(_debamort122)+_moisd12+1+(W194-1)*_imois122,0)),DATE(YEAR(_debamort122),MONTH(_debamort122),__jou123+(W194-1)*_ijour122)))</f>
        <v/>
      </c>
      <c r="AA194" s="156">
        <f t="shared" si="34"/>
        <v>0</v>
      </c>
      <c r="AB194" s="153">
        <f>IF(W194&lt;=_noechmaxi1t,ROUND(AA194*'Données Projet 1 (2)'!H203,_nbdeci1t1),0)</f>
        <v>0</v>
      </c>
      <c r="AC194" s="152">
        <f>IF(OR(W194&lt;=_differe1t1t,W194&gt;_noechmaxi1t),IF(_difftotal1t1t,-AB194,0),IF(W194&gt;=_noechremb12,AA194,IF('Données Projet 1 (2)'!I203-(AB194*_echfixe12)&gt;AA194-2,AA194,'Données Projet 1 (2)'!I203-(AB194*_echfixe12))))+R194</f>
        <v>0</v>
      </c>
      <c r="AD194" s="154">
        <f t="shared" si="35"/>
        <v>0</v>
      </c>
      <c r="AE194" s="157">
        <f t="shared" si="27"/>
        <v>0</v>
      </c>
    </row>
    <row r="195" spans="1:31" x14ac:dyDescent="0.2">
      <c r="A195" s="3"/>
      <c r="B195" s="164"/>
      <c r="C195" s="22"/>
      <c r="D195" s="21"/>
      <c r="E195" s="23"/>
      <c r="F195" s="10"/>
      <c r="G195" s="5">
        <f t="shared" si="28"/>
        <v>189</v>
      </c>
      <c r="H195" s="7">
        <f t="shared" si="29"/>
        <v>232</v>
      </c>
      <c r="I195" s="8">
        <f t="shared" si="24"/>
        <v>2024</v>
      </c>
      <c r="J195" s="31">
        <f>IF(K195=0,"",IF(_ijour12=0,MIN(DATE(YEAR(_debamort12),MONTH(_debamort12)+(G195-1)*_imois12,_jour12),DATE(YEAR(_debamort12),MONTH(_debamort12)+1+(G195-1)*_imois12,0)),DATE(YEAR(_debamort12),MONTH(_debamort12),_jour12+(G195-1)*_ijour12)))</f>
        <v>45536</v>
      </c>
      <c r="K195" s="156">
        <f t="shared" si="30"/>
        <v>118193.30000000003</v>
      </c>
      <c r="L195" s="153">
        <f>IF(G195&lt;=_noeechmaxi1,ROUND(K195*'Données Projet 1 (2)'!A204,_nbdeci1t),0)</f>
        <v>183.2</v>
      </c>
      <c r="M195" s="152">
        <f>IF(OR(G195&lt;=_differe1t,G195&gt;_noeechmaxi1),IF(_difftotal1t,-L195,0),IF(G195&gt;=_noechremb1t,K195,IF('Données Projet 1 (2)'!B204-(L195*_echfixe1t)&gt;K195-2,K195,'Données Projet 1 (2)'!B204-(L195*_echfixe1t))))+B195</f>
        <v>423.71999999999997</v>
      </c>
      <c r="N195" s="154">
        <f t="shared" si="31"/>
        <v>15.6</v>
      </c>
      <c r="O195" s="157">
        <f t="shared" si="25"/>
        <v>622.52</v>
      </c>
      <c r="Q195" s="3"/>
      <c r="R195" s="164"/>
      <c r="S195" s="22"/>
      <c r="T195" s="21"/>
      <c r="U195" s="23"/>
      <c r="V195" s="10"/>
      <c r="W195" s="5" t="str">
        <f t="shared" si="32"/>
        <v/>
      </c>
      <c r="X195" s="7" t="str">
        <f t="shared" si="33"/>
        <v/>
      </c>
      <c r="Y195" s="8" t="str">
        <f t="shared" si="26"/>
        <v/>
      </c>
      <c r="Z195" s="31" t="str">
        <f>IF(AA195=0,"",IF(_ijour122=0,MIN(DATE(YEAR(_debamort122),MONTH(_debamort122)+(W195-1)*_imois122,__jou123),DATE(YEAR(_debamort122),MONTH(_debamort122)+1+(W195-1)*_imois122,0)),DATE(YEAR(_debamort122),MONTH(_debamort122),__jou123+(W195-1)*_ijour122)))</f>
        <v/>
      </c>
      <c r="AA195" s="156">
        <f t="shared" si="34"/>
        <v>0</v>
      </c>
      <c r="AB195" s="153">
        <f>IF(W195&lt;=_noechmaxi1t,ROUND(AA195*'Données Projet 1 (2)'!H204,_nbdeci1t1),0)</f>
        <v>0</v>
      </c>
      <c r="AC195" s="152">
        <f>IF(OR(W195&lt;=_differe1t1t,W195&gt;_noechmaxi1t),IF(_difftotal1t1t,-AB195,0),IF(W195&gt;=_noechremb12,AA195,IF('Données Projet 1 (2)'!I204-(AB195*_echfixe12)&gt;AA195-2,AA195,'Données Projet 1 (2)'!I204-(AB195*_echfixe12))))+R195</f>
        <v>0</v>
      </c>
      <c r="AD195" s="154">
        <f t="shared" si="35"/>
        <v>0</v>
      </c>
      <c r="AE195" s="157">
        <f t="shared" si="27"/>
        <v>0</v>
      </c>
    </row>
    <row r="196" spans="1:31" x14ac:dyDescent="0.2">
      <c r="A196" s="3"/>
      <c r="B196" s="164"/>
      <c r="C196" s="22"/>
      <c r="D196" s="21"/>
      <c r="E196" s="23"/>
      <c r="F196" s="10"/>
      <c r="G196" s="5">
        <f t="shared" si="28"/>
        <v>190</v>
      </c>
      <c r="H196" s="7">
        <f t="shared" si="29"/>
        <v>231</v>
      </c>
      <c r="I196" s="8">
        <f t="shared" si="24"/>
        <v>2024</v>
      </c>
      <c r="J196" s="31">
        <f>IF(K196=0,"",IF(_ijour12=0,MIN(DATE(YEAR(_debamort12),MONTH(_debamort12)+_MoisD+(G196-1)*_imois12,_jour212),DATE(YEAR(_debamort12),MONTH(_debamort12)+_MoisD+1+(G196-1)*_imois12,0)),DATE(YEAR(_debamort12),MONTH(_debamort12),_jour12+(G196-1)*_ijour12)))</f>
        <v>45566</v>
      </c>
      <c r="K196" s="156">
        <f t="shared" si="30"/>
        <v>117769.58000000003</v>
      </c>
      <c r="L196" s="153">
        <f>IF(G196&lt;=_noeechmaxi1,ROUND(K196*'Données Projet 1 (2)'!A205,_nbdeci1t),0)</f>
        <v>182.54</v>
      </c>
      <c r="M196" s="152">
        <f>IF(OR(G196&lt;=_differe1t,G196&gt;_noeechmaxi1),IF(_difftotal1t,-L196,0),IF(G196&gt;=_noechremb1t,K196,IF('Données Projet 1 (2)'!B205-(L196*_echfixe1t)&gt;K196-2,K196,'Données Projet 1 (2)'!B205-(L196*_echfixe1t))))+B196</f>
        <v>424.38</v>
      </c>
      <c r="N196" s="154">
        <f t="shared" si="31"/>
        <v>15.6</v>
      </c>
      <c r="O196" s="157">
        <f t="shared" si="25"/>
        <v>622.52</v>
      </c>
      <c r="Q196" s="3"/>
      <c r="R196" s="164"/>
      <c r="S196" s="22"/>
      <c r="T196" s="21"/>
      <c r="U196" s="23"/>
      <c r="V196" s="10"/>
      <c r="W196" s="5" t="str">
        <f t="shared" si="32"/>
        <v/>
      </c>
      <c r="X196" s="7" t="str">
        <f t="shared" si="33"/>
        <v/>
      </c>
      <c r="Y196" s="8" t="str">
        <f t="shared" si="26"/>
        <v/>
      </c>
      <c r="Z196" s="31" t="str">
        <f>IF(AA196=0,"",IF(_ijour122=0,MIN(DATE(YEAR(_debamort122),MONTH(_debamort122)+_moisd12+(W196-1)*_imois122,__jou21),DATE(YEAR(_debamort122),MONTH(_debamort122)+_moisd12+1+(W196-1)*_imois122,0)),DATE(YEAR(_debamort122),MONTH(_debamort122),__jou123+(W196-1)*_ijour122)))</f>
        <v/>
      </c>
      <c r="AA196" s="156">
        <f t="shared" si="34"/>
        <v>0</v>
      </c>
      <c r="AB196" s="153">
        <f>IF(W196&lt;=_noechmaxi1t,ROUND(AA196*'Données Projet 1 (2)'!H205,_nbdeci1t1),0)</f>
        <v>0</v>
      </c>
      <c r="AC196" s="152">
        <f>IF(OR(W196&lt;=_differe1t1t,W196&gt;_noechmaxi1t),IF(_difftotal1t1t,-AB196,0),IF(W196&gt;=_noechremb12,AA196,IF('Données Projet 1 (2)'!I205-(AB196*_echfixe12)&gt;AA196-2,AA196,'Données Projet 1 (2)'!I205-(AB196*_echfixe12))))+R196</f>
        <v>0</v>
      </c>
      <c r="AD196" s="154">
        <f t="shared" si="35"/>
        <v>0</v>
      </c>
      <c r="AE196" s="157">
        <f t="shared" si="27"/>
        <v>0</v>
      </c>
    </row>
    <row r="197" spans="1:31" x14ac:dyDescent="0.2">
      <c r="A197" s="3"/>
      <c r="B197" s="164"/>
      <c r="C197" s="22"/>
      <c r="D197" s="21"/>
      <c r="E197" s="23"/>
      <c r="F197" s="10"/>
      <c r="G197" s="5">
        <f t="shared" si="28"/>
        <v>191</v>
      </c>
      <c r="H197" s="7">
        <f t="shared" si="29"/>
        <v>230</v>
      </c>
      <c r="I197" s="8">
        <f t="shared" si="24"/>
        <v>2024</v>
      </c>
      <c r="J197" s="31">
        <f>IF(K197=0,"",IF(_ijour12=0,MIN(DATE(YEAR(_debamort12),MONTH(_debamort12)+(G197-1)*_imois12,_jour12),DATE(YEAR(_debamort12),MONTH(_debamort12)+1+(G197-1)*_imois12,0)),DATE(YEAR(_debamort12),MONTH(_debamort12),_jour12+(G197-1)*_ijour12)))</f>
        <v>45597</v>
      </c>
      <c r="K197" s="156">
        <f t="shared" si="30"/>
        <v>117345.20000000003</v>
      </c>
      <c r="L197" s="153">
        <f>IF(G197&lt;=_noeechmaxi1,ROUND(K197*'Données Projet 1 (2)'!A206,_nbdeci1t),0)</f>
        <v>181.89</v>
      </c>
      <c r="M197" s="152">
        <f>IF(OR(G197&lt;=_differe1t,G197&gt;_noeechmaxi1),IF(_difftotal1t,-L197,0),IF(G197&gt;=_noechremb1t,K197,IF('Données Projet 1 (2)'!B206-(L197*_echfixe1t)&gt;K197-2,K197,'Données Projet 1 (2)'!B206-(L197*_echfixe1t))))+B197</f>
        <v>425.03</v>
      </c>
      <c r="N197" s="154">
        <f t="shared" si="31"/>
        <v>15.6</v>
      </c>
      <c r="O197" s="157">
        <f t="shared" si="25"/>
        <v>622.52</v>
      </c>
      <c r="Q197" s="3"/>
      <c r="R197" s="164"/>
      <c r="S197" s="22"/>
      <c r="T197" s="21"/>
      <c r="U197" s="23"/>
      <c r="V197" s="10"/>
      <c r="W197" s="5" t="str">
        <f t="shared" si="32"/>
        <v/>
      </c>
      <c r="X197" s="7" t="str">
        <f t="shared" si="33"/>
        <v/>
      </c>
      <c r="Y197" s="8" t="str">
        <f t="shared" si="26"/>
        <v/>
      </c>
      <c r="Z197" s="31" t="str">
        <f>IF(AA197=0,"",IF(_ijour122=0,MIN(DATE(YEAR(_debamort122),MONTH(_debamort122)+(W197-1)*_imois122,__jou123),DATE(YEAR(_debamort122),MONTH(_debamort122)+1+(W197-1)*_imois122,0)),DATE(YEAR(_debamort122),MONTH(_debamort122),__jou123+(W197-1)*_ijour122)))</f>
        <v/>
      </c>
      <c r="AA197" s="156">
        <f t="shared" si="34"/>
        <v>0</v>
      </c>
      <c r="AB197" s="153">
        <f>IF(W197&lt;=_noechmaxi1t,ROUND(AA197*'Données Projet 1 (2)'!H206,_nbdeci1t1),0)</f>
        <v>0</v>
      </c>
      <c r="AC197" s="152">
        <f>IF(OR(W197&lt;=_differe1t1t,W197&gt;_noechmaxi1t),IF(_difftotal1t1t,-AB197,0),IF(W197&gt;=_noechremb12,AA197,IF('Données Projet 1 (2)'!I206-(AB197*_echfixe12)&gt;AA197-2,AA197,'Données Projet 1 (2)'!I206-(AB197*_echfixe12))))+R197</f>
        <v>0</v>
      </c>
      <c r="AD197" s="154">
        <f t="shared" si="35"/>
        <v>0</v>
      </c>
      <c r="AE197" s="157">
        <f t="shared" si="27"/>
        <v>0</v>
      </c>
    </row>
    <row r="198" spans="1:31" x14ac:dyDescent="0.2">
      <c r="A198" s="3"/>
      <c r="B198" s="164"/>
      <c r="C198" s="22"/>
      <c r="D198" s="21"/>
      <c r="E198" s="23"/>
      <c r="F198" s="10"/>
      <c r="G198" s="5">
        <f t="shared" si="28"/>
        <v>192</v>
      </c>
      <c r="H198" s="7">
        <f t="shared" si="29"/>
        <v>229</v>
      </c>
      <c r="I198" s="8">
        <f t="shared" ref="I198:I261" si="36">IF(ISNUMBER(J198),YEAR(J198),"")</f>
        <v>2024</v>
      </c>
      <c r="J198" s="31">
        <f>IF(K198=0,"",IF(_ijour12=0,MIN(DATE(YEAR(_debamort12),MONTH(_debamort12)+_MoisD+(G198-1)*_imois12,_jour212),DATE(YEAR(_debamort12),MONTH(_debamort12)+_MoisD+1+(G198-1)*_imois12,0)),DATE(YEAR(_debamort12),MONTH(_debamort12),_jour12+(G198-1)*_ijour12)))</f>
        <v>45627</v>
      </c>
      <c r="K198" s="156">
        <f t="shared" si="30"/>
        <v>116920.17000000003</v>
      </c>
      <c r="L198" s="153">
        <f>IF(G198&lt;=_noeechmaxi1,ROUND(K198*'Données Projet 1 (2)'!A207,_nbdeci1t),0)</f>
        <v>181.23</v>
      </c>
      <c r="M198" s="152">
        <f>IF(OR(G198&lt;=_differe1t,G198&gt;_noeechmaxi1),IF(_difftotal1t,-L198,0),IF(G198&gt;=_noechremb1t,K198,IF('Données Projet 1 (2)'!B207-(L198*_echfixe1t)&gt;K198-2,K198,'Données Projet 1 (2)'!B207-(L198*_echfixe1t))))+B198</f>
        <v>425.68999999999994</v>
      </c>
      <c r="N198" s="154">
        <f t="shared" si="31"/>
        <v>15.6</v>
      </c>
      <c r="O198" s="157">
        <f t="shared" ref="O198:O261" si="37">SUM(L198:N198)</f>
        <v>622.52</v>
      </c>
      <c r="Q198" s="3"/>
      <c r="R198" s="164"/>
      <c r="S198" s="22"/>
      <c r="T198" s="21"/>
      <c r="U198" s="23"/>
      <c r="V198" s="10"/>
      <c r="W198" s="5" t="str">
        <f t="shared" si="32"/>
        <v/>
      </c>
      <c r="X198" s="7" t="str">
        <f t="shared" si="33"/>
        <v/>
      </c>
      <c r="Y198" s="8" t="str">
        <f t="shared" ref="Y198:Y261" si="38">IF(ISNUMBER(Z198),YEAR(Z198),"")</f>
        <v/>
      </c>
      <c r="Z198" s="31" t="str">
        <f>IF(AA198=0,"",IF(_ijour122=0,MIN(DATE(YEAR(_debamort122),MONTH(_debamort122)+_moisd12+(W198-1)*_imois122,__jou21),DATE(YEAR(_debamort122),MONTH(_debamort122)+_moisd12+1+(W198-1)*_imois122,0)),DATE(YEAR(_debamort122),MONTH(_debamort122),__jou123+(W198-1)*_ijour122)))</f>
        <v/>
      </c>
      <c r="AA198" s="156">
        <f t="shared" si="34"/>
        <v>0</v>
      </c>
      <c r="AB198" s="153">
        <f>IF(W198&lt;=_noechmaxi1t,ROUND(AA198*'Données Projet 1 (2)'!H207,_nbdeci1t1),0)</f>
        <v>0</v>
      </c>
      <c r="AC198" s="152">
        <f>IF(OR(W198&lt;=_differe1t1t,W198&gt;_noechmaxi1t),IF(_difftotal1t1t,-AB198,0),IF(W198&gt;=_noechremb12,AA198,IF('Données Projet 1 (2)'!I207-(AB198*_echfixe12)&gt;AA198-2,AA198,'Données Projet 1 (2)'!I207-(AB198*_echfixe12))))+R198</f>
        <v>0</v>
      </c>
      <c r="AD198" s="154">
        <f t="shared" si="35"/>
        <v>0</v>
      </c>
      <c r="AE198" s="157">
        <f t="shared" ref="AE198:AE261" si="39">SUM(AB198:AD198)</f>
        <v>0</v>
      </c>
    </row>
    <row r="199" spans="1:31" x14ac:dyDescent="0.2">
      <c r="A199" s="3"/>
      <c r="B199" s="164"/>
      <c r="C199" s="22"/>
      <c r="D199" s="21"/>
      <c r="E199" s="23"/>
      <c r="F199" s="10"/>
      <c r="G199" s="5">
        <f t="shared" ref="G199:G262" si="40">IF(K199=0,"",G198+1)</f>
        <v>193</v>
      </c>
      <c r="H199" s="7">
        <f t="shared" ref="H199:H262" si="41">IF(K199&gt;0,_nbech123+_differe1t+1-G199,"")</f>
        <v>228</v>
      </c>
      <c r="I199" s="8">
        <f t="shared" si="36"/>
        <v>2025</v>
      </c>
      <c r="J199" s="31">
        <f>IF(K199=0,"",IF(_ijour12=0,MIN(DATE(YEAR(_debamort12),MONTH(_debamort12)+(G199-1)*_imois12,_jour12),DATE(YEAR(_debamort12),MONTH(_debamort12)+1+(G199-1)*_imois12,0)),DATE(YEAR(_debamort12),MONTH(_debamort12),_jour12+(G199-1)*_ijour12)))</f>
        <v>45658</v>
      </c>
      <c r="K199" s="156">
        <f t="shared" ref="K199:K262" si="42">K198-M198</f>
        <v>116494.48000000003</v>
      </c>
      <c r="L199" s="153">
        <f>IF(G199&lt;=_noeechmaxi1,ROUND(K199*'Données Projet 1 (2)'!A208,_nbdeci1t),0)</f>
        <v>180.57</v>
      </c>
      <c r="M199" s="152">
        <f>IF(OR(G199&lt;=_differe1t,G199&gt;_noeechmaxi1),IF(_difftotal1t,-L199,0),IF(G199&gt;=_noechremb1t,K199,IF('Données Projet 1 (2)'!B208-(L199*_echfixe1t)&gt;K199-2,K199,'Données Projet 1 (2)'!B208-(L199*_echfixe1t))))+B199</f>
        <v>426.34999999999997</v>
      </c>
      <c r="N199" s="154">
        <f t="shared" ref="N199:N262" si="43">IF(OR(K199=0,G199&gt;_noeechmaxi1),0,ROUND(_fraisf12+_fraisv12*K199,_nbdeci1t))+E199</f>
        <v>15.6</v>
      </c>
      <c r="O199" s="157">
        <f t="shared" si="37"/>
        <v>622.52</v>
      </c>
      <c r="Q199" s="3"/>
      <c r="R199" s="164"/>
      <c r="S199" s="22"/>
      <c r="T199" s="21"/>
      <c r="U199" s="23"/>
      <c r="V199" s="10"/>
      <c r="W199" s="5" t="str">
        <f t="shared" ref="W199:W262" si="44">IF(AA199=0,"",W198+1)</f>
        <v/>
      </c>
      <c r="X199" s="7" t="str">
        <f t="shared" ref="X199:X262" si="45">IF(AA199&gt;0,_nbech1234+_differe1t1t+1-W199,"")</f>
        <v/>
      </c>
      <c r="Y199" s="8" t="str">
        <f t="shared" si="38"/>
        <v/>
      </c>
      <c r="Z199" s="31" t="str">
        <f>IF(AA199=0,"",IF(_ijour122=0,MIN(DATE(YEAR(_debamort122),MONTH(_debamort122)+(W199-1)*_imois122,__jou123),DATE(YEAR(_debamort122),MONTH(_debamort122)+1+(W199-1)*_imois122,0)),DATE(YEAR(_debamort122),MONTH(_debamort122),__jou123+(W199-1)*_ijour122)))</f>
        <v/>
      </c>
      <c r="AA199" s="156">
        <f t="shared" ref="AA199:AA262" si="46">AA198-AC198</f>
        <v>0</v>
      </c>
      <c r="AB199" s="153">
        <f>IF(W199&lt;=_noechmaxi1t,ROUND(AA199*'Données Projet 1 (2)'!H208,_nbdeci1t1),0)</f>
        <v>0</v>
      </c>
      <c r="AC199" s="152">
        <f>IF(OR(W199&lt;=_differe1t1t,W199&gt;_noechmaxi1t),IF(_difftotal1t1t,-AB199,0),IF(W199&gt;=_noechremb12,AA199,IF('Données Projet 1 (2)'!I208-(AB199*_echfixe12)&gt;AA199-2,AA199,'Données Projet 1 (2)'!I208-(AB199*_echfixe12))))+R199</f>
        <v>0</v>
      </c>
      <c r="AD199" s="154">
        <f t="shared" ref="AD199:AD262" si="47">IF(OR(AA199=0,W199&gt;_noechmaxi1t),0,ROUND(_fraisf123+_fraisv123*AA199,_nbdeci1t1))+U199</f>
        <v>0</v>
      </c>
      <c r="AE199" s="157">
        <f t="shared" si="39"/>
        <v>0</v>
      </c>
    </row>
    <row r="200" spans="1:31" x14ac:dyDescent="0.2">
      <c r="A200" s="3"/>
      <c r="B200" s="164"/>
      <c r="C200" s="22"/>
      <c r="D200" s="21"/>
      <c r="E200" s="23"/>
      <c r="F200" s="10"/>
      <c r="G200" s="5">
        <f t="shared" si="40"/>
        <v>194</v>
      </c>
      <c r="H200" s="7">
        <f t="shared" si="41"/>
        <v>227</v>
      </c>
      <c r="I200" s="8">
        <f t="shared" si="36"/>
        <v>2025</v>
      </c>
      <c r="J200" s="31">
        <f>IF(K200=0,"",IF(_ijour12=0,MIN(DATE(YEAR(_debamort12),MONTH(_debamort12)+_MoisD+(G200-1)*_imois12,_jour212),DATE(YEAR(_debamort12),MONTH(_debamort12)+_MoisD+1+(G200-1)*_imois12,0)),DATE(YEAR(_debamort12),MONTH(_debamort12),_jour12+(G200-1)*_ijour12)))</f>
        <v>45689</v>
      </c>
      <c r="K200" s="156">
        <f t="shared" si="42"/>
        <v>116068.13000000002</v>
      </c>
      <c r="L200" s="153">
        <f>IF(G200&lt;=_noeechmaxi1,ROUND(K200*'Données Projet 1 (2)'!A209,_nbdeci1t),0)</f>
        <v>179.91</v>
      </c>
      <c r="M200" s="152">
        <f>IF(OR(G200&lt;=_differe1t,G200&gt;_noeechmaxi1),IF(_difftotal1t,-L200,0),IF(G200&gt;=_noechremb1t,K200,IF('Données Projet 1 (2)'!B209-(L200*_echfixe1t)&gt;K200-2,K200,'Données Projet 1 (2)'!B209-(L200*_echfixe1t))))+B200</f>
        <v>427.01</v>
      </c>
      <c r="N200" s="154">
        <f t="shared" si="43"/>
        <v>15.6</v>
      </c>
      <c r="O200" s="157">
        <f t="shared" si="37"/>
        <v>622.52</v>
      </c>
      <c r="Q200" s="3"/>
      <c r="R200" s="164"/>
      <c r="S200" s="22"/>
      <c r="T200" s="21"/>
      <c r="U200" s="23"/>
      <c r="V200" s="10"/>
      <c r="W200" s="5" t="str">
        <f t="shared" si="44"/>
        <v/>
      </c>
      <c r="X200" s="7" t="str">
        <f t="shared" si="45"/>
        <v/>
      </c>
      <c r="Y200" s="8" t="str">
        <f t="shared" si="38"/>
        <v/>
      </c>
      <c r="Z200" s="31" t="str">
        <f>IF(AA200=0,"",IF(_ijour122=0,MIN(DATE(YEAR(_debamort122),MONTH(_debamort122)+_moisd12+(W200-1)*_imois122,__jou21),DATE(YEAR(_debamort122),MONTH(_debamort122)+_moisd12+1+(W200-1)*_imois122,0)),DATE(YEAR(_debamort122),MONTH(_debamort122),__jou123+(W200-1)*_ijour122)))</f>
        <v/>
      </c>
      <c r="AA200" s="156">
        <f t="shared" si="46"/>
        <v>0</v>
      </c>
      <c r="AB200" s="153">
        <f>IF(W200&lt;=_noechmaxi1t,ROUND(AA200*'Données Projet 1 (2)'!H209,_nbdeci1t1),0)</f>
        <v>0</v>
      </c>
      <c r="AC200" s="152">
        <f>IF(OR(W200&lt;=_differe1t1t,W200&gt;_noechmaxi1t),IF(_difftotal1t1t,-AB200,0),IF(W200&gt;=_noechremb12,AA200,IF('Données Projet 1 (2)'!I209-(AB200*_echfixe12)&gt;AA200-2,AA200,'Données Projet 1 (2)'!I209-(AB200*_echfixe12))))+R200</f>
        <v>0</v>
      </c>
      <c r="AD200" s="154">
        <f t="shared" si="47"/>
        <v>0</v>
      </c>
      <c r="AE200" s="157">
        <f t="shared" si="39"/>
        <v>0</v>
      </c>
    </row>
    <row r="201" spans="1:31" x14ac:dyDescent="0.2">
      <c r="A201" s="3"/>
      <c r="B201" s="164"/>
      <c r="C201" s="22"/>
      <c r="D201" s="21"/>
      <c r="E201" s="23"/>
      <c r="F201" s="10"/>
      <c r="G201" s="5">
        <f t="shared" si="40"/>
        <v>195</v>
      </c>
      <c r="H201" s="7">
        <f t="shared" si="41"/>
        <v>226</v>
      </c>
      <c r="I201" s="8">
        <f t="shared" si="36"/>
        <v>2025</v>
      </c>
      <c r="J201" s="31">
        <f>IF(K201=0,"",IF(_ijour12=0,MIN(DATE(YEAR(_debamort12),MONTH(_debamort12)+(G201-1)*_imois12,_jour12),DATE(YEAR(_debamort12),MONTH(_debamort12)+1+(G201-1)*_imois12,0)),DATE(YEAR(_debamort12),MONTH(_debamort12),_jour12+(G201-1)*_ijour12)))</f>
        <v>45717</v>
      </c>
      <c r="K201" s="156">
        <f t="shared" si="42"/>
        <v>115641.12000000002</v>
      </c>
      <c r="L201" s="153">
        <f>IF(G201&lt;=_noeechmaxi1,ROUND(K201*'Données Projet 1 (2)'!A210,_nbdeci1t),0)</f>
        <v>179.24</v>
      </c>
      <c r="M201" s="152">
        <f>IF(OR(G201&lt;=_differe1t,G201&gt;_noeechmaxi1),IF(_difftotal1t,-L201,0),IF(G201&gt;=_noechremb1t,K201,IF('Données Projet 1 (2)'!B210-(L201*_echfixe1t)&gt;K201-2,K201,'Données Projet 1 (2)'!B210-(L201*_echfixe1t))))+B201</f>
        <v>427.67999999999995</v>
      </c>
      <c r="N201" s="154">
        <f t="shared" si="43"/>
        <v>15.6</v>
      </c>
      <c r="O201" s="157">
        <f t="shared" si="37"/>
        <v>622.52</v>
      </c>
      <c r="Q201" s="3"/>
      <c r="R201" s="164"/>
      <c r="S201" s="22"/>
      <c r="T201" s="21"/>
      <c r="U201" s="23"/>
      <c r="V201" s="10"/>
      <c r="W201" s="5" t="str">
        <f t="shared" si="44"/>
        <v/>
      </c>
      <c r="X201" s="7" t="str">
        <f t="shared" si="45"/>
        <v/>
      </c>
      <c r="Y201" s="8" t="str">
        <f t="shared" si="38"/>
        <v/>
      </c>
      <c r="Z201" s="31" t="str">
        <f>IF(AA201=0,"",IF(_ijour122=0,MIN(DATE(YEAR(_debamort122),MONTH(_debamort122)+(W201-1)*_imois122,__jou123),DATE(YEAR(_debamort122),MONTH(_debamort122)+1+(W201-1)*_imois122,0)),DATE(YEAR(_debamort122),MONTH(_debamort122),__jou123+(W201-1)*_ijour122)))</f>
        <v/>
      </c>
      <c r="AA201" s="156">
        <f t="shared" si="46"/>
        <v>0</v>
      </c>
      <c r="AB201" s="153">
        <f>IF(W201&lt;=_noechmaxi1t,ROUND(AA201*'Données Projet 1 (2)'!H210,_nbdeci1t1),0)</f>
        <v>0</v>
      </c>
      <c r="AC201" s="152">
        <f>IF(OR(W201&lt;=_differe1t1t,W201&gt;_noechmaxi1t),IF(_difftotal1t1t,-AB201,0),IF(W201&gt;=_noechremb12,AA201,IF('Données Projet 1 (2)'!I210-(AB201*_echfixe12)&gt;AA201-2,AA201,'Données Projet 1 (2)'!I210-(AB201*_echfixe12))))+R201</f>
        <v>0</v>
      </c>
      <c r="AD201" s="154">
        <f t="shared" si="47"/>
        <v>0</v>
      </c>
      <c r="AE201" s="157">
        <f t="shared" si="39"/>
        <v>0</v>
      </c>
    </row>
    <row r="202" spans="1:31" x14ac:dyDescent="0.2">
      <c r="A202" s="3"/>
      <c r="B202" s="164"/>
      <c r="C202" s="22"/>
      <c r="D202" s="21"/>
      <c r="E202" s="23"/>
      <c r="F202" s="10"/>
      <c r="G202" s="5">
        <f t="shared" si="40"/>
        <v>196</v>
      </c>
      <c r="H202" s="7">
        <f t="shared" si="41"/>
        <v>225</v>
      </c>
      <c r="I202" s="8">
        <f t="shared" si="36"/>
        <v>2025</v>
      </c>
      <c r="J202" s="31">
        <f>IF(K202=0,"",IF(_ijour12=0,MIN(DATE(YEAR(_debamort12),MONTH(_debamort12)+_MoisD+(G202-1)*_imois12,_jour212),DATE(YEAR(_debamort12),MONTH(_debamort12)+_MoisD+1+(G202-1)*_imois12,0)),DATE(YEAR(_debamort12),MONTH(_debamort12),_jour12+(G202-1)*_ijour12)))</f>
        <v>45748</v>
      </c>
      <c r="K202" s="156">
        <f t="shared" si="42"/>
        <v>115213.44000000003</v>
      </c>
      <c r="L202" s="153">
        <f>IF(G202&lt;=_noeechmaxi1,ROUND(K202*'Données Projet 1 (2)'!A211,_nbdeci1t),0)</f>
        <v>178.58</v>
      </c>
      <c r="M202" s="152">
        <f>IF(OR(G202&lt;=_differe1t,G202&gt;_noeechmaxi1),IF(_difftotal1t,-L202,0),IF(G202&gt;=_noechremb1t,K202,IF('Données Projet 1 (2)'!B211-(L202*_echfixe1t)&gt;K202-2,K202,'Données Projet 1 (2)'!B211-(L202*_echfixe1t))))+B202</f>
        <v>428.33999999999992</v>
      </c>
      <c r="N202" s="154">
        <f t="shared" si="43"/>
        <v>15.6</v>
      </c>
      <c r="O202" s="157">
        <f t="shared" si="37"/>
        <v>622.52</v>
      </c>
      <c r="Q202" s="3"/>
      <c r="R202" s="164"/>
      <c r="S202" s="22"/>
      <c r="T202" s="21"/>
      <c r="U202" s="23"/>
      <c r="V202" s="10"/>
      <c r="W202" s="5" t="str">
        <f t="shared" si="44"/>
        <v/>
      </c>
      <c r="X202" s="7" t="str">
        <f t="shared" si="45"/>
        <v/>
      </c>
      <c r="Y202" s="8" t="str">
        <f t="shared" si="38"/>
        <v/>
      </c>
      <c r="Z202" s="31" t="str">
        <f>IF(AA202=0,"",IF(_ijour122=0,MIN(DATE(YEAR(_debamort122),MONTH(_debamort122)+_moisd12+(W202-1)*_imois122,__jou21),DATE(YEAR(_debamort122),MONTH(_debamort122)+_moisd12+1+(W202-1)*_imois122,0)),DATE(YEAR(_debamort122),MONTH(_debamort122),__jou123+(W202-1)*_ijour122)))</f>
        <v/>
      </c>
      <c r="AA202" s="156">
        <f t="shared" si="46"/>
        <v>0</v>
      </c>
      <c r="AB202" s="153">
        <f>IF(W202&lt;=_noechmaxi1t,ROUND(AA202*'Données Projet 1 (2)'!H211,_nbdeci1t1),0)</f>
        <v>0</v>
      </c>
      <c r="AC202" s="152">
        <f>IF(OR(W202&lt;=_differe1t1t,W202&gt;_noechmaxi1t),IF(_difftotal1t1t,-AB202,0),IF(W202&gt;=_noechremb12,AA202,IF('Données Projet 1 (2)'!I211-(AB202*_echfixe12)&gt;AA202-2,AA202,'Données Projet 1 (2)'!I211-(AB202*_echfixe12))))+R202</f>
        <v>0</v>
      </c>
      <c r="AD202" s="154">
        <f t="shared" si="47"/>
        <v>0</v>
      </c>
      <c r="AE202" s="157">
        <f t="shared" si="39"/>
        <v>0</v>
      </c>
    </row>
    <row r="203" spans="1:31" x14ac:dyDescent="0.2">
      <c r="A203" s="3"/>
      <c r="B203" s="164"/>
      <c r="C203" s="22"/>
      <c r="D203" s="21"/>
      <c r="E203" s="23"/>
      <c r="F203" s="10"/>
      <c r="G203" s="5">
        <f t="shared" si="40"/>
        <v>197</v>
      </c>
      <c r="H203" s="7">
        <f t="shared" si="41"/>
        <v>224</v>
      </c>
      <c r="I203" s="8">
        <f t="shared" si="36"/>
        <v>2025</v>
      </c>
      <c r="J203" s="31">
        <f>IF(K203=0,"",IF(_ijour12=0,MIN(DATE(YEAR(_debamort12),MONTH(_debamort12)+(G203-1)*_imois12,_jour12),DATE(YEAR(_debamort12),MONTH(_debamort12)+1+(G203-1)*_imois12,0)),DATE(YEAR(_debamort12),MONTH(_debamort12),_jour12+(G203-1)*_ijour12)))</f>
        <v>45778</v>
      </c>
      <c r="K203" s="156">
        <f t="shared" si="42"/>
        <v>114785.10000000003</v>
      </c>
      <c r="L203" s="153">
        <f>IF(G203&lt;=_noeechmaxi1,ROUND(K203*'Données Projet 1 (2)'!A212,_nbdeci1t),0)</f>
        <v>177.92</v>
      </c>
      <c r="M203" s="152">
        <f>IF(OR(G203&lt;=_differe1t,G203&gt;_noeechmaxi1),IF(_difftotal1t,-L203,0),IF(G203&gt;=_noechremb1t,K203,IF('Données Projet 1 (2)'!B212-(L203*_echfixe1t)&gt;K203-2,K203,'Données Projet 1 (2)'!B212-(L203*_echfixe1t))))+B203</f>
        <v>429</v>
      </c>
      <c r="N203" s="154">
        <f t="shared" si="43"/>
        <v>15.6</v>
      </c>
      <c r="O203" s="157">
        <f t="shared" si="37"/>
        <v>622.52</v>
      </c>
      <c r="Q203" s="3"/>
      <c r="R203" s="164"/>
      <c r="S203" s="22"/>
      <c r="T203" s="21"/>
      <c r="U203" s="23"/>
      <c r="V203" s="10"/>
      <c r="W203" s="5" t="str">
        <f t="shared" si="44"/>
        <v/>
      </c>
      <c r="X203" s="7" t="str">
        <f t="shared" si="45"/>
        <v/>
      </c>
      <c r="Y203" s="8" t="str">
        <f t="shared" si="38"/>
        <v/>
      </c>
      <c r="Z203" s="31" t="str">
        <f>IF(AA203=0,"",IF(_ijour122=0,MIN(DATE(YEAR(_debamort122),MONTH(_debamort122)+(W203-1)*_imois122,__jou123),DATE(YEAR(_debamort122),MONTH(_debamort122)+1+(W203-1)*_imois122,0)),DATE(YEAR(_debamort122),MONTH(_debamort122),__jou123+(W203-1)*_ijour122)))</f>
        <v/>
      </c>
      <c r="AA203" s="156">
        <f t="shared" si="46"/>
        <v>0</v>
      </c>
      <c r="AB203" s="153">
        <f>IF(W203&lt;=_noechmaxi1t,ROUND(AA203*'Données Projet 1 (2)'!H212,_nbdeci1t1),0)</f>
        <v>0</v>
      </c>
      <c r="AC203" s="152">
        <f>IF(OR(W203&lt;=_differe1t1t,W203&gt;_noechmaxi1t),IF(_difftotal1t1t,-AB203,0),IF(W203&gt;=_noechremb12,AA203,IF('Données Projet 1 (2)'!I212-(AB203*_echfixe12)&gt;AA203-2,AA203,'Données Projet 1 (2)'!I212-(AB203*_echfixe12))))+R203</f>
        <v>0</v>
      </c>
      <c r="AD203" s="154">
        <f t="shared" si="47"/>
        <v>0</v>
      </c>
      <c r="AE203" s="157">
        <f t="shared" si="39"/>
        <v>0</v>
      </c>
    </row>
    <row r="204" spans="1:31" x14ac:dyDescent="0.2">
      <c r="A204" s="3"/>
      <c r="B204" s="164"/>
      <c r="C204" s="22"/>
      <c r="D204" s="21"/>
      <c r="E204" s="23"/>
      <c r="F204" s="10"/>
      <c r="G204" s="5">
        <f t="shared" si="40"/>
        <v>198</v>
      </c>
      <c r="H204" s="7">
        <f t="shared" si="41"/>
        <v>223</v>
      </c>
      <c r="I204" s="8">
        <f t="shared" si="36"/>
        <v>2025</v>
      </c>
      <c r="J204" s="31">
        <f>IF(K204=0,"",IF(_ijour12=0,MIN(DATE(YEAR(_debamort12),MONTH(_debamort12)+_MoisD+(G204-1)*_imois12,_jour212),DATE(YEAR(_debamort12),MONTH(_debamort12)+_MoisD+1+(G204-1)*_imois12,0)),DATE(YEAR(_debamort12),MONTH(_debamort12),_jour12+(G204-1)*_ijour12)))</f>
        <v>45809</v>
      </c>
      <c r="K204" s="156">
        <f t="shared" si="42"/>
        <v>114356.10000000003</v>
      </c>
      <c r="L204" s="153">
        <f>IF(G204&lt;=_noeechmaxi1,ROUND(K204*'Données Projet 1 (2)'!A213,_nbdeci1t),0)</f>
        <v>177.25</v>
      </c>
      <c r="M204" s="152">
        <f>IF(OR(G204&lt;=_differe1t,G204&gt;_noeechmaxi1),IF(_difftotal1t,-L204,0),IF(G204&gt;=_noechremb1t,K204,IF('Données Projet 1 (2)'!B213-(L204*_echfixe1t)&gt;K204-2,K204,'Données Projet 1 (2)'!B213-(L204*_echfixe1t))))+B204</f>
        <v>429.66999999999996</v>
      </c>
      <c r="N204" s="154">
        <f t="shared" si="43"/>
        <v>15.6</v>
      </c>
      <c r="O204" s="157">
        <f t="shared" si="37"/>
        <v>622.52</v>
      </c>
      <c r="Q204" s="3"/>
      <c r="R204" s="164"/>
      <c r="S204" s="22"/>
      <c r="T204" s="21"/>
      <c r="U204" s="23"/>
      <c r="V204" s="10"/>
      <c r="W204" s="5" t="str">
        <f t="shared" si="44"/>
        <v/>
      </c>
      <c r="X204" s="7" t="str">
        <f t="shared" si="45"/>
        <v/>
      </c>
      <c r="Y204" s="8" t="str">
        <f t="shared" si="38"/>
        <v/>
      </c>
      <c r="Z204" s="31" t="str">
        <f>IF(AA204=0,"",IF(_ijour122=0,MIN(DATE(YEAR(_debamort122),MONTH(_debamort122)+_moisd12+(W204-1)*_imois122,__jou21),DATE(YEAR(_debamort122),MONTH(_debamort122)+_moisd12+1+(W204-1)*_imois122,0)),DATE(YEAR(_debamort122),MONTH(_debamort122),__jou123+(W204-1)*_ijour122)))</f>
        <v/>
      </c>
      <c r="AA204" s="156">
        <f t="shared" si="46"/>
        <v>0</v>
      </c>
      <c r="AB204" s="153">
        <f>IF(W204&lt;=_noechmaxi1t,ROUND(AA204*'Données Projet 1 (2)'!H213,_nbdeci1t1),0)</f>
        <v>0</v>
      </c>
      <c r="AC204" s="152">
        <f>IF(OR(W204&lt;=_differe1t1t,W204&gt;_noechmaxi1t),IF(_difftotal1t1t,-AB204,0),IF(W204&gt;=_noechremb12,AA204,IF('Données Projet 1 (2)'!I213-(AB204*_echfixe12)&gt;AA204-2,AA204,'Données Projet 1 (2)'!I213-(AB204*_echfixe12))))+R204</f>
        <v>0</v>
      </c>
      <c r="AD204" s="154">
        <f t="shared" si="47"/>
        <v>0</v>
      </c>
      <c r="AE204" s="157">
        <f t="shared" si="39"/>
        <v>0</v>
      </c>
    </row>
    <row r="205" spans="1:31" x14ac:dyDescent="0.2">
      <c r="A205" s="3"/>
      <c r="B205" s="164"/>
      <c r="C205" s="22"/>
      <c r="D205" s="21"/>
      <c r="E205" s="23"/>
      <c r="F205" s="10"/>
      <c r="G205" s="5">
        <f t="shared" si="40"/>
        <v>199</v>
      </c>
      <c r="H205" s="7">
        <f t="shared" si="41"/>
        <v>222</v>
      </c>
      <c r="I205" s="8">
        <f t="shared" si="36"/>
        <v>2025</v>
      </c>
      <c r="J205" s="31">
        <f>IF(K205=0,"",IF(_ijour12=0,MIN(DATE(YEAR(_debamort12),MONTH(_debamort12)+(G205-1)*_imois12,_jour12),DATE(YEAR(_debamort12),MONTH(_debamort12)+1+(G205-1)*_imois12,0)),DATE(YEAR(_debamort12),MONTH(_debamort12),_jour12+(G205-1)*_ijour12)))</f>
        <v>45839</v>
      </c>
      <c r="K205" s="156">
        <f t="shared" si="42"/>
        <v>113926.43000000004</v>
      </c>
      <c r="L205" s="153">
        <f>IF(G205&lt;=_noeechmaxi1,ROUND(K205*'Données Projet 1 (2)'!A214,_nbdeci1t),0)</f>
        <v>176.59</v>
      </c>
      <c r="M205" s="152">
        <f>IF(OR(G205&lt;=_differe1t,G205&gt;_noeechmaxi1),IF(_difftotal1t,-L205,0),IF(G205&gt;=_noechremb1t,K205,IF('Données Projet 1 (2)'!B214-(L205*_echfixe1t)&gt;K205-2,K205,'Données Projet 1 (2)'!B214-(L205*_echfixe1t))))+B205</f>
        <v>430.32999999999993</v>
      </c>
      <c r="N205" s="154">
        <f t="shared" si="43"/>
        <v>15.6</v>
      </c>
      <c r="O205" s="157">
        <f t="shared" si="37"/>
        <v>622.52</v>
      </c>
      <c r="Q205" s="3"/>
      <c r="R205" s="164"/>
      <c r="S205" s="22"/>
      <c r="T205" s="21"/>
      <c r="U205" s="23"/>
      <c r="V205" s="10"/>
      <c r="W205" s="5" t="str">
        <f t="shared" si="44"/>
        <v/>
      </c>
      <c r="X205" s="7" t="str">
        <f t="shared" si="45"/>
        <v/>
      </c>
      <c r="Y205" s="8" t="str">
        <f t="shared" si="38"/>
        <v/>
      </c>
      <c r="Z205" s="31" t="str">
        <f>IF(AA205=0,"",IF(_ijour122=0,MIN(DATE(YEAR(_debamort122),MONTH(_debamort122)+(W205-1)*_imois122,__jou123),DATE(YEAR(_debamort122),MONTH(_debamort122)+1+(W205-1)*_imois122,0)),DATE(YEAR(_debamort122),MONTH(_debamort122),__jou123+(W205-1)*_ijour122)))</f>
        <v/>
      </c>
      <c r="AA205" s="156">
        <f t="shared" si="46"/>
        <v>0</v>
      </c>
      <c r="AB205" s="153">
        <f>IF(W205&lt;=_noechmaxi1t,ROUND(AA205*'Données Projet 1 (2)'!H214,_nbdeci1t1),0)</f>
        <v>0</v>
      </c>
      <c r="AC205" s="152">
        <f>IF(OR(W205&lt;=_differe1t1t,W205&gt;_noechmaxi1t),IF(_difftotal1t1t,-AB205,0),IF(W205&gt;=_noechremb12,AA205,IF('Données Projet 1 (2)'!I214-(AB205*_echfixe12)&gt;AA205-2,AA205,'Données Projet 1 (2)'!I214-(AB205*_echfixe12))))+R205</f>
        <v>0</v>
      </c>
      <c r="AD205" s="154">
        <f t="shared" si="47"/>
        <v>0</v>
      </c>
      <c r="AE205" s="157">
        <f t="shared" si="39"/>
        <v>0</v>
      </c>
    </row>
    <row r="206" spans="1:31" x14ac:dyDescent="0.2">
      <c r="A206" s="3"/>
      <c r="B206" s="164"/>
      <c r="C206" s="22"/>
      <c r="D206" s="21"/>
      <c r="E206" s="23"/>
      <c r="F206" s="10"/>
      <c r="G206" s="5">
        <f t="shared" si="40"/>
        <v>200</v>
      </c>
      <c r="H206" s="7">
        <f t="shared" si="41"/>
        <v>221</v>
      </c>
      <c r="I206" s="8">
        <f t="shared" si="36"/>
        <v>2025</v>
      </c>
      <c r="J206" s="31">
        <f>IF(K206=0,"",IF(_ijour12=0,MIN(DATE(YEAR(_debamort12),MONTH(_debamort12)+_MoisD+(G206-1)*_imois12,_jour212),DATE(YEAR(_debamort12),MONTH(_debamort12)+_MoisD+1+(G206-1)*_imois12,0)),DATE(YEAR(_debamort12),MONTH(_debamort12),_jour12+(G206-1)*_ijour12)))</f>
        <v>45870</v>
      </c>
      <c r="K206" s="156">
        <f t="shared" si="42"/>
        <v>113496.10000000003</v>
      </c>
      <c r="L206" s="153">
        <f>IF(G206&lt;=_noeechmaxi1,ROUND(K206*'Données Projet 1 (2)'!A215,_nbdeci1t),0)</f>
        <v>175.92</v>
      </c>
      <c r="M206" s="152">
        <f>IF(OR(G206&lt;=_differe1t,G206&gt;_noeechmaxi1),IF(_difftotal1t,-L206,0),IF(G206&gt;=_noechremb1t,K206,IF('Données Projet 1 (2)'!B215-(L206*_echfixe1t)&gt;K206-2,K206,'Données Projet 1 (2)'!B215-(L206*_echfixe1t))))+B206</f>
        <v>431</v>
      </c>
      <c r="N206" s="154">
        <f t="shared" si="43"/>
        <v>15.6</v>
      </c>
      <c r="O206" s="157">
        <f t="shared" si="37"/>
        <v>622.52</v>
      </c>
      <c r="Q206" s="3"/>
      <c r="R206" s="164"/>
      <c r="S206" s="22"/>
      <c r="T206" s="21"/>
      <c r="U206" s="23"/>
      <c r="V206" s="10"/>
      <c r="W206" s="5" t="str">
        <f t="shared" si="44"/>
        <v/>
      </c>
      <c r="X206" s="7" t="str">
        <f t="shared" si="45"/>
        <v/>
      </c>
      <c r="Y206" s="8" t="str">
        <f t="shared" si="38"/>
        <v/>
      </c>
      <c r="Z206" s="31" t="str">
        <f>IF(AA206=0,"",IF(_ijour122=0,MIN(DATE(YEAR(_debamort122),MONTH(_debamort122)+_moisd12+(W206-1)*_imois122,__jou21),DATE(YEAR(_debamort122),MONTH(_debamort122)+_moisd12+1+(W206-1)*_imois122,0)),DATE(YEAR(_debamort122),MONTH(_debamort122),__jou123+(W206-1)*_ijour122)))</f>
        <v/>
      </c>
      <c r="AA206" s="156">
        <f t="shared" si="46"/>
        <v>0</v>
      </c>
      <c r="AB206" s="153">
        <f>IF(W206&lt;=_noechmaxi1t,ROUND(AA206*'Données Projet 1 (2)'!H215,_nbdeci1t1),0)</f>
        <v>0</v>
      </c>
      <c r="AC206" s="152">
        <f>IF(OR(W206&lt;=_differe1t1t,W206&gt;_noechmaxi1t),IF(_difftotal1t1t,-AB206,0),IF(W206&gt;=_noechremb12,AA206,IF('Données Projet 1 (2)'!I215-(AB206*_echfixe12)&gt;AA206-2,AA206,'Données Projet 1 (2)'!I215-(AB206*_echfixe12))))+R206</f>
        <v>0</v>
      </c>
      <c r="AD206" s="154">
        <f t="shared" si="47"/>
        <v>0</v>
      </c>
      <c r="AE206" s="157">
        <f t="shared" si="39"/>
        <v>0</v>
      </c>
    </row>
    <row r="207" spans="1:31" x14ac:dyDescent="0.2">
      <c r="A207" s="3"/>
      <c r="B207" s="164"/>
      <c r="C207" s="22"/>
      <c r="D207" s="21"/>
      <c r="E207" s="23"/>
      <c r="F207" s="10"/>
      <c r="G207" s="5">
        <f t="shared" si="40"/>
        <v>201</v>
      </c>
      <c r="H207" s="7">
        <f t="shared" si="41"/>
        <v>220</v>
      </c>
      <c r="I207" s="8">
        <f t="shared" si="36"/>
        <v>2025</v>
      </c>
      <c r="J207" s="31">
        <f>IF(K207=0,"",IF(_ijour12=0,MIN(DATE(YEAR(_debamort12),MONTH(_debamort12)+(G207-1)*_imois12,_jour12),DATE(YEAR(_debamort12),MONTH(_debamort12)+1+(G207-1)*_imois12,0)),DATE(YEAR(_debamort12),MONTH(_debamort12),_jour12+(G207-1)*_ijour12)))</f>
        <v>45901</v>
      </c>
      <c r="K207" s="156">
        <f t="shared" si="42"/>
        <v>113065.10000000003</v>
      </c>
      <c r="L207" s="153">
        <f>IF(G207&lt;=_noeechmaxi1,ROUND(K207*'Données Projet 1 (2)'!A216,_nbdeci1t),0)</f>
        <v>175.25</v>
      </c>
      <c r="M207" s="152">
        <f>IF(OR(G207&lt;=_differe1t,G207&gt;_noeechmaxi1),IF(_difftotal1t,-L207,0),IF(G207&gt;=_noechremb1t,K207,IF('Données Projet 1 (2)'!B216-(L207*_echfixe1t)&gt;K207-2,K207,'Données Projet 1 (2)'!B216-(L207*_echfixe1t))))+B207</f>
        <v>431.66999999999996</v>
      </c>
      <c r="N207" s="154">
        <f t="shared" si="43"/>
        <v>15.6</v>
      </c>
      <c r="O207" s="157">
        <f t="shared" si="37"/>
        <v>622.52</v>
      </c>
      <c r="Q207" s="3"/>
      <c r="R207" s="164"/>
      <c r="S207" s="22"/>
      <c r="T207" s="21"/>
      <c r="U207" s="23"/>
      <c r="V207" s="10"/>
      <c r="W207" s="5" t="str">
        <f t="shared" si="44"/>
        <v/>
      </c>
      <c r="X207" s="7" t="str">
        <f t="shared" si="45"/>
        <v/>
      </c>
      <c r="Y207" s="8" t="str">
        <f t="shared" si="38"/>
        <v/>
      </c>
      <c r="Z207" s="31" t="str">
        <f>IF(AA207=0,"",IF(_ijour122=0,MIN(DATE(YEAR(_debamort122),MONTH(_debamort122)+(W207-1)*_imois122,__jou123),DATE(YEAR(_debamort122),MONTH(_debamort122)+1+(W207-1)*_imois122,0)),DATE(YEAR(_debamort122),MONTH(_debamort122),__jou123+(W207-1)*_ijour122)))</f>
        <v/>
      </c>
      <c r="AA207" s="156">
        <f t="shared" si="46"/>
        <v>0</v>
      </c>
      <c r="AB207" s="153">
        <f>IF(W207&lt;=_noechmaxi1t,ROUND(AA207*'Données Projet 1 (2)'!H216,_nbdeci1t1),0)</f>
        <v>0</v>
      </c>
      <c r="AC207" s="152">
        <f>IF(OR(W207&lt;=_differe1t1t,W207&gt;_noechmaxi1t),IF(_difftotal1t1t,-AB207,0),IF(W207&gt;=_noechremb12,AA207,IF('Données Projet 1 (2)'!I216-(AB207*_echfixe12)&gt;AA207-2,AA207,'Données Projet 1 (2)'!I216-(AB207*_echfixe12))))+R207</f>
        <v>0</v>
      </c>
      <c r="AD207" s="154">
        <f t="shared" si="47"/>
        <v>0</v>
      </c>
      <c r="AE207" s="157">
        <f t="shared" si="39"/>
        <v>0</v>
      </c>
    </row>
    <row r="208" spans="1:31" x14ac:dyDescent="0.2">
      <c r="A208" s="3"/>
      <c r="B208" s="164"/>
      <c r="C208" s="22"/>
      <c r="D208" s="21"/>
      <c r="E208" s="23"/>
      <c r="F208" s="10"/>
      <c r="G208" s="5">
        <f t="shared" si="40"/>
        <v>202</v>
      </c>
      <c r="H208" s="7">
        <f t="shared" si="41"/>
        <v>219</v>
      </c>
      <c r="I208" s="8">
        <f t="shared" si="36"/>
        <v>2025</v>
      </c>
      <c r="J208" s="31">
        <f>IF(K208=0,"",IF(_ijour12=0,MIN(DATE(YEAR(_debamort12),MONTH(_debamort12)+_MoisD+(G208-1)*_imois12,_jour212),DATE(YEAR(_debamort12),MONTH(_debamort12)+_MoisD+1+(G208-1)*_imois12,0)),DATE(YEAR(_debamort12),MONTH(_debamort12),_jour12+(G208-1)*_ijour12)))</f>
        <v>45931</v>
      </c>
      <c r="K208" s="156">
        <f t="shared" si="42"/>
        <v>112633.43000000004</v>
      </c>
      <c r="L208" s="153">
        <f>IF(G208&lt;=_noeechmaxi1,ROUND(K208*'Données Projet 1 (2)'!A217,_nbdeci1t),0)</f>
        <v>174.58</v>
      </c>
      <c r="M208" s="152">
        <f>IF(OR(G208&lt;=_differe1t,G208&gt;_noeechmaxi1),IF(_difftotal1t,-L208,0),IF(G208&gt;=_noechremb1t,K208,IF('Données Projet 1 (2)'!B217-(L208*_echfixe1t)&gt;K208-2,K208,'Données Projet 1 (2)'!B217-(L208*_echfixe1t))))+B208</f>
        <v>432.33999999999992</v>
      </c>
      <c r="N208" s="154">
        <f t="shared" si="43"/>
        <v>15.6</v>
      </c>
      <c r="O208" s="157">
        <f t="shared" si="37"/>
        <v>622.52</v>
      </c>
      <c r="Q208" s="3"/>
      <c r="R208" s="164"/>
      <c r="S208" s="22"/>
      <c r="T208" s="21"/>
      <c r="U208" s="23"/>
      <c r="V208" s="10"/>
      <c r="W208" s="5" t="str">
        <f t="shared" si="44"/>
        <v/>
      </c>
      <c r="X208" s="7" t="str">
        <f t="shared" si="45"/>
        <v/>
      </c>
      <c r="Y208" s="8" t="str">
        <f t="shared" si="38"/>
        <v/>
      </c>
      <c r="Z208" s="31" t="str">
        <f>IF(AA208=0,"",IF(_ijour122=0,MIN(DATE(YEAR(_debamort122),MONTH(_debamort122)+_moisd12+(W208-1)*_imois122,__jou21),DATE(YEAR(_debamort122),MONTH(_debamort122)+_moisd12+1+(W208-1)*_imois122,0)),DATE(YEAR(_debamort122),MONTH(_debamort122),__jou123+(W208-1)*_ijour122)))</f>
        <v/>
      </c>
      <c r="AA208" s="156">
        <f t="shared" si="46"/>
        <v>0</v>
      </c>
      <c r="AB208" s="153">
        <f>IF(W208&lt;=_noechmaxi1t,ROUND(AA208*'Données Projet 1 (2)'!H217,_nbdeci1t1),0)</f>
        <v>0</v>
      </c>
      <c r="AC208" s="152">
        <f>IF(OR(W208&lt;=_differe1t1t,W208&gt;_noechmaxi1t),IF(_difftotal1t1t,-AB208,0),IF(W208&gt;=_noechremb12,AA208,IF('Données Projet 1 (2)'!I217-(AB208*_echfixe12)&gt;AA208-2,AA208,'Données Projet 1 (2)'!I217-(AB208*_echfixe12))))+R208</f>
        <v>0</v>
      </c>
      <c r="AD208" s="154">
        <f t="shared" si="47"/>
        <v>0</v>
      </c>
      <c r="AE208" s="157">
        <f t="shared" si="39"/>
        <v>0</v>
      </c>
    </row>
    <row r="209" spans="1:31" x14ac:dyDescent="0.2">
      <c r="A209" s="3"/>
      <c r="B209" s="164"/>
      <c r="C209" s="22"/>
      <c r="D209" s="21"/>
      <c r="E209" s="23"/>
      <c r="F209" s="10"/>
      <c r="G209" s="5">
        <f t="shared" si="40"/>
        <v>203</v>
      </c>
      <c r="H209" s="7">
        <f t="shared" si="41"/>
        <v>218</v>
      </c>
      <c r="I209" s="8">
        <f t="shared" si="36"/>
        <v>2025</v>
      </c>
      <c r="J209" s="31">
        <f>IF(K209=0,"",IF(_ijour12=0,MIN(DATE(YEAR(_debamort12),MONTH(_debamort12)+(G209-1)*_imois12,_jour12),DATE(YEAR(_debamort12),MONTH(_debamort12)+1+(G209-1)*_imois12,0)),DATE(YEAR(_debamort12),MONTH(_debamort12),_jour12+(G209-1)*_ijour12)))</f>
        <v>45962</v>
      </c>
      <c r="K209" s="156">
        <f t="shared" si="42"/>
        <v>112201.09000000004</v>
      </c>
      <c r="L209" s="153">
        <f>IF(G209&lt;=_noeechmaxi1,ROUND(K209*'Données Projet 1 (2)'!A218,_nbdeci1t),0)</f>
        <v>173.91</v>
      </c>
      <c r="M209" s="152">
        <f>IF(OR(G209&lt;=_differe1t,G209&gt;_noeechmaxi1),IF(_difftotal1t,-L209,0),IF(G209&gt;=_noechremb1t,K209,IF('Données Projet 1 (2)'!B218-(L209*_echfixe1t)&gt;K209-2,K209,'Données Projet 1 (2)'!B218-(L209*_echfixe1t))))+B209</f>
        <v>433.01</v>
      </c>
      <c r="N209" s="154">
        <f t="shared" si="43"/>
        <v>15.6</v>
      </c>
      <c r="O209" s="157">
        <f t="shared" si="37"/>
        <v>622.52</v>
      </c>
      <c r="Q209" s="3"/>
      <c r="R209" s="164"/>
      <c r="S209" s="22"/>
      <c r="T209" s="21"/>
      <c r="U209" s="23"/>
      <c r="V209" s="10"/>
      <c r="W209" s="5" t="str">
        <f t="shared" si="44"/>
        <v/>
      </c>
      <c r="X209" s="7" t="str">
        <f t="shared" si="45"/>
        <v/>
      </c>
      <c r="Y209" s="8" t="str">
        <f t="shared" si="38"/>
        <v/>
      </c>
      <c r="Z209" s="31" t="str">
        <f>IF(AA209=0,"",IF(_ijour122=0,MIN(DATE(YEAR(_debamort122),MONTH(_debamort122)+(W209-1)*_imois122,__jou123),DATE(YEAR(_debamort122),MONTH(_debamort122)+1+(W209-1)*_imois122,0)),DATE(YEAR(_debamort122),MONTH(_debamort122),__jou123+(W209-1)*_ijour122)))</f>
        <v/>
      </c>
      <c r="AA209" s="156">
        <f t="shared" si="46"/>
        <v>0</v>
      </c>
      <c r="AB209" s="153">
        <f>IF(W209&lt;=_noechmaxi1t,ROUND(AA209*'Données Projet 1 (2)'!H218,_nbdeci1t1),0)</f>
        <v>0</v>
      </c>
      <c r="AC209" s="152">
        <f>IF(OR(W209&lt;=_differe1t1t,W209&gt;_noechmaxi1t),IF(_difftotal1t1t,-AB209,0),IF(W209&gt;=_noechremb12,AA209,IF('Données Projet 1 (2)'!I218-(AB209*_echfixe12)&gt;AA209-2,AA209,'Données Projet 1 (2)'!I218-(AB209*_echfixe12))))+R209</f>
        <v>0</v>
      </c>
      <c r="AD209" s="154">
        <f t="shared" si="47"/>
        <v>0</v>
      </c>
      <c r="AE209" s="157">
        <f t="shared" si="39"/>
        <v>0</v>
      </c>
    </row>
    <row r="210" spans="1:31" x14ac:dyDescent="0.2">
      <c r="A210" s="3"/>
      <c r="B210" s="164"/>
      <c r="C210" s="22"/>
      <c r="D210" s="21"/>
      <c r="E210" s="23"/>
      <c r="F210" s="10"/>
      <c r="G210" s="5">
        <f t="shared" si="40"/>
        <v>204</v>
      </c>
      <c r="H210" s="7">
        <f t="shared" si="41"/>
        <v>217</v>
      </c>
      <c r="I210" s="8">
        <f t="shared" si="36"/>
        <v>2025</v>
      </c>
      <c r="J210" s="31">
        <f>IF(K210=0,"",IF(_ijour12=0,MIN(DATE(YEAR(_debamort12),MONTH(_debamort12)+_MoisD+(G210-1)*_imois12,_jour212),DATE(YEAR(_debamort12),MONTH(_debamort12)+_MoisD+1+(G210-1)*_imois12,0)),DATE(YEAR(_debamort12),MONTH(_debamort12),_jour12+(G210-1)*_ijour12)))</f>
        <v>45992</v>
      </c>
      <c r="K210" s="156">
        <f t="shared" si="42"/>
        <v>111768.08000000005</v>
      </c>
      <c r="L210" s="153">
        <f>IF(G210&lt;=_noeechmaxi1,ROUND(K210*'Données Projet 1 (2)'!A219,_nbdeci1t),0)</f>
        <v>173.24</v>
      </c>
      <c r="M210" s="152">
        <f>IF(OR(G210&lt;=_differe1t,G210&gt;_noeechmaxi1),IF(_difftotal1t,-L210,0),IF(G210&gt;=_noechremb1t,K210,IF('Données Projet 1 (2)'!B219-(L210*_echfixe1t)&gt;K210-2,K210,'Données Projet 1 (2)'!B219-(L210*_echfixe1t))))+B210</f>
        <v>433.67999999999995</v>
      </c>
      <c r="N210" s="154">
        <f t="shared" si="43"/>
        <v>15.6</v>
      </c>
      <c r="O210" s="157">
        <f t="shared" si="37"/>
        <v>622.52</v>
      </c>
      <c r="Q210" s="3"/>
      <c r="R210" s="164"/>
      <c r="S210" s="22"/>
      <c r="T210" s="21"/>
      <c r="U210" s="23"/>
      <c r="V210" s="10"/>
      <c r="W210" s="5" t="str">
        <f t="shared" si="44"/>
        <v/>
      </c>
      <c r="X210" s="7" t="str">
        <f t="shared" si="45"/>
        <v/>
      </c>
      <c r="Y210" s="8" t="str">
        <f t="shared" si="38"/>
        <v/>
      </c>
      <c r="Z210" s="31" t="str">
        <f>IF(AA210=0,"",IF(_ijour122=0,MIN(DATE(YEAR(_debamort122),MONTH(_debamort122)+_moisd12+(W210-1)*_imois122,__jou21),DATE(YEAR(_debamort122),MONTH(_debamort122)+_moisd12+1+(W210-1)*_imois122,0)),DATE(YEAR(_debamort122),MONTH(_debamort122),__jou123+(W210-1)*_ijour122)))</f>
        <v/>
      </c>
      <c r="AA210" s="156">
        <f t="shared" si="46"/>
        <v>0</v>
      </c>
      <c r="AB210" s="153">
        <f>IF(W210&lt;=_noechmaxi1t,ROUND(AA210*'Données Projet 1 (2)'!H219,_nbdeci1t1),0)</f>
        <v>0</v>
      </c>
      <c r="AC210" s="152">
        <f>IF(OR(W210&lt;=_differe1t1t,W210&gt;_noechmaxi1t),IF(_difftotal1t1t,-AB210,0),IF(W210&gt;=_noechremb12,AA210,IF('Données Projet 1 (2)'!I219-(AB210*_echfixe12)&gt;AA210-2,AA210,'Données Projet 1 (2)'!I219-(AB210*_echfixe12))))+R210</f>
        <v>0</v>
      </c>
      <c r="AD210" s="154">
        <f t="shared" si="47"/>
        <v>0</v>
      </c>
      <c r="AE210" s="157">
        <f t="shared" si="39"/>
        <v>0</v>
      </c>
    </row>
    <row r="211" spans="1:31" x14ac:dyDescent="0.2">
      <c r="A211" s="3"/>
      <c r="B211" s="164"/>
      <c r="C211" s="22"/>
      <c r="D211" s="21"/>
      <c r="E211" s="23"/>
      <c r="F211" s="10"/>
      <c r="G211" s="5">
        <f t="shared" si="40"/>
        <v>205</v>
      </c>
      <c r="H211" s="7">
        <f t="shared" si="41"/>
        <v>216</v>
      </c>
      <c r="I211" s="8">
        <f t="shared" si="36"/>
        <v>2026</v>
      </c>
      <c r="J211" s="31">
        <f>IF(K211=0,"",IF(_ijour12=0,MIN(DATE(YEAR(_debamort12),MONTH(_debamort12)+(G211-1)*_imois12,_jour12),DATE(YEAR(_debamort12),MONTH(_debamort12)+1+(G211-1)*_imois12,0)),DATE(YEAR(_debamort12),MONTH(_debamort12),_jour12+(G211-1)*_ijour12)))</f>
        <v>46023</v>
      </c>
      <c r="K211" s="156">
        <f t="shared" si="42"/>
        <v>111334.40000000005</v>
      </c>
      <c r="L211" s="153">
        <f>IF(G211&lt;=_noeechmaxi1,ROUND(K211*'Données Projet 1 (2)'!A220,_nbdeci1t),0)</f>
        <v>172.57</v>
      </c>
      <c r="M211" s="152">
        <f>IF(OR(G211&lt;=_differe1t,G211&gt;_noeechmaxi1),IF(_difftotal1t,-L211,0),IF(G211&gt;=_noechremb1t,K211,IF('Données Projet 1 (2)'!B220-(L211*_echfixe1t)&gt;K211-2,K211,'Données Projet 1 (2)'!B220-(L211*_echfixe1t))))+B211</f>
        <v>434.34999999999997</v>
      </c>
      <c r="N211" s="154">
        <f t="shared" si="43"/>
        <v>15.6</v>
      </c>
      <c r="O211" s="157">
        <f t="shared" si="37"/>
        <v>622.52</v>
      </c>
      <c r="Q211" s="3"/>
      <c r="R211" s="164"/>
      <c r="S211" s="22"/>
      <c r="T211" s="21"/>
      <c r="U211" s="23"/>
      <c r="V211" s="10"/>
      <c r="W211" s="5" t="str">
        <f t="shared" si="44"/>
        <v/>
      </c>
      <c r="X211" s="7" t="str">
        <f t="shared" si="45"/>
        <v/>
      </c>
      <c r="Y211" s="8" t="str">
        <f t="shared" si="38"/>
        <v/>
      </c>
      <c r="Z211" s="31" t="str">
        <f>IF(AA211=0,"",IF(_ijour122=0,MIN(DATE(YEAR(_debamort122),MONTH(_debamort122)+(W211-1)*_imois122,__jou123),DATE(YEAR(_debamort122),MONTH(_debamort122)+1+(W211-1)*_imois122,0)),DATE(YEAR(_debamort122),MONTH(_debamort122),__jou123+(W211-1)*_ijour122)))</f>
        <v/>
      </c>
      <c r="AA211" s="156">
        <f t="shared" si="46"/>
        <v>0</v>
      </c>
      <c r="AB211" s="153">
        <f>IF(W211&lt;=_noechmaxi1t,ROUND(AA211*'Données Projet 1 (2)'!H220,_nbdeci1t1),0)</f>
        <v>0</v>
      </c>
      <c r="AC211" s="152">
        <f>IF(OR(W211&lt;=_differe1t1t,W211&gt;_noechmaxi1t),IF(_difftotal1t1t,-AB211,0),IF(W211&gt;=_noechremb12,AA211,IF('Données Projet 1 (2)'!I220-(AB211*_echfixe12)&gt;AA211-2,AA211,'Données Projet 1 (2)'!I220-(AB211*_echfixe12))))+R211</f>
        <v>0</v>
      </c>
      <c r="AD211" s="154">
        <f t="shared" si="47"/>
        <v>0</v>
      </c>
      <c r="AE211" s="157">
        <f t="shared" si="39"/>
        <v>0</v>
      </c>
    </row>
    <row r="212" spans="1:31" x14ac:dyDescent="0.2">
      <c r="A212" s="3"/>
      <c r="B212" s="164"/>
      <c r="C212" s="22"/>
      <c r="D212" s="21"/>
      <c r="E212" s="23"/>
      <c r="F212" s="10"/>
      <c r="G212" s="5">
        <f t="shared" si="40"/>
        <v>206</v>
      </c>
      <c r="H212" s="7">
        <f t="shared" si="41"/>
        <v>215</v>
      </c>
      <c r="I212" s="8">
        <f t="shared" si="36"/>
        <v>2026</v>
      </c>
      <c r="J212" s="31">
        <f>IF(K212=0,"",IF(_ijour12=0,MIN(DATE(YEAR(_debamort12),MONTH(_debamort12)+_MoisD+(G212-1)*_imois12,_jour212),DATE(YEAR(_debamort12),MONTH(_debamort12)+_MoisD+1+(G212-1)*_imois12,0)),DATE(YEAR(_debamort12),MONTH(_debamort12),_jour12+(G212-1)*_ijour12)))</f>
        <v>46054</v>
      </c>
      <c r="K212" s="156">
        <f t="shared" si="42"/>
        <v>110900.05000000005</v>
      </c>
      <c r="L212" s="153">
        <f>IF(G212&lt;=_noeechmaxi1,ROUND(K212*'Données Projet 1 (2)'!A221,_nbdeci1t),0)</f>
        <v>171.9</v>
      </c>
      <c r="M212" s="152">
        <f>IF(OR(G212&lt;=_differe1t,G212&gt;_noeechmaxi1),IF(_difftotal1t,-L212,0),IF(G212&gt;=_noechremb1t,K212,IF('Données Projet 1 (2)'!B221-(L212*_echfixe1t)&gt;K212-2,K212,'Données Projet 1 (2)'!B221-(L212*_echfixe1t))))+B212</f>
        <v>435.02</v>
      </c>
      <c r="N212" s="154">
        <f t="shared" si="43"/>
        <v>15.6</v>
      </c>
      <c r="O212" s="157">
        <f t="shared" si="37"/>
        <v>622.52</v>
      </c>
      <c r="Q212" s="3"/>
      <c r="R212" s="164"/>
      <c r="S212" s="22"/>
      <c r="T212" s="21"/>
      <c r="U212" s="23"/>
      <c r="V212" s="10"/>
      <c r="W212" s="5" t="str">
        <f t="shared" si="44"/>
        <v/>
      </c>
      <c r="X212" s="7" t="str">
        <f t="shared" si="45"/>
        <v/>
      </c>
      <c r="Y212" s="8" t="str">
        <f t="shared" si="38"/>
        <v/>
      </c>
      <c r="Z212" s="31" t="str">
        <f>IF(AA212=0,"",IF(_ijour122=0,MIN(DATE(YEAR(_debamort122),MONTH(_debamort122)+_moisd12+(W212-1)*_imois122,__jou21),DATE(YEAR(_debamort122),MONTH(_debamort122)+_moisd12+1+(W212-1)*_imois122,0)),DATE(YEAR(_debamort122),MONTH(_debamort122),__jou123+(W212-1)*_ijour122)))</f>
        <v/>
      </c>
      <c r="AA212" s="156">
        <f t="shared" si="46"/>
        <v>0</v>
      </c>
      <c r="AB212" s="153">
        <f>IF(W212&lt;=_noechmaxi1t,ROUND(AA212*'Données Projet 1 (2)'!H221,_nbdeci1t1),0)</f>
        <v>0</v>
      </c>
      <c r="AC212" s="152">
        <f>IF(OR(W212&lt;=_differe1t1t,W212&gt;_noechmaxi1t),IF(_difftotal1t1t,-AB212,0),IF(W212&gt;=_noechremb12,AA212,IF('Données Projet 1 (2)'!I221-(AB212*_echfixe12)&gt;AA212-2,AA212,'Données Projet 1 (2)'!I221-(AB212*_echfixe12))))+R212</f>
        <v>0</v>
      </c>
      <c r="AD212" s="154">
        <f t="shared" si="47"/>
        <v>0</v>
      </c>
      <c r="AE212" s="157">
        <f t="shared" si="39"/>
        <v>0</v>
      </c>
    </row>
    <row r="213" spans="1:31" x14ac:dyDescent="0.2">
      <c r="A213" s="3"/>
      <c r="B213" s="164"/>
      <c r="C213" s="22"/>
      <c r="D213" s="21"/>
      <c r="E213" s="23"/>
      <c r="F213" s="10"/>
      <c r="G213" s="5">
        <f t="shared" si="40"/>
        <v>207</v>
      </c>
      <c r="H213" s="7">
        <f t="shared" si="41"/>
        <v>214</v>
      </c>
      <c r="I213" s="8">
        <f t="shared" si="36"/>
        <v>2026</v>
      </c>
      <c r="J213" s="31">
        <f>IF(K213=0,"",IF(_ijour12=0,MIN(DATE(YEAR(_debamort12),MONTH(_debamort12)+(G213-1)*_imois12,_jour12),DATE(YEAR(_debamort12),MONTH(_debamort12)+1+(G213-1)*_imois12,0)),DATE(YEAR(_debamort12),MONTH(_debamort12),_jour12+(G213-1)*_ijour12)))</f>
        <v>46082</v>
      </c>
      <c r="K213" s="156">
        <f t="shared" si="42"/>
        <v>110465.03000000004</v>
      </c>
      <c r="L213" s="153">
        <f>IF(G213&lt;=_noeechmaxi1,ROUND(K213*'Données Projet 1 (2)'!A222,_nbdeci1t),0)</f>
        <v>171.22</v>
      </c>
      <c r="M213" s="152">
        <f>IF(OR(G213&lt;=_differe1t,G213&gt;_noeechmaxi1),IF(_difftotal1t,-L213,0),IF(G213&gt;=_noechremb1t,K213,IF('Données Projet 1 (2)'!B222-(L213*_echfixe1t)&gt;K213-2,K213,'Données Projet 1 (2)'!B222-(L213*_echfixe1t))))+B213</f>
        <v>435.69999999999993</v>
      </c>
      <c r="N213" s="154">
        <f t="shared" si="43"/>
        <v>15.6</v>
      </c>
      <c r="O213" s="157">
        <f t="shared" si="37"/>
        <v>622.52</v>
      </c>
      <c r="Q213" s="3"/>
      <c r="R213" s="164"/>
      <c r="S213" s="22"/>
      <c r="T213" s="21"/>
      <c r="U213" s="23"/>
      <c r="V213" s="10"/>
      <c r="W213" s="5" t="str">
        <f t="shared" si="44"/>
        <v/>
      </c>
      <c r="X213" s="7" t="str">
        <f t="shared" si="45"/>
        <v/>
      </c>
      <c r="Y213" s="8" t="str">
        <f t="shared" si="38"/>
        <v/>
      </c>
      <c r="Z213" s="31" t="str">
        <f>IF(AA213=0,"",IF(_ijour122=0,MIN(DATE(YEAR(_debamort122),MONTH(_debamort122)+(W213-1)*_imois122,__jou123),DATE(YEAR(_debamort122),MONTH(_debamort122)+1+(W213-1)*_imois122,0)),DATE(YEAR(_debamort122),MONTH(_debamort122),__jou123+(W213-1)*_ijour122)))</f>
        <v/>
      </c>
      <c r="AA213" s="156">
        <f t="shared" si="46"/>
        <v>0</v>
      </c>
      <c r="AB213" s="153">
        <f>IF(W213&lt;=_noechmaxi1t,ROUND(AA213*'Données Projet 1 (2)'!H222,_nbdeci1t1),0)</f>
        <v>0</v>
      </c>
      <c r="AC213" s="152">
        <f>IF(OR(W213&lt;=_differe1t1t,W213&gt;_noechmaxi1t),IF(_difftotal1t1t,-AB213,0),IF(W213&gt;=_noechremb12,AA213,IF('Données Projet 1 (2)'!I222-(AB213*_echfixe12)&gt;AA213-2,AA213,'Données Projet 1 (2)'!I222-(AB213*_echfixe12))))+R213</f>
        <v>0</v>
      </c>
      <c r="AD213" s="154">
        <f t="shared" si="47"/>
        <v>0</v>
      </c>
      <c r="AE213" s="157">
        <f t="shared" si="39"/>
        <v>0</v>
      </c>
    </row>
    <row r="214" spans="1:31" x14ac:dyDescent="0.2">
      <c r="A214" s="3"/>
      <c r="B214" s="164"/>
      <c r="C214" s="22"/>
      <c r="D214" s="21"/>
      <c r="E214" s="23"/>
      <c r="F214" s="10"/>
      <c r="G214" s="5">
        <f t="shared" si="40"/>
        <v>208</v>
      </c>
      <c r="H214" s="7">
        <f t="shared" si="41"/>
        <v>213</v>
      </c>
      <c r="I214" s="8">
        <f t="shared" si="36"/>
        <v>2026</v>
      </c>
      <c r="J214" s="31">
        <f>IF(K214=0,"",IF(_ijour12=0,MIN(DATE(YEAR(_debamort12),MONTH(_debamort12)+_MoisD+(G214-1)*_imois12,_jour212),DATE(YEAR(_debamort12),MONTH(_debamort12)+_MoisD+1+(G214-1)*_imois12,0)),DATE(YEAR(_debamort12),MONTH(_debamort12),_jour12+(G214-1)*_ijour12)))</f>
        <v>46113</v>
      </c>
      <c r="K214" s="156">
        <f t="shared" si="42"/>
        <v>110029.33000000005</v>
      </c>
      <c r="L214" s="153">
        <f>IF(G214&lt;=_noeechmaxi1,ROUND(K214*'Données Projet 1 (2)'!A223,_nbdeci1t),0)</f>
        <v>170.55</v>
      </c>
      <c r="M214" s="152">
        <f>IF(OR(G214&lt;=_differe1t,G214&gt;_noeechmaxi1),IF(_difftotal1t,-L214,0),IF(G214&gt;=_noechremb1t,K214,IF('Données Projet 1 (2)'!B223-(L214*_echfixe1t)&gt;K214-2,K214,'Données Projet 1 (2)'!B223-(L214*_echfixe1t))))+B214</f>
        <v>436.36999999999995</v>
      </c>
      <c r="N214" s="154">
        <f t="shared" si="43"/>
        <v>15.6</v>
      </c>
      <c r="O214" s="157">
        <f t="shared" si="37"/>
        <v>622.52</v>
      </c>
      <c r="Q214" s="3"/>
      <c r="R214" s="164"/>
      <c r="S214" s="22"/>
      <c r="T214" s="21"/>
      <c r="U214" s="23"/>
      <c r="V214" s="10"/>
      <c r="W214" s="5" t="str">
        <f t="shared" si="44"/>
        <v/>
      </c>
      <c r="X214" s="7" t="str">
        <f t="shared" si="45"/>
        <v/>
      </c>
      <c r="Y214" s="8" t="str">
        <f t="shared" si="38"/>
        <v/>
      </c>
      <c r="Z214" s="31" t="str">
        <f>IF(AA214=0,"",IF(_ijour122=0,MIN(DATE(YEAR(_debamort122),MONTH(_debamort122)+_moisd12+(W214-1)*_imois122,__jou21),DATE(YEAR(_debamort122),MONTH(_debamort122)+_moisd12+1+(W214-1)*_imois122,0)),DATE(YEAR(_debamort122),MONTH(_debamort122),__jou123+(W214-1)*_ijour122)))</f>
        <v/>
      </c>
      <c r="AA214" s="156">
        <f t="shared" si="46"/>
        <v>0</v>
      </c>
      <c r="AB214" s="153">
        <f>IF(W214&lt;=_noechmaxi1t,ROUND(AA214*'Données Projet 1 (2)'!H223,_nbdeci1t1),0)</f>
        <v>0</v>
      </c>
      <c r="AC214" s="152">
        <f>IF(OR(W214&lt;=_differe1t1t,W214&gt;_noechmaxi1t),IF(_difftotal1t1t,-AB214,0),IF(W214&gt;=_noechremb12,AA214,IF('Données Projet 1 (2)'!I223-(AB214*_echfixe12)&gt;AA214-2,AA214,'Données Projet 1 (2)'!I223-(AB214*_echfixe12))))+R214</f>
        <v>0</v>
      </c>
      <c r="AD214" s="154">
        <f t="shared" si="47"/>
        <v>0</v>
      </c>
      <c r="AE214" s="157">
        <f t="shared" si="39"/>
        <v>0</v>
      </c>
    </row>
    <row r="215" spans="1:31" x14ac:dyDescent="0.2">
      <c r="A215" s="3"/>
      <c r="B215" s="164"/>
      <c r="C215" s="22"/>
      <c r="D215" s="21"/>
      <c r="E215" s="23"/>
      <c r="F215" s="10"/>
      <c r="G215" s="5">
        <f t="shared" si="40"/>
        <v>209</v>
      </c>
      <c r="H215" s="7">
        <f t="shared" si="41"/>
        <v>212</v>
      </c>
      <c r="I215" s="8">
        <f t="shared" si="36"/>
        <v>2026</v>
      </c>
      <c r="J215" s="31">
        <f>IF(K215=0,"",IF(_ijour12=0,MIN(DATE(YEAR(_debamort12),MONTH(_debamort12)+(G215-1)*_imois12,_jour12),DATE(YEAR(_debamort12),MONTH(_debamort12)+1+(G215-1)*_imois12,0)),DATE(YEAR(_debamort12),MONTH(_debamort12),_jour12+(G215-1)*_ijour12)))</f>
        <v>46143</v>
      </c>
      <c r="K215" s="156">
        <f t="shared" si="42"/>
        <v>109592.96000000005</v>
      </c>
      <c r="L215" s="153">
        <f>IF(G215&lt;=_noeechmaxi1,ROUND(K215*'Données Projet 1 (2)'!A224,_nbdeci1t),0)</f>
        <v>169.87</v>
      </c>
      <c r="M215" s="152">
        <f>IF(OR(G215&lt;=_differe1t,G215&gt;_noeechmaxi1),IF(_difftotal1t,-L215,0),IF(G215&gt;=_noechremb1t,K215,IF('Données Projet 1 (2)'!B224-(L215*_echfixe1t)&gt;K215-2,K215,'Données Projet 1 (2)'!B224-(L215*_echfixe1t))))+B215</f>
        <v>437.04999999999995</v>
      </c>
      <c r="N215" s="154">
        <f t="shared" si="43"/>
        <v>15.6</v>
      </c>
      <c r="O215" s="157">
        <f t="shared" si="37"/>
        <v>622.52</v>
      </c>
      <c r="Q215" s="3"/>
      <c r="R215" s="164"/>
      <c r="S215" s="22"/>
      <c r="T215" s="21"/>
      <c r="U215" s="23"/>
      <c r="V215" s="10"/>
      <c r="W215" s="5" t="str">
        <f t="shared" si="44"/>
        <v/>
      </c>
      <c r="X215" s="7" t="str">
        <f t="shared" si="45"/>
        <v/>
      </c>
      <c r="Y215" s="8" t="str">
        <f t="shared" si="38"/>
        <v/>
      </c>
      <c r="Z215" s="31" t="str">
        <f>IF(AA215=0,"",IF(_ijour122=0,MIN(DATE(YEAR(_debamort122),MONTH(_debamort122)+(W215-1)*_imois122,__jou123),DATE(YEAR(_debamort122),MONTH(_debamort122)+1+(W215-1)*_imois122,0)),DATE(YEAR(_debamort122),MONTH(_debamort122),__jou123+(W215-1)*_ijour122)))</f>
        <v/>
      </c>
      <c r="AA215" s="156">
        <f t="shared" si="46"/>
        <v>0</v>
      </c>
      <c r="AB215" s="153">
        <f>IF(W215&lt;=_noechmaxi1t,ROUND(AA215*'Données Projet 1 (2)'!H224,_nbdeci1t1),0)</f>
        <v>0</v>
      </c>
      <c r="AC215" s="152">
        <f>IF(OR(W215&lt;=_differe1t1t,W215&gt;_noechmaxi1t),IF(_difftotal1t1t,-AB215,0),IF(W215&gt;=_noechremb12,AA215,IF('Données Projet 1 (2)'!I224-(AB215*_echfixe12)&gt;AA215-2,AA215,'Données Projet 1 (2)'!I224-(AB215*_echfixe12))))+R215</f>
        <v>0</v>
      </c>
      <c r="AD215" s="154">
        <f t="shared" si="47"/>
        <v>0</v>
      </c>
      <c r="AE215" s="157">
        <f t="shared" si="39"/>
        <v>0</v>
      </c>
    </row>
    <row r="216" spans="1:31" x14ac:dyDescent="0.2">
      <c r="A216" s="3"/>
      <c r="B216" s="164"/>
      <c r="C216" s="22"/>
      <c r="D216" s="21"/>
      <c r="E216" s="23"/>
      <c r="F216" s="10"/>
      <c r="G216" s="5">
        <f t="shared" si="40"/>
        <v>210</v>
      </c>
      <c r="H216" s="7">
        <f t="shared" si="41"/>
        <v>211</v>
      </c>
      <c r="I216" s="8">
        <f t="shared" si="36"/>
        <v>2026</v>
      </c>
      <c r="J216" s="31">
        <f>IF(K216=0,"",IF(_ijour12=0,MIN(DATE(YEAR(_debamort12),MONTH(_debamort12)+_MoisD+(G216-1)*_imois12,_jour212),DATE(YEAR(_debamort12),MONTH(_debamort12)+_MoisD+1+(G216-1)*_imois12,0)),DATE(YEAR(_debamort12),MONTH(_debamort12),_jour12+(G216-1)*_ijour12)))</f>
        <v>46174</v>
      </c>
      <c r="K216" s="156">
        <f t="shared" si="42"/>
        <v>109155.91000000005</v>
      </c>
      <c r="L216" s="153">
        <f>IF(G216&lt;=_noeechmaxi1,ROUND(K216*'Données Projet 1 (2)'!A225,_nbdeci1t),0)</f>
        <v>169.19</v>
      </c>
      <c r="M216" s="152">
        <f>IF(OR(G216&lt;=_differe1t,G216&gt;_noeechmaxi1),IF(_difftotal1t,-L216,0),IF(G216&gt;=_noechremb1t,K216,IF('Données Projet 1 (2)'!B225-(L216*_echfixe1t)&gt;K216-2,K216,'Données Projet 1 (2)'!B225-(L216*_echfixe1t))))+B216</f>
        <v>437.72999999999996</v>
      </c>
      <c r="N216" s="154">
        <f t="shared" si="43"/>
        <v>15.6</v>
      </c>
      <c r="O216" s="157">
        <f t="shared" si="37"/>
        <v>622.52</v>
      </c>
      <c r="Q216" s="3"/>
      <c r="R216" s="164"/>
      <c r="S216" s="22"/>
      <c r="T216" s="21"/>
      <c r="U216" s="23"/>
      <c r="V216" s="10"/>
      <c r="W216" s="5" t="str">
        <f t="shared" si="44"/>
        <v/>
      </c>
      <c r="X216" s="7" t="str">
        <f t="shared" si="45"/>
        <v/>
      </c>
      <c r="Y216" s="8" t="str">
        <f t="shared" si="38"/>
        <v/>
      </c>
      <c r="Z216" s="31" t="str">
        <f>IF(AA216=0,"",IF(_ijour122=0,MIN(DATE(YEAR(_debamort122),MONTH(_debamort122)+_moisd12+(W216-1)*_imois122,__jou21),DATE(YEAR(_debamort122),MONTH(_debamort122)+_moisd12+1+(W216-1)*_imois122,0)),DATE(YEAR(_debamort122),MONTH(_debamort122),__jou123+(W216-1)*_ijour122)))</f>
        <v/>
      </c>
      <c r="AA216" s="156">
        <f t="shared" si="46"/>
        <v>0</v>
      </c>
      <c r="AB216" s="153">
        <f>IF(W216&lt;=_noechmaxi1t,ROUND(AA216*'Données Projet 1 (2)'!H225,_nbdeci1t1),0)</f>
        <v>0</v>
      </c>
      <c r="AC216" s="152">
        <f>IF(OR(W216&lt;=_differe1t1t,W216&gt;_noechmaxi1t),IF(_difftotal1t1t,-AB216,0),IF(W216&gt;=_noechremb12,AA216,IF('Données Projet 1 (2)'!I225-(AB216*_echfixe12)&gt;AA216-2,AA216,'Données Projet 1 (2)'!I225-(AB216*_echfixe12))))+R216</f>
        <v>0</v>
      </c>
      <c r="AD216" s="154">
        <f t="shared" si="47"/>
        <v>0</v>
      </c>
      <c r="AE216" s="157">
        <f t="shared" si="39"/>
        <v>0</v>
      </c>
    </row>
    <row r="217" spans="1:31" x14ac:dyDescent="0.2">
      <c r="A217" s="3"/>
      <c r="B217" s="164"/>
      <c r="C217" s="22"/>
      <c r="D217" s="21"/>
      <c r="E217" s="23"/>
      <c r="F217" s="10"/>
      <c r="G217" s="5">
        <f t="shared" si="40"/>
        <v>211</v>
      </c>
      <c r="H217" s="7">
        <f t="shared" si="41"/>
        <v>210</v>
      </c>
      <c r="I217" s="8">
        <f t="shared" si="36"/>
        <v>2026</v>
      </c>
      <c r="J217" s="31">
        <f>IF(K217=0,"",IF(_ijour12=0,MIN(DATE(YEAR(_debamort12),MONTH(_debamort12)+(G217-1)*_imois12,_jour12),DATE(YEAR(_debamort12),MONTH(_debamort12)+1+(G217-1)*_imois12,0)),DATE(YEAR(_debamort12),MONTH(_debamort12),_jour12+(G217-1)*_ijour12)))</f>
        <v>46204</v>
      </c>
      <c r="K217" s="156">
        <f t="shared" si="42"/>
        <v>108718.18000000005</v>
      </c>
      <c r="L217" s="153">
        <f>IF(G217&lt;=_noeechmaxi1,ROUND(K217*'Données Projet 1 (2)'!A226,_nbdeci1t),0)</f>
        <v>168.51</v>
      </c>
      <c r="M217" s="152">
        <f>IF(OR(G217&lt;=_differe1t,G217&gt;_noeechmaxi1),IF(_difftotal1t,-L217,0),IF(G217&gt;=_noechremb1t,K217,IF('Données Projet 1 (2)'!B226-(L217*_echfixe1t)&gt;K217-2,K217,'Données Projet 1 (2)'!B226-(L217*_echfixe1t))))+B217</f>
        <v>438.40999999999997</v>
      </c>
      <c r="N217" s="154">
        <f t="shared" si="43"/>
        <v>15.6</v>
      </c>
      <c r="O217" s="157">
        <f t="shared" si="37"/>
        <v>622.52</v>
      </c>
      <c r="Q217" s="3"/>
      <c r="R217" s="164"/>
      <c r="S217" s="22"/>
      <c r="T217" s="21"/>
      <c r="U217" s="23"/>
      <c r="V217" s="10"/>
      <c r="W217" s="5" t="str">
        <f t="shared" si="44"/>
        <v/>
      </c>
      <c r="X217" s="7" t="str">
        <f t="shared" si="45"/>
        <v/>
      </c>
      <c r="Y217" s="8" t="str">
        <f t="shared" si="38"/>
        <v/>
      </c>
      <c r="Z217" s="31" t="str">
        <f>IF(AA217=0,"",IF(_ijour122=0,MIN(DATE(YEAR(_debamort122),MONTH(_debamort122)+(W217-1)*_imois122,__jou123),DATE(YEAR(_debamort122),MONTH(_debamort122)+1+(W217-1)*_imois122,0)),DATE(YEAR(_debamort122),MONTH(_debamort122),__jou123+(W217-1)*_ijour122)))</f>
        <v/>
      </c>
      <c r="AA217" s="156">
        <f t="shared" si="46"/>
        <v>0</v>
      </c>
      <c r="AB217" s="153">
        <f>IF(W217&lt;=_noechmaxi1t,ROUND(AA217*'Données Projet 1 (2)'!H226,_nbdeci1t1),0)</f>
        <v>0</v>
      </c>
      <c r="AC217" s="152">
        <f>IF(OR(W217&lt;=_differe1t1t,W217&gt;_noechmaxi1t),IF(_difftotal1t1t,-AB217,0),IF(W217&gt;=_noechremb12,AA217,IF('Données Projet 1 (2)'!I226-(AB217*_echfixe12)&gt;AA217-2,AA217,'Données Projet 1 (2)'!I226-(AB217*_echfixe12))))+R217</f>
        <v>0</v>
      </c>
      <c r="AD217" s="154">
        <f t="shared" si="47"/>
        <v>0</v>
      </c>
      <c r="AE217" s="157">
        <f t="shared" si="39"/>
        <v>0</v>
      </c>
    </row>
    <row r="218" spans="1:31" x14ac:dyDescent="0.2">
      <c r="A218" s="3"/>
      <c r="B218" s="164"/>
      <c r="C218" s="22"/>
      <c r="D218" s="21"/>
      <c r="E218" s="23"/>
      <c r="F218" s="10"/>
      <c r="G218" s="5">
        <f t="shared" si="40"/>
        <v>212</v>
      </c>
      <c r="H218" s="7">
        <f t="shared" si="41"/>
        <v>209</v>
      </c>
      <c r="I218" s="8">
        <f t="shared" si="36"/>
        <v>2026</v>
      </c>
      <c r="J218" s="31">
        <f>IF(K218=0,"",IF(_ijour12=0,MIN(DATE(YEAR(_debamort12),MONTH(_debamort12)+_MoisD+(G218-1)*_imois12,_jour212),DATE(YEAR(_debamort12),MONTH(_debamort12)+_MoisD+1+(G218-1)*_imois12,0)),DATE(YEAR(_debamort12),MONTH(_debamort12),_jour12+(G218-1)*_ijour12)))</f>
        <v>46235</v>
      </c>
      <c r="K218" s="156">
        <f t="shared" si="42"/>
        <v>108279.77000000005</v>
      </c>
      <c r="L218" s="153">
        <f>IF(G218&lt;=_noeechmaxi1,ROUND(K218*'Données Projet 1 (2)'!A227,_nbdeci1t),0)</f>
        <v>167.83</v>
      </c>
      <c r="M218" s="152">
        <f>IF(OR(G218&lt;=_differe1t,G218&gt;_noeechmaxi1),IF(_difftotal1t,-L218,0),IF(G218&gt;=_noechremb1t,K218,IF('Données Projet 1 (2)'!B227-(L218*_echfixe1t)&gt;K218-2,K218,'Données Projet 1 (2)'!B227-(L218*_echfixe1t))))+B218</f>
        <v>439.08999999999992</v>
      </c>
      <c r="N218" s="154">
        <f t="shared" si="43"/>
        <v>15.6</v>
      </c>
      <c r="O218" s="157">
        <f t="shared" si="37"/>
        <v>622.52</v>
      </c>
      <c r="Q218" s="3"/>
      <c r="R218" s="164"/>
      <c r="S218" s="22"/>
      <c r="T218" s="21"/>
      <c r="U218" s="23"/>
      <c r="V218" s="10"/>
      <c r="W218" s="5" t="str">
        <f t="shared" si="44"/>
        <v/>
      </c>
      <c r="X218" s="7" t="str">
        <f t="shared" si="45"/>
        <v/>
      </c>
      <c r="Y218" s="8" t="str">
        <f t="shared" si="38"/>
        <v/>
      </c>
      <c r="Z218" s="31" t="str">
        <f>IF(AA218=0,"",IF(_ijour122=0,MIN(DATE(YEAR(_debamort122),MONTH(_debamort122)+_moisd12+(W218-1)*_imois122,__jou21),DATE(YEAR(_debamort122),MONTH(_debamort122)+_moisd12+1+(W218-1)*_imois122,0)),DATE(YEAR(_debamort122),MONTH(_debamort122),__jou123+(W218-1)*_ijour122)))</f>
        <v/>
      </c>
      <c r="AA218" s="156">
        <f t="shared" si="46"/>
        <v>0</v>
      </c>
      <c r="AB218" s="153">
        <f>IF(W218&lt;=_noechmaxi1t,ROUND(AA218*'Données Projet 1 (2)'!H227,_nbdeci1t1),0)</f>
        <v>0</v>
      </c>
      <c r="AC218" s="152">
        <f>IF(OR(W218&lt;=_differe1t1t,W218&gt;_noechmaxi1t),IF(_difftotal1t1t,-AB218,0),IF(W218&gt;=_noechremb12,AA218,IF('Données Projet 1 (2)'!I227-(AB218*_echfixe12)&gt;AA218-2,AA218,'Données Projet 1 (2)'!I227-(AB218*_echfixe12))))+R218</f>
        <v>0</v>
      </c>
      <c r="AD218" s="154">
        <f t="shared" si="47"/>
        <v>0</v>
      </c>
      <c r="AE218" s="157">
        <f t="shared" si="39"/>
        <v>0</v>
      </c>
    </row>
    <row r="219" spans="1:31" x14ac:dyDescent="0.2">
      <c r="A219" s="3"/>
      <c r="B219" s="164"/>
      <c r="C219" s="22"/>
      <c r="D219" s="21"/>
      <c r="E219" s="23"/>
      <c r="F219" s="10"/>
      <c r="G219" s="5">
        <f t="shared" si="40"/>
        <v>213</v>
      </c>
      <c r="H219" s="7">
        <f t="shared" si="41"/>
        <v>208</v>
      </c>
      <c r="I219" s="8">
        <f t="shared" si="36"/>
        <v>2026</v>
      </c>
      <c r="J219" s="31">
        <f>IF(K219=0,"",IF(_ijour12=0,MIN(DATE(YEAR(_debamort12),MONTH(_debamort12)+(G219-1)*_imois12,_jour12),DATE(YEAR(_debamort12),MONTH(_debamort12)+1+(G219-1)*_imois12,0)),DATE(YEAR(_debamort12),MONTH(_debamort12),_jour12+(G219-1)*_ijour12)))</f>
        <v>46266</v>
      </c>
      <c r="K219" s="156">
        <f t="shared" si="42"/>
        <v>107840.68000000005</v>
      </c>
      <c r="L219" s="153">
        <f>IF(G219&lt;=_noeechmaxi1,ROUND(K219*'Données Projet 1 (2)'!A228,_nbdeci1t),0)</f>
        <v>167.15</v>
      </c>
      <c r="M219" s="152">
        <f>IF(OR(G219&lt;=_differe1t,G219&gt;_noeechmaxi1),IF(_difftotal1t,-L219,0),IF(G219&gt;=_noechremb1t,K219,IF('Données Projet 1 (2)'!B228-(L219*_echfixe1t)&gt;K219-2,K219,'Données Projet 1 (2)'!B228-(L219*_echfixe1t))))+B219</f>
        <v>439.77</v>
      </c>
      <c r="N219" s="154">
        <f t="shared" si="43"/>
        <v>15.6</v>
      </c>
      <c r="O219" s="157">
        <f t="shared" si="37"/>
        <v>622.52</v>
      </c>
      <c r="Q219" s="3"/>
      <c r="R219" s="164"/>
      <c r="S219" s="22"/>
      <c r="T219" s="21"/>
      <c r="U219" s="23"/>
      <c r="V219" s="10"/>
      <c r="W219" s="5" t="str">
        <f t="shared" si="44"/>
        <v/>
      </c>
      <c r="X219" s="7" t="str">
        <f t="shared" si="45"/>
        <v/>
      </c>
      <c r="Y219" s="8" t="str">
        <f t="shared" si="38"/>
        <v/>
      </c>
      <c r="Z219" s="31" t="str">
        <f>IF(AA219=0,"",IF(_ijour122=0,MIN(DATE(YEAR(_debamort122),MONTH(_debamort122)+(W219-1)*_imois122,__jou123),DATE(YEAR(_debamort122),MONTH(_debamort122)+1+(W219-1)*_imois122,0)),DATE(YEAR(_debamort122),MONTH(_debamort122),__jou123+(W219-1)*_ijour122)))</f>
        <v/>
      </c>
      <c r="AA219" s="156">
        <f t="shared" si="46"/>
        <v>0</v>
      </c>
      <c r="AB219" s="153">
        <f>IF(W219&lt;=_noechmaxi1t,ROUND(AA219*'Données Projet 1 (2)'!H228,_nbdeci1t1),0)</f>
        <v>0</v>
      </c>
      <c r="AC219" s="152">
        <f>IF(OR(W219&lt;=_differe1t1t,W219&gt;_noechmaxi1t),IF(_difftotal1t1t,-AB219,0),IF(W219&gt;=_noechremb12,AA219,IF('Données Projet 1 (2)'!I228-(AB219*_echfixe12)&gt;AA219-2,AA219,'Données Projet 1 (2)'!I228-(AB219*_echfixe12))))+R219</f>
        <v>0</v>
      </c>
      <c r="AD219" s="154">
        <f t="shared" si="47"/>
        <v>0</v>
      </c>
      <c r="AE219" s="157">
        <f t="shared" si="39"/>
        <v>0</v>
      </c>
    </row>
    <row r="220" spans="1:31" x14ac:dyDescent="0.2">
      <c r="A220" s="3"/>
      <c r="B220" s="164"/>
      <c r="C220" s="22"/>
      <c r="D220" s="21"/>
      <c r="E220" s="23"/>
      <c r="F220" s="10"/>
      <c r="G220" s="5">
        <f t="shared" si="40"/>
        <v>214</v>
      </c>
      <c r="H220" s="7">
        <f t="shared" si="41"/>
        <v>207</v>
      </c>
      <c r="I220" s="8">
        <f t="shared" si="36"/>
        <v>2026</v>
      </c>
      <c r="J220" s="31">
        <f>IF(K220=0,"",IF(_ijour12=0,MIN(DATE(YEAR(_debamort12),MONTH(_debamort12)+_MoisD+(G220-1)*_imois12,_jour212),DATE(YEAR(_debamort12),MONTH(_debamort12)+_MoisD+1+(G220-1)*_imois12,0)),DATE(YEAR(_debamort12),MONTH(_debamort12),_jour12+(G220-1)*_ijour12)))</f>
        <v>46296</v>
      </c>
      <c r="K220" s="156">
        <f t="shared" si="42"/>
        <v>107400.91000000005</v>
      </c>
      <c r="L220" s="153">
        <f>IF(G220&lt;=_noeechmaxi1,ROUND(K220*'Données Projet 1 (2)'!A229,_nbdeci1t),0)</f>
        <v>166.47</v>
      </c>
      <c r="M220" s="152">
        <f>IF(OR(G220&lt;=_differe1t,G220&gt;_noeechmaxi1),IF(_difftotal1t,-L220,0),IF(G220&gt;=_noechremb1t,K220,IF('Données Projet 1 (2)'!B229-(L220*_echfixe1t)&gt;K220-2,K220,'Données Projet 1 (2)'!B229-(L220*_echfixe1t))))+B220</f>
        <v>440.44999999999993</v>
      </c>
      <c r="N220" s="154">
        <f t="shared" si="43"/>
        <v>15.6</v>
      </c>
      <c r="O220" s="157">
        <f t="shared" si="37"/>
        <v>622.52</v>
      </c>
      <c r="Q220" s="3"/>
      <c r="R220" s="164"/>
      <c r="S220" s="22"/>
      <c r="T220" s="21"/>
      <c r="U220" s="23"/>
      <c r="V220" s="10"/>
      <c r="W220" s="5" t="str">
        <f t="shared" si="44"/>
        <v/>
      </c>
      <c r="X220" s="7" t="str">
        <f t="shared" si="45"/>
        <v/>
      </c>
      <c r="Y220" s="8" t="str">
        <f t="shared" si="38"/>
        <v/>
      </c>
      <c r="Z220" s="31" t="str">
        <f>IF(AA220=0,"",IF(_ijour122=0,MIN(DATE(YEAR(_debamort122),MONTH(_debamort122)+_moisd12+(W220-1)*_imois122,__jou21),DATE(YEAR(_debamort122),MONTH(_debamort122)+_moisd12+1+(W220-1)*_imois122,0)),DATE(YEAR(_debamort122),MONTH(_debamort122),__jou123+(W220-1)*_ijour122)))</f>
        <v/>
      </c>
      <c r="AA220" s="156">
        <f t="shared" si="46"/>
        <v>0</v>
      </c>
      <c r="AB220" s="153">
        <f>IF(W220&lt;=_noechmaxi1t,ROUND(AA220*'Données Projet 1 (2)'!H229,_nbdeci1t1),0)</f>
        <v>0</v>
      </c>
      <c r="AC220" s="152">
        <f>IF(OR(W220&lt;=_differe1t1t,W220&gt;_noechmaxi1t),IF(_difftotal1t1t,-AB220,0),IF(W220&gt;=_noechremb12,AA220,IF('Données Projet 1 (2)'!I229-(AB220*_echfixe12)&gt;AA220-2,AA220,'Données Projet 1 (2)'!I229-(AB220*_echfixe12))))+R220</f>
        <v>0</v>
      </c>
      <c r="AD220" s="154">
        <f t="shared" si="47"/>
        <v>0</v>
      </c>
      <c r="AE220" s="157">
        <f t="shared" si="39"/>
        <v>0</v>
      </c>
    </row>
    <row r="221" spans="1:31" x14ac:dyDescent="0.2">
      <c r="A221" s="3"/>
      <c r="B221" s="164"/>
      <c r="C221" s="22"/>
      <c r="D221" s="21"/>
      <c r="E221" s="23"/>
      <c r="F221" s="10"/>
      <c r="G221" s="5">
        <f t="shared" si="40"/>
        <v>215</v>
      </c>
      <c r="H221" s="7">
        <f t="shared" si="41"/>
        <v>206</v>
      </c>
      <c r="I221" s="8">
        <f t="shared" si="36"/>
        <v>2026</v>
      </c>
      <c r="J221" s="31">
        <f>IF(K221=0,"",IF(_ijour12=0,MIN(DATE(YEAR(_debamort12),MONTH(_debamort12)+(G221-1)*_imois12,_jour12),DATE(YEAR(_debamort12),MONTH(_debamort12)+1+(G221-1)*_imois12,0)),DATE(YEAR(_debamort12),MONTH(_debamort12),_jour12+(G221-1)*_ijour12)))</f>
        <v>46327</v>
      </c>
      <c r="K221" s="156">
        <f t="shared" si="42"/>
        <v>106960.46000000005</v>
      </c>
      <c r="L221" s="153">
        <f>IF(G221&lt;=_noeechmaxi1,ROUND(K221*'Données Projet 1 (2)'!A230,_nbdeci1t),0)</f>
        <v>165.79</v>
      </c>
      <c r="M221" s="152">
        <f>IF(OR(G221&lt;=_differe1t,G221&gt;_noeechmaxi1),IF(_difftotal1t,-L221,0),IF(G221&gt;=_noechremb1t,K221,IF('Données Projet 1 (2)'!B230-(L221*_echfixe1t)&gt;K221-2,K221,'Données Projet 1 (2)'!B230-(L221*_echfixe1t))))+B221</f>
        <v>441.13</v>
      </c>
      <c r="N221" s="154">
        <f t="shared" si="43"/>
        <v>15.6</v>
      </c>
      <c r="O221" s="157">
        <f t="shared" si="37"/>
        <v>622.52</v>
      </c>
      <c r="Q221" s="3"/>
      <c r="R221" s="164"/>
      <c r="S221" s="22"/>
      <c r="T221" s="21"/>
      <c r="U221" s="23"/>
      <c r="V221" s="10"/>
      <c r="W221" s="5" t="str">
        <f t="shared" si="44"/>
        <v/>
      </c>
      <c r="X221" s="7" t="str">
        <f t="shared" si="45"/>
        <v/>
      </c>
      <c r="Y221" s="8" t="str">
        <f t="shared" si="38"/>
        <v/>
      </c>
      <c r="Z221" s="31" t="str">
        <f>IF(AA221=0,"",IF(_ijour122=0,MIN(DATE(YEAR(_debamort122),MONTH(_debamort122)+(W221-1)*_imois122,__jou123),DATE(YEAR(_debamort122),MONTH(_debamort122)+1+(W221-1)*_imois122,0)),DATE(YEAR(_debamort122),MONTH(_debamort122),__jou123+(W221-1)*_ijour122)))</f>
        <v/>
      </c>
      <c r="AA221" s="156">
        <f t="shared" si="46"/>
        <v>0</v>
      </c>
      <c r="AB221" s="153">
        <f>IF(W221&lt;=_noechmaxi1t,ROUND(AA221*'Données Projet 1 (2)'!H230,_nbdeci1t1),0)</f>
        <v>0</v>
      </c>
      <c r="AC221" s="152">
        <f>IF(OR(W221&lt;=_differe1t1t,W221&gt;_noechmaxi1t),IF(_difftotal1t1t,-AB221,0),IF(W221&gt;=_noechremb12,AA221,IF('Données Projet 1 (2)'!I230-(AB221*_echfixe12)&gt;AA221-2,AA221,'Données Projet 1 (2)'!I230-(AB221*_echfixe12))))+R221</f>
        <v>0</v>
      </c>
      <c r="AD221" s="154">
        <f t="shared" si="47"/>
        <v>0</v>
      </c>
      <c r="AE221" s="157">
        <f t="shared" si="39"/>
        <v>0</v>
      </c>
    </row>
    <row r="222" spans="1:31" x14ac:dyDescent="0.2">
      <c r="A222" s="3"/>
      <c r="B222" s="164"/>
      <c r="C222" s="22"/>
      <c r="D222" s="21"/>
      <c r="E222" s="23"/>
      <c r="F222" s="10"/>
      <c r="G222" s="5">
        <f t="shared" si="40"/>
        <v>216</v>
      </c>
      <c r="H222" s="7">
        <f t="shared" si="41"/>
        <v>205</v>
      </c>
      <c r="I222" s="8">
        <f t="shared" si="36"/>
        <v>2026</v>
      </c>
      <c r="J222" s="31">
        <f>IF(K222=0,"",IF(_ijour12=0,MIN(DATE(YEAR(_debamort12),MONTH(_debamort12)+_MoisD+(G222-1)*_imois12,_jour212),DATE(YEAR(_debamort12),MONTH(_debamort12)+_MoisD+1+(G222-1)*_imois12,0)),DATE(YEAR(_debamort12),MONTH(_debamort12),_jour12+(G222-1)*_ijour12)))</f>
        <v>46357</v>
      </c>
      <c r="K222" s="156">
        <f t="shared" si="42"/>
        <v>106519.33000000005</v>
      </c>
      <c r="L222" s="153">
        <f>IF(G222&lt;=_noeechmaxi1,ROUND(K222*'Données Projet 1 (2)'!A231,_nbdeci1t),0)</f>
        <v>165.1</v>
      </c>
      <c r="M222" s="152">
        <f>IF(OR(G222&lt;=_differe1t,G222&gt;_noeechmaxi1),IF(_difftotal1t,-L222,0),IF(G222&gt;=_noechremb1t,K222,IF('Données Projet 1 (2)'!B231-(L222*_echfixe1t)&gt;K222-2,K222,'Données Projet 1 (2)'!B231-(L222*_echfixe1t))))+B222</f>
        <v>441.81999999999994</v>
      </c>
      <c r="N222" s="154">
        <f t="shared" si="43"/>
        <v>15.6</v>
      </c>
      <c r="O222" s="157">
        <f t="shared" si="37"/>
        <v>622.52</v>
      </c>
      <c r="Q222" s="3"/>
      <c r="R222" s="164"/>
      <c r="S222" s="22"/>
      <c r="T222" s="21"/>
      <c r="U222" s="23"/>
      <c r="V222" s="10"/>
      <c r="W222" s="5" t="str">
        <f t="shared" si="44"/>
        <v/>
      </c>
      <c r="X222" s="7" t="str">
        <f t="shared" si="45"/>
        <v/>
      </c>
      <c r="Y222" s="8" t="str">
        <f t="shared" si="38"/>
        <v/>
      </c>
      <c r="Z222" s="31" t="str">
        <f>IF(AA222=0,"",IF(_ijour122=0,MIN(DATE(YEAR(_debamort122),MONTH(_debamort122)+_moisd12+(W222-1)*_imois122,__jou21),DATE(YEAR(_debamort122),MONTH(_debamort122)+_moisd12+1+(W222-1)*_imois122,0)),DATE(YEAR(_debamort122),MONTH(_debamort122),__jou123+(W222-1)*_ijour122)))</f>
        <v/>
      </c>
      <c r="AA222" s="156">
        <f t="shared" si="46"/>
        <v>0</v>
      </c>
      <c r="AB222" s="153">
        <f>IF(W222&lt;=_noechmaxi1t,ROUND(AA222*'Données Projet 1 (2)'!H231,_nbdeci1t1),0)</f>
        <v>0</v>
      </c>
      <c r="AC222" s="152">
        <f>IF(OR(W222&lt;=_differe1t1t,W222&gt;_noechmaxi1t),IF(_difftotal1t1t,-AB222,0),IF(W222&gt;=_noechremb12,AA222,IF('Données Projet 1 (2)'!I231-(AB222*_echfixe12)&gt;AA222-2,AA222,'Données Projet 1 (2)'!I231-(AB222*_echfixe12))))+R222</f>
        <v>0</v>
      </c>
      <c r="AD222" s="154">
        <f t="shared" si="47"/>
        <v>0</v>
      </c>
      <c r="AE222" s="157">
        <f t="shared" si="39"/>
        <v>0</v>
      </c>
    </row>
    <row r="223" spans="1:31" x14ac:dyDescent="0.2">
      <c r="A223" s="3"/>
      <c r="B223" s="164"/>
      <c r="C223" s="22"/>
      <c r="D223" s="21"/>
      <c r="E223" s="23"/>
      <c r="F223" s="10"/>
      <c r="G223" s="5">
        <f t="shared" si="40"/>
        <v>217</v>
      </c>
      <c r="H223" s="7">
        <f t="shared" si="41"/>
        <v>204</v>
      </c>
      <c r="I223" s="8">
        <f t="shared" si="36"/>
        <v>2027</v>
      </c>
      <c r="J223" s="31">
        <f>IF(K223=0,"",IF(_ijour12=0,MIN(DATE(YEAR(_debamort12),MONTH(_debamort12)+(G223-1)*_imois12,_jour12),DATE(YEAR(_debamort12),MONTH(_debamort12)+1+(G223-1)*_imois12,0)),DATE(YEAR(_debamort12),MONTH(_debamort12),_jour12+(G223-1)*_ijour12)))</f>
        <v>46388</v>
      </c>
      <c r="K223" s="156">
        <f t="shared" si="42"/>
        <v>106077.51000000004</v>
      </c>
      <c r="L223" s="153">
        <f>IF(G223&lt;=_noeechmaxi1,ROUND(K223*'Données Projet 1 (2)'!A232,_nbdeci1t),0)</f>
        <v>164.42</v>
      </c>
      <c r="M223" s="152">
        <f>IF(OR(G223&lt;=_differe1t,G223&gt;_noeechmaxi1),IF(_difftotal1t,-L223,0),IF(G223&gt;=_noechremb1t,K223,IF('Données Projet 1 (2)'!B232-(L223*_echfixe1t)&gt;K223-2,K223,'Données Projet 1 (2)'!B232-(L223*_echfixe1t))))+B223</f>
        <v>442.5</v>
      </c>
      <c r="N223" s="154">
        <f t="shared" si="43"/>
        <v>15.6</v>
      </c>
      <c r="O223" s="157">
        <f t="shared" si="37"/>
        <v>622.52</v>
      </c>
      <c r="Q223" s="3"/>
      <c r="R223" s="164"/>
      <c r="S223" s="22"/>
      <c r="T223" s="21"/>
      <c r="U223" s="23"/>
      <c r="V223" s="10"/>
      <c r="W223" s="5" t="str">
        <f t="shared" si="44"/>
        <v/>
      </c>
      <c r="X223" s="7" t="str">
        <f t="shared" si="45"/>
        <v/>
      </c>
      <c r="Y223" s="8" t="str">
        <f t="shared" si="38"/>
        <v/>
      </c>
      <c r="Z223" s="31" t="str">
        <f>IF(AA223=0,"",IF(_ijour122=0,MIN(DATE(YEAR(_debamort122),MONTH(_debamort122)+(W223-1)*_imois122,__jou123),DATE(YEAR(_debamort122),MONTH(_debamort122)+1+(W223-1)*_imois122,0)),DATE(YEAR(_debamort122),MONTH(_debamort122),__jou123+(W223-1)*_ijour122)))</f>
        <v/>
      </c>
      <c r="AA223" s="156">
        <f t="shared" si="46"/>
        <v>0</v>
      </c>
      <c r="AB223" s="153">
        <f>IF(W223&lt;=_noechmaxi1t,ROUND(AA223*'Données Projet 1 (2)'!H232,_nbdeci1t1),0)</f>
        <v>0</v>
      </c>
      <c r="AC223" s="152">
        <f>IF(OR(W223&lt;=_differe1t1t,W223&gt;_noechmaxi1t),IF(_difftotal1t1t,-AB223,0),IF(W223&gt;=_noechremb12,AA223,IF('Données Projet 1 (2)'!I232-(AB223*_echfixe12)&gt;AA223-2,AA223,'Données Projet 1 (2)'!I232-(AB223*_echfixe12))))+R223</f>
        <v>0</v>
      </c>
      <c r="AD223" s="154">
        <f t="shared" si="47"/>
        <v>0</v>
      </c>
      <c r="AE223" s="157">
        <f t="shared" si="39"/>
        <v>0</v>
      </c>
    </row>
    <row r="224" spans="1:31" x14ac:dyDescent="0.2">
      <c r="A224" s="3"/>
      <c r="B224" s="164"/>
      <c r="C224" s="22"/>
      <c r="D224" s="21"/>
      <c r="E224" s="23"/>
      <c r="F224" s="10"/>
      <c r="G224" s="5">
        <f t="shared" si="40"/>
        <v>218</v>
      </c>
      <c r="H224" s="7">
        <f t="shared" si="41"/>
        <v>203</v>
      </c>
      <c r="I224" s="8">
        <f t="shared" si="36"/>
        <v>2027</v>
      </c>
      <c r="J224" s="31">
        <f>IF(K224=0,"",IF(_ijour12=0,MIN(DATE(YEAR(_debamort12),MONTH(_debamort12)+_MoisD+(G224-1)*_imois12,_jour212),DATE(YEAR(_debamort12),MONTH(_debamort12)+_MoisD+1+(G224-1)*_imois12,0)),DATE(YEAR(_debamort12),MONTH(_debamort12),_jour12+(G224-1)*_ijour12)))</f>
        <v>46419</v>
      </c>
      <c r="K224" s="156">
        <f t="shared" si="42"/>
        <v>105635.01000000004</v>
      </c>
      <c r="L224" s="153">
        <f>IF(G224&lt;=_noeechmaxi1,ROUND(K224*'Données Projet 1 (2)'!A233,_nbdeci1t),0)</f>
        <v>163.72999999999999</v>
      </c>
      <c r="M224" s="152">
        <f>IF(OR(G224&lt;=_differe1t,G224&gt;_noeechmaxi1),IF(_difftotal1t,-L224,0),IF(G224&gt;=_noechremb1t,K224,IF('Données Projet 1 (2)'!B233-(L224*_echfixe1t)&gt;K224-2,K224,'Données Projet 1 (2)'!B233-(L224*_echfixe1t))))+B224</f>
        <v>443.18999999999994</v>
      </c>
      <c r="N224" s="154">
        <f t="shared" si="43"/>
        <v>15.6</v>
      </c>
      <c r="O224" s="157">
        <f t="shared" si="37"/>
        <v>622.52</v>
      </c>
      <c r="Q224" s="3"/>
      <c r="R224" s="164"/>
      <c r="S224" s="22"/>
      <c r="T224" s="21"/>
      <c r="U224" s="23"/>
      <c r="V224" s="10"/>
      <c r="W224" s="5" t="str">
        <f t="shared" si="44"/>
        <v/>
      </c>
      <c r="X224" s="7" t="str">
        <f t="shared" si="45"/>
        <v/>
      </c>
      <c r="Y224" s="8" t="str">
        <f t="shared" si="38"/>
        <v/>
      </c>
      <c r="Z224" s="31" t="str">
        <f>IF(AA224=0,"",IF(_ijour122=0,MIN(DATE(YEAR(_debamort122),MONTH(_debamort122)+_moisd12+(W224-1)*_imois122,__jou21),DATE(YEAR(_debamort122),MONTH(_debamort122)+_moisd12+1+(W224-1)*_imois122,0)),DATE(YEAR(_debamort122),MONTH(_debamort122),__jou123+(W224-1)*_ijour122)))</f>
        <v/>
      </c>
      <c r="AA224" s="156">
        <f t="shared" si="46"/>
        <v>0</v>
      </c>
      <c r="AB224" s="153">
        <f>IF(W224&lt;=_noechmaxi1t,ROUND(AA224*'Données Projet 1 (2)'!H233,_nbdeci1t1),0)</f>
        <v>0</v>
      </c>
      <c r="AC224" s="152">
        <f>IF(OR(W224&lt;=_differe1t1t,W224&gt;_noechmaxi1t),IF(_difftotal1t1t,-AB224,0),IF(W224&gt;=_noechremb12,AA224,IF('Données Projet 1 (2)'!I233-(AB224*_echfixe12)&gt;AA224-2,AA224,'Données Projet 1 (2)'!I233-(AB224*_echfixe12))))+R224</f>
        <v>0</v>
      </c>
      <c r="AD224" s="154">
        <f t="shared" si="47"/>
        <v>0</v>
      </c>
      <c r="AE224" s="157">
        <f t="shared" si="39"/>
        <v>0</v>
      </c>
    </row>
    <row r="225" spans="1:31" x14ac:dyDescent="0.2">
      <c r="A225" s="3"/>
      <c r="B225" s="164"/>
      <c r="C225" s="22"/>
      <c r="D225" s="21"/>
      <c r="E225" s="23"/>
      <c r="F225" s="10"/>
      <c r="G225" s="5">
        <f t="shared" si="40"/>
        <v>219</v>
      </c>
      <c r="H225" s="7">
        <f t="shared" si="41"/>
        <v>202</v>
      </c>
      <c r="I225" s="8">
        <f t="shared" si="36"/>
        <v>2027</v>
      </c>
      <c r="J225" s="31">
        <f>IF(K225=0,"",IF(_ijour12=0,MIN(DATE(YEAR(_debamort12),MONTH(_debamort12)+(G225-1)*_imois12,_jour12),DATE(YEAR(_debamort12),MONTH(_debamort12)+1+(G225-1)*_imois12,0)),DATE(YEAR(_debamort12),MONTH(_debamort12),_jour12+(G225-1)*_ijour12)))</f>
        <v>46447</v>
      </c>
      <c r="K225" s="156">
        <f t="shared" si="42"/>
        <v>105191.82000000004</v>
      </c>
      <c r="L225" s="153">
        <f>IF(G225&lt;=_noeechmaxi1,ROUND(K225*'Données Projet 1 (2)'!A234,_nbdeci1t),0)</f>
        <v>163.05000000000001</v>
      </c>
      <c r="M225" s="152">
        <f>IF(OR(G225&lt;=_differe1t,G225&gt;_noeechmaxi1),IF(_difftotal1t,-L225,0),IF(G225&gt;=_noechremb1t,K225,IF('Données Projet 1 (2)'!B234-(L225*_echfixe1t)&gt;K225-2,K225,'Données Projet 1 (2)'!B234-(L225*_echfixe1t))))+B225</f>
        <v>443.86999999999995</v>
      </c>
      <c r="N225" s="154">
        <f t="shared" si="43"/>
        <v>15.6</v>
      </c>
      <c r="O225" s="157">
        <f t="shared" si="37"/>
        <v>622.52</v>
      </c>
      <c r="Q225" s="3"/>
      <c r="R225" s="164"/>
      <c r="S225" s="22"/>
      <c r="T225" s="21"/>
      <c r="U225" s="23"/>
      <c r="V225" s="10"/>
      <c r="W225" s="5" t="str">
        <f t="shared" si="44"/>
        <v/>
      </c>
      <c r="X225" s="7" t="str">
        <f t="shared" si="45"/>
        <v/>
      </c>
      <c r="Y225" s="8" t="str">
        <f t="shared" si="38"/>
        <v/>
      </c>
      <c r="Z225" s="31" t="str">
        <f>IF(AA225=0,"",IF(_ijour122=0,MIN(DATE(YEAR(_debamort122),MONTH(_debamort122)+(W225-1)*_imois122,__jou123),DATE(YEAR(_debamort122),MONTH(_debamort122)+1+(W225-1)*_imois122,0)),DATE(YEAR(_debamort122),MONTH(_debamort122),__jou123+(W225-1)*_ijour122)))</f>
        <v/>
      </c>
      <c r="AA225" s="156">
        <f t="shared" si="46"/>
        <v>0</v>
      </c>
      <c r="AB225" s="153">
        <f>IF(W225&lt;=_noechmaxi1t,ROUND(AA225*'Données Projet 1 (2)'!H234,_nbdeci1t1),0)</f>
        <v>0</v>
      </c>
      <c r="AC225" s="152">
        <f>IF(OR(W225&lt;=_differe1t1t,W225&gt;_noechmaxi1t),IF(_difftotal1t1t,-AB225,0),IF(W225&gt;=_noechremb12,AA225,IF('Données Projet 1 (2)'!I234-(AB225*_echfixe12)&gt;AA225-2,AA225,'Données Projet 1 (2)'!I234-(AB225*_echfixe12))))+R225</f>
        <v>0</v>
      </c>
      <c r="AD225" s="154">
        <f t="shared" si="47"/>
        <v>0</v>
      </c>
      <c r="AE225" s="157">
        <f t="shared" si="39"/>
        <v>0</v>
      </c>
    </row>
    <row r="226" spans="1:31" x14ac:dyDescent="0.2">
      <c r="A226" s="3"/>
      <c r="B226" s="164"/>
      <c r="C226" s="22"/>
      <c r="D226" s="21"/>
      <c r="E226" s="23"/>
      <c r="F226" s="10"/>
      <c r="G226" s="5">
        <f t="shared" si="40"/>
        <v>220</v>
      </c>
      <c r="H226" s="7">
        <f t="shared" si="41"/>
        <v>201</v>
      </c>
      <c r="I226" s="8">
        <f t="shared" si="36"/>
        <v>2027</v>
      </c>
      <c r="J226" s="31">
        <f>IF(K226=0,"",IF(_ijour12=0,MIN(DATE(YEAR(_debamort12),MONTH(_debamort12)+_MoisD+(G226-1)*_imois12,_jour212),DATE(YEAR(_debamort12),MONTH(_debamort12)+_MoisD+1+(G226-1)*_imois12,0)),DATE(YEAR(_debamort12),MONTH(_debamort12),_jour12+(G226-1)*_ijour12)))</f>
        <v>46478</v>
      </c>
      <c r="K226" s="156">
        <f t="shared" si="42"/>
        <v>104747.95000000004</v>
      </c>
      <c r="L226" s="153">
        <f>IF(G226&lt;=_noeechmaxi1,ROUND(K226*'Données Projet 1 (2)'!A235,_nbdeci1t),0)</f>
        <v>162.36000000000001</v>
      </c>
      <c r="M226" s="152">
        <f>IF(OR(G226&lt;=_differe1t,G226&gt;_noeechmaxi1),IF(_difftotal1t,-L226,0),IF(G226&gt;=_noechremb1t,K226,IF('Données Projet 1 (2)'!B235-(L226*_echfixe1t)&gt;K226-2,K226,'Données Projet 1 (2)'!B235-(L226*_echfixe1t))))+B226</f>
        <v>444.55999999999995</v>
      </c>
      <c r="N226" s="154">
        <f t="shared" si="43"/>
        <v>15.6</v>
      </c>
      <c r="O226" s="157">
        <f t="shared" si="37"/>
        <v>622.52</v>
      </c>
      <c r="Q226" s="3"/>
      <c r="R226" s="164"/>
      <c r="S226" s="22"/>
      <c r="T226" s="21"/>
      <c r="U226" s="23"/>
      <c r="V226" s="10"/>
      <c r="W226" s="5" t="str">
        <f t="shared" si="44"/>
        <v/>
      </c>
      <c r="X226" s="7" t="str">
        <f t="shared" si="45"/>
        <v/>
      </c>
      <c r="Y226" s="8" t="str">
        <f t="shared" si="38"/>
        <v/>
      </c>
      <c r="Z226" s="31" t="str">
        <f>IF(AA226=0,"",IF(_ijour122=0,MIN(DATE(YEAR(_debamort122),MONTH(_debamort122)+_moisd12+(W226-1)*_imois122,__jou21),DATE(YEAR(_debamort122),MONTH(_debamort122)+_moisd12+1+(W226-1)*_imois122,0)),DATE(YEAR(_debamort122),MONTH(_debamort122),__jou123+(W226-1)*_ijour122)))</f>
        <v/>
      </c>
      <c r="AA226" s="156">
        <f t="shared" si="46"/>
        <v>0</v>
      </c>
      <c r="AB226" s="153">
        <f>IF(W226&lt;=_noechmaxi1t,ROUND(AA226*'Données Projet 1 (2)'!H235,_nbdeci1t1),0)</f>
        <v>0</v>
      </c>
      <c r="AC226" s="152">
        <f>IF(OR(W226&lt;=_differe1t1t,W226&gt;_noechmaxi1t),IF(_difftotal1t1t,-AB226,0),IF(W226&gt;=_noechremb12,AA226,IF('Données Projet 1 (2)'!I235-(AB226*_echfixe12)&gt;AA226-2,AA226,'Données Projet 1 (2)'!I235-(AB226*_echfixe12))))+R226</f>
        <v>0</v>
      </c>
      <c r="AD226" s="154">
        <f t="shared" si="47"/>
        <v>0</v>
      </c>
      <c r="AE226" s="157">
        <f t="shared" si="39"/>
        <v>0</v>
      </c>
    </row>
    <row r="227" spans="1:31" x14ac:dyDescent="0.2">
      <c r="A227" s="3"/>
      <c r="B227" s="164"/>
      <c r="C227" s="22"/>
      <c r="D227" s="21"/>
      <c r="E227" s="23"/>
      <c r="F227" s="10"/>
      <c r="G227" s="5">
        <f t="shared" si="40"/>
        <v>221</v>
      </c>
      <c r="H227" s="7">
        <f t="shared" si="41"/>
        <v>200</v>
      </c>
      <c r="I227" s="8">
        <f t="shared" si="36"/>
        <v>2027</v>
      </c>
      <c r="J227" s="31">
        <f>IF(K227=0,"",IF(_ijour12=0,MIN(DATE(YEAR(_debamort12),MONTH(_debamort12)+(G227-1)*_imois12,_jour12),DATE(YEAR(_debamort12),MONTH(_debamort12)+1+(G227-1)*_imois12,0)),DATE(YEAR(_debamort12),MONTH(_debamort12),_jour12+(G227-1)*_ijour12)))</f>
        <v>46508</v>
      </c>
      <c r="K227" s="156">
        <f t="shared" si="42"/>
        <v>104303.39000000004</v>
      </c>
      <c r="L227" s="153">
        <f>IF(G227&lt;=_noeechmaxi1,ROUND(K227*'Données Projet 1 (2)'!A236,_nbdeci1t),0)</f>
        <v>161.66999999999999</v>
      </c>
      <c r="M227" s="152">
        <f>IF(OR(G227&lt;=_differe1t,G227&gt;_noeechmaxi1),IF(_difftotal1t,-L227,0),IF(G227&gt;=_noechremb1t,K227,IF('Données Projet 1 (2)'!B236-(L227*_echfixe1t)&gt;K227-2,K227,'Données Projet 1 (2)'!B236-(L227*_echfixe1t))))+B227</f>
        <v>445.25</v>
      </c>
      <c r="N227" s="154">
        <f t="shared" si="43"/>
        <v>15.6</v>
      </c>
      <c r="O227" s="157">
        <f t="shared" si="37"/>
        <v>622.52</v>
      </c>
      <c r="Q227" s="3"/>
      <c r="R227" s="164"/>
      <c r="S227" s="22"/>
      <c r="T227" s="21"/>
      <c r="U227" s="23"/>
      <c r="V227" s="10"/>
      <c r="W227" s="5" t="str">
        <f t="shared" si="44"/>
        <v/>
      </c>
      <c r="X227" s="7" t="str">
        <f t="shared" si="45"/>
        <v/>
      </c>
      <c r="Y227" s="8" t="str">
        <f t="shared" si="38"/>
        <v/>
      </c>
      <c r="Z227" s="31" t="str">
        <f>IF(AA227=0,"",IF(_ijour122=0,MIN(DATE(YEAR(_debamort122),MONTH(_debamort122)+(W227-1)*_imois122,__jou123),DATE(YEAR(_debamort122),MONTH(_debamort122)+1+(W227-1)*_imois122,0)),DATE(YEAR(_debamort122),MONTH(_debamort122),__jou123+(W227-1)*_ijour122)))</f>
        <v/>
      </c>
      <c r="AA227" s="156">
        <f t="shared" si="46"/>
        <v>0</v>
      </c>
      <c r="AB227" s="153">
        <f>IF(W227&lt;=_noechmaxi1t,ROUND(AA227*'Données Projet 1 (2)'!H236,_nbdeci1t1),0)</f>
        <v>0</v>
      </c>
      <c r="AC227" s="152">
        <f>IF(OR(W227&lt;=_differe1t1t,W227&gt;_noechmaxi1t),IF(_difftotal1t1t,-AB227,0),IF(W227&gt;=_noechremb12,AA227,IF('Données Projet 1 (2)'!I236-(AB227*_echfixe12)&gt;AA227-2,AA227,'Données Projet 1 (2)'!I236-(AB227*_echfixe12))))+R227</f>
        <v>0</v>
      </c>
      <c r="AD227" s="154">
        <f t="shared" si="47"/>
        <v>0</v>
      </c>
      <c r="AE227" s="157">
        <f t="shared" si="39"/>
        <v>0</v>
      </c>
    </row>
    <row r="228" spans="1:31" x14ac:dyDescent="0.2">
      <c r="A228" s="3"/>
      <c r="B228" s="164"/>
      <c r="C228" s="22"/>
      <c r="D228" s="21"/>
      <c r="E228" s="23"/>
      <c r="F228" s="10"/>
      <c r="G228" s="5">
        <f t="shared" si="40"/>
        <v>222</v>
      </c>
      <c r="H228" s="7">
        <f t="shared" si="41"/>
        <v>199</v>
      </c>
      <c r="I228" s="8">
        <f t="shared" si="36"/>
        <v>2027</v>
      </c>
      <c r="J228" s="31">
        <f>IF(K228=0,"",IF(_ijour12=0,MIN(DATE(YEAR(_debamort12),MONTH(_debamort12)+_MoisD+(G228-1)*_imois12,_jour212),DATE(YEAR(_debamort12),MONTH(_debamort12)+_MoisD+1+(G228-1)*_imois12,0)),DATE(YEAR(_debamort12),MONTH(_debamort12),_jour12+(G228-1)*_ijour12)))</f>
        <v>46539</v>
      </c>
      <c r="K228" s="156">
        <f t="shared" si="42"/>
        <v>103858.14000000004</v>
      </c>
      <c r="L228" s="153">
        <f>IF(G228&lt;=_noeechmaxi1,ROUND(K228*'Données Projet 1 (2)'!A237,_nbdeci1t),0)</f>
        <v>160.97999999999999</v>
      </c>
      <c r="M228" s="152">
        <f>IF(OR(G228&lt;=_differe1t,G228&gt;_noeechmaxi1),IF(_difftotal1t,-L228,0),IF(G228&gt;=_noechremb1t,K228,IF('Données Projet 1 (2)'!B237-(L228*_echfixe1t)&gt;K228-2,K228,'Données Projet 1 (2)'!B237-(L228*_echfixe1t))))+B228</f>
        <v>445.93999999999994</v>
      </c>
      <c r="N228" s="154">
        <f t="shared" si="43"/>
        <v>15.6</v>
      </c>
      <c r="O228" s="157">
        <f t="shared" si="37"/>
        <v>622.52</v>
      </c>
      <c r="Q228" s="3"/>
      <c r="R228" s="164"/>
      <c r="S228" s="22"/>
      <c r="T228" s="21"/>
      <c r="U228" s="23"/>
      <c r="V228" s="10"/>
      <c r="W228" s="5" t="str">
        <f t="shared" si="44"/>
        <v/>
      </c>
      <c r="X228" s="7" t="str">
        <f t="shared" si="45"/>
        <v/>
      </c>
      <c r="Y228" s="8" t="str">
        <f t="shared" si="38"/>
        <v/>
      </c>
      <c r="Z228" s="31" t="str">
        <f>IF(AA228=0,"",IF(_ijour122=0,MIN(DATE(YEAR(_debamort122),MONTH(_debamort122)+_moisd12+(W228-1)*_imois122,__jou21),DATE(YEAR(_debamort122),MONTH(_debamort122)+_moisd12+1+(W228-1)*_imois122,0)),DATE(YEAR(_debamort122),MONTH(_debamort122),__jou123+(W228-1)*_ijour122)))</f>
        <v/>
      </c>
      <c r="AA228" s="156">
        <f t="shared" si="46"/>
        <v>0</v>
      </c>
      <c r="AB228" s="153">
        <f>IF(W228&lt;=_noechmaxi1t,ROUND(AA228*'Données Projet 1 (2)'!H237,_nbdeci1t1),0)</f>
        <v>0</v>
      </c>
      <c r="AC228" s="152">
        <f>IF(OR(W228&lt;=_differe1t1t,W228&gt;_noechmaxi1t),IF(_difftotal1t1t,-AB228,0),IF(W228&gt;=_noechremb12,AA228,IF('Données Projet 1 (2)'!I237-(AB228*_echfixe12)&gt;AA228-2,AA228,'Données Projet 1 (2)'!I237-(AB228*_echfixe12))))+R228</f>
        <v>0</v>
      </c>
      <c r="AD228" s="154">
        <f t="shared" si="47"/>
        <v>0</v>
      </c>
      <c r="AE228" s="157">
        <f t="shared" si="39"/>
        <v>0</v>
      </c>
    </row>
    <row r="229" spans="1:31" x14ac:dyDescent="0.2">
      <c r="A229" s="3"/>
      <c r="B229" s="164"/>
      <c r="C229" s="22"/>
      <c r="D229" s="21"/>
      <c r="E229" s="23"/>
      <c r="F229" s="10"/>
      <c r="G229" s="5">
        <f t="shared" si="40"/>
        <v>223</v>
      </c>
      <c r="H229" s="7">
        <f t="shared" si="41"/>
        <v>198</v>
      </c>
      <c r="I229" s="8">
        <f t="shared" si="36"/>
        <v>2027</v>
      </c>
      <c r="J229" s="31">
        <f>IF(K229=0,"",IF(_ijour12=0,MIN(DATE(YEAR(_debamort12),MONTH(_debamort12)+(G229-1)*_imois12,_jour12),DATE(YEAR(_debamort12),MONTH(_debamort12)+1+(G229-1)*_imois12,0)),DATE(YEAR(_debamort12),MONTH(_debamort12),_jour12+(G229-1)*_ijour12)))</f>
        <v>46569</v>
      </c>
      <c r="K229" s="156">
        <f t="shared" si="42"/>
        <v>103412.20000000004</v>
      </c>
      <c r="L229" s="153">
        <f>IF(G229&lt;=_noeechmaxi1,ROUND(K229*'Données Projet 1 (2)'!A238,_nbdeci1t),0)</f>
        <v>160.29</v>
      </c>
      <c r="M229" s="152">
        <f>IF(OR(G229&lt;=_differe1t,G229&gt;_noeechmaxi1),IF(_difftotal1t,-L229,0),IF(G229&gt;=_noechremb1t,K229,IF('Données Projet 1 (2)'!B238-(L229*_echfixe1t)&gt;K229-2,K229,'Données Projet 1 (2)'!B238-(L229*_echfixe1t))))+B229</f>
        <v>446.63</v>
      </c>
      <c r="N229" s="154">
        <f t="shared" si="43"/>
        <v>15.6</v>
      </c>
      <c r="O229" s="157">
        <f t="shared" si="37"/>
        <v>622.52</v>
      </c>
      <c r="Q229" s="3"/>
      <c r="R229" s="164"/>
      <c r="S229" s="22"/>
      <c r="T229" s="21"/>
      <c r="U229" s="23"/>
      <c r="V229" s="10"/>
      <c r="W229" s="5" t="str">
        <f t="shared" si="44"/>
        <v/>
      </c>
      <c r="X229" s="7" t="str">
        <f t="shared" si="45"/>
        <v/>
      </c>
      <c r="Y229" s="8" t="str">
        <f t="shared" si="38"/>
        <v/>
      </c>
      <c r="Z229" s="31" t="str">
        <f>IF(AA229=0,"",IF(_ijour122=0,MIN(DATE(YEAR(_debamort122),MONTH(_debamort122)+(W229-1)*_imois122,__jou123),DATE(YEAR(_debamort122),MONTH(_debamort122)+1+(W229-1)*_imois122,0)),DATE(YEAR(_debamort122),MONTH(_debamort122),__jou123+(W229-1)*_ijour122)))</f>
        <v/>
      </c>
      <c r="AA229" s="156">
        <f t="shared" si="46"/>
        <v>0</v>
      </c>
      <c r="AB229" s="153">
        <f>IF(W229&lt;=_noechmaxi1t,ROUND(AA229*'Données Projet 1 (2)'!H238,_nbdeci1t1),0)</f>
        <v>0</v>
      </c>
      <c r="AC229" s="152">
        <f>IF(OR(W229&lt;=_differe1t1t,W229&gt;_noechmaxi1t),IF(_difftotal1t1t,-AB229,0),IF(W229&gt;=_noechremb12,AA229,IF('Données Projet 1 (2)'!I238-(AB229*_echfixe12)&gt;AA229-2,AA229,'Données Projet 1 (2)'!I238-(AB229*_echfixe12))))+R229</f>
        <v>0</v>
      </c>
      <c r="AD229" s="154">
        <f t="shared" si="47"/>
        <v>0</v>
      </c>
      <c r="AE229" s="157">
        <f t="shared" si="39"/>
        <v>0</v>
      </c>
    </row>
    <row r="230" spans="1:31" x14ac:dyDescent="0.2">
      <c r="A230" s="3"/>
      <c r="B230" s="164"/>
      <c r="C230" s="22"/>
      <c r="D230" s="21"/>
      <c r="E230" s="23"/>
      <c r="F230" s="10"/>
      <c r="G230" s="5">
        <f t="shared" si="40"/>
        <v>224</v>
      </c>
      <c r="H230" s="7">
        <f t="shared" si="41"/>
        <v>197</v>
      </c>
      <c r="I230" s="8">
        <f t="shared" si="36"/>
        <v>2027</v>
      </c>
      <c r="J230" s="31">
        <f>IF(K230=0,"",IF(_ijour12=0,MIN(DATE(YEAR(_debamort12),MONTH(_debamort12)+_MoisD+(G230-1)*_imois12,_jour212),DATE(YEAR(_debamort12),MONTH(_debamort12)+_MoisD+1+(G230-1)*_imois12,0)),DATE(YEAR(_debamort12),MONTH(_debamort12),_jour12+(G230-1)*_ijour12)))</f>
        <v>46600</v>
      </c>
      <c r="K230" s="156">
        <f t="shared" si="42"/>
        <v>102965.57000000004</v>
      </c>
      <c r="L230" s="153">
        <f>IF(G230&lt;=_noeechmaxi1,ROUND(K230*'Données Projet 1 (2)'!A239,_nbdeci1t),0)</f>
        <v>159.6</v>
      </c>
      <c r="M230" s="152">
        <f>IF(OR(G230&lt;=_differe1t,G230&gt;_noeechmaxi1),IF(_difftotal1t,-L230,0),IF(G230&gt;=_noechremb1t,K230,IF('Données Projet 1 (2)'!B239-(L230*_echfixe1t)&gt;K230-2,K230,'Données Projet 1 (2)'!B239-(L230*_echfixe1t))))+B230</f>
        <v>447.31999999999994</v>
      </c>
      <c r="N230" s="154">
        <f t="shared" si="43"/>
        <v>15.6</v>
      </c>
      <c r="O230" s="157">
        <f t="shared" si="37"/>
        <v>622.52</v>
      </c>
      <c r="Q230" s="3"/>
      <c r="R230" s="164"/>
      <c r="S230" s="22"/>
      <c r="T230" s="21"/>
      <c r="U230" s="23"/>
      <c r="V230" s="10"/>
      <c r="W230" s="5" t="str">
        <f t="shared" si="44"/>
        <v/>
      </c>
      <c r="X230" s="7" t="str">
        <f t="shared" si="45"/>
        <v/>
      </c>
      <c r="Y230" s="8" t="str">
        <f t="shared" si="38"/>
        <v/>
      </c>
      <c r="Z230" s="31" t="str">
        <f>IF(AA230=0,"",IF(_ijour122=0,MIN(DATE(YEAR(_debamort122),MONTH(_debamort122)+_moisd12+(W230-1)*_imois122,__jou21),DATE(YEAR(_debamort122),MONTH(_debamort122)+_moisd12+1+(W230-1)*_imois122,0)),DATE(YEAR(_debamort122),MONTH(_debamort122),__jou123+(W230-1)*_ijour122)))</f>
        <v/>
      </c>
      <c r="AA230" s="156">
        <f t="shared" si="46"/>
        <v>0</v>
      </c>
      <c r="AB230" s="153">
        <f>IF(W230&lt;=_noechmaxi1t,ROUND(AA230*'Données Projet 1 (2)'!H239,_nbdeci1t1),0)</f>
        <v>0</v>
      </c>
      <c r="AC230" s="152">
        <f>IF(OR(W230&lt;=_differe1t1t,W230&gt;_noechmaxi1t),IF(_difftotal1t1t,-AB230,0),IF(W230&gt;=_noechremb12,AA230,IF('Données Projet 1 (2)'!I239-(AB230*_echfixe12)&gt;AA230-2,AA230,'Données Projet 1 (2)'!I239-(AB230*_echfixe12))))+R230</f>
        <v>0</v>
      </c>
      <c r="AD230" s="154">
        <f t="shared" si="47"/>
        <v>0</v>
      </c>
      <c r="AE230" s="157">
        <f t="shared" si="39"/>
        <v>0</v>
      </c>
    </row>
    <row r="231" spans="1:31" x14ac:dyDescent="0.2">
      <c r="A231" s="3"/>
      <c r="B231" s="164"/>
      <c r="C231" s="22"/>
      <c r="D231" s="21"/>
      <c r="E231" s="23"/>
      <c r="F231" s="10"/>
      <c r="G231" s="5">
        <f t="shared" si="40"/>
        <v>225</v>
      </c>
      <c r="H231" s="7">
        <f t="shared" si="41"/>
        <v>196</v>
      </c>
      <c r="I231" s="8">
        <f t="shared" si="36"/>
        <v>2027</v>
      </c>
      <c r="J231" s="31">
        <f>IF(K231=0,"",IF(_ijour12=0,MIN(DATE(YEAR(_debamort12),MONTH(_debamort12)+(G231-1)*_imois12,_jour12),DATE(YEAR(_debamort12),MONTH(_debamort12)+1+(G231-1)*_imois12,0)),DATE(YEAR(_debamort12),MONTH(_debamort12),_jour12+(G231-1)*_ijour12)))</f>
        <v>46631</v>
      </c>
      <c r="K231" s="156">
        <f t="shared" si="42"/>
        <v>102518.25000000003</v>
      </c>
      <c r="L231" s="153">
        <f>IF(G231&lt;=_noeechmaxi1,ROUND(K231*'Données Projet 1 (2)'!A240,_nbdeci1t),0)</f>
        <v>158.9</v>
      </c>
      <c r="M231" s="152">
        <f>IF(OR(G231&lt;=_differe1t,G231&gt;_noeechmaxi1),IF(_difftotal1t,-L231,0),IF(G231&gt;=_noechremb1t,K231,IF('Données Projet 1 (2)'!B240-(L231*_echfixe1t)&gt;K231-2,K231,'Données Projet 1 (2)'!B240-(L231*_echfixe1t))))+B231</f>
        <v>448.02</v>
      </c>
      <c r="N231" s="154">
        <f t="shared" si="43"/>
        <v>15.6</v>
      </c>
      <c r="O231" s="157">
        <f t="shared" si="37"/>
        <v>622.52</v>
      </c>
      <c r="Q231" s="3"/>
      <c r="R231" s="164"/>
      <c r="S231" s="22"/>
      <c r="T231" s="21"/>
      <c r="U231" s="23"/>
      <c r="V231" s="10"/>
      <c r="W231" s="5" t="str">
        <f t="shared" si="44"/>
        <v/>
      </c>
      <c r="X231" s="7" t="str">
        <f t="shared" si="45"/>
        <v/>
      </c>
      <c r="Y231" s="8" t="str">
        <f t="shared" si="38"/>
        <v/>
      </c>
      <c r="Z231" s="31" t="str">
        <f>IF(AA231=0,"",IF(_ijour122=0,MIN(DATE(YEAR(_debamort122),MONTH(_debamort122)+(W231-1)*_imois122,__jou123),DATE(YEAR(_debamort122),MONTH(_debamort122)+1+(W231-1)*_imois122,0)),DATE(YEAR(_debamort122),MONTH(_debamort122),__jou123+(W231-1)*_ijour122)))</f>
        <v/>
      </c>
      <c r="AA231" s="156">
        <f t="shared" si="46"/>
        <v>0</v>
      </c>
      <c r="AB231" s="153">
        <f>IF(W231&lt;=_noechmaxi1t,ROUND(AA231*'Données Projet 1 (2)'!H240,_nbdeci1t1),0)</f>
        <v>0</v>
      </c>
      <c r="AC231" s="152">
        <f>IF(OR(W231&lt;=_differe1t1t,W231&gt;_noechmaxi1t),IF(_difftotal1t1t,-AB231,0),IF(W231&gt;=_noechremb12,AA231,IF('Données Projet 1 (2)'!I240-(AB231*_echfixe12)&gt;AA231-2,AA231,'Données Projet 1 (2)'!I240-(AB231*_echfixe12))))+R231</f>
        <v>0</v>
      </c>
      <c r="AD231" s="154">
        <f t="shared" si="47"/>
        <v>0</v>
      </c>
      <c r="AE231" s="157">
        <f t="shared" si="39"/>
        <v>0</v>
      </c>
    </row>
    <row r="232" spans="1:31" x14ac:dyDescent="0.2">
      <c r="A232" s="3"/>
      <c r="B232" s="164"/>
      <c r="C232" s="22"/>
      <c r="D232" s="21"/>
      <c r="E232" s="23"/>
      <c r="F232" s="10"/>
      <c r="G232" s="5">
        <f t="shared" si="40"/>
        <v>226</v>
      </c>
      <c r="H232" s="7">
        <f t="shared" si="41"/>
        <v>195</v>
      </c>
      <c r="I232" s="8">
        <f t="shared" si="36"/>
        <v>2027</v>
      </c>
      <c r="J232" s="31">
        <f>IF(K232=0,"",IF(_ijour12=0,MIN(DATE(YEAR(_debamort12),MONTH(_debamort12)+_MoisD+(G232-1)*_imois12,_jour212),DATE(YEAR(_debamort12),MONTH(_debamort12)+_MoisD+1+(G232-1)*_imois12,0)),DATE(YEAR(_debamort12),MONTH(_debamort12),_jour12+(G232-1)*_ijour12)))</f>
        <v>46661</v>
      </c>
      <c r="K232" s="156">
        <f t="shared" si="42"/>
        <v>102070.23000000003</v>
      </c>
      <c r="L232" s="153">
        <f>IF(G232&lt;=_noeechmaxi1,ROUND(K232*'Données Projet 1 (2)'!A241,_nbdeci1t),0)</f>
        <v>158.21</v>
      </c>
      <c r="M232" s="152">
        <f>IF(OR(G232&lt;=_differe1t,G232&gt;_noeechmaxi1),IF(_difftotal1t,-L232,0),IF(G232&gt;=_noechremb1t,K232,IF('Données Projet 1 (2)'!B241-(L232*_echfixe1t)&gt;K232-2,K232,'Données Projet 1 (2)'!B241-(L232*_echfixe1t))))+B232</f>
        <v>448.70999999999992</v>
      </c>
      <c r="N232" s="154">
        <f t="shared" si="43"/>
        <v>15.6</v>
      </c>
      <c r="O232" s="157">
        <f t="shared" si="37"/>
        <v>622.52</v>
      </c>
      <c r="Q232" s="3"/>
      <c r="R232" s="164"/>
      <c r="S232" s="22"/>
      <c r="T232" s="21"/>
      <c r="U232" s="23"/>
      <c r="V232" s="10"/>
      <c r="W232" s="5" t="str">
        <f t="shared" si="44"/>
        <v/>
      </c>
      <c r="X232" s="7" t="str">
        <f t="shared" si="45"/>
        <v/>
      </c>
      <c r="Y232" s="8" t="str">
        <f t="shared" si="38"/>
        <v/>
      </c>
      <c r="Z232" s="31" t="str">
        <f>IF(AA232=0,"",IF(_ijour122=0,MIN(DATE(YEAR(_debamort122),MONTH(_debamort122)+_moisd12+(W232-1)*_imois122,__jou21),DATE(YEAR(_debamort122),MONTH(_debamort122)+_moisd12+1+(W232-1)*_imois122,0)),DATE(YEAR(_debamort122),MONTH(_debamort122),__jou123+(W232-1)*_ijour122)))</f>
        <v/>
      </c>
      <c r="AA232" s="156">
        <f t="shared" si="46"/>
        <v>0</v>
      </c>
      <c r="AB232" s="153">
        <f>IF(W232&lt;=_noechmaxi1t,ROUND(AA232*'Données Projet 1 (2)'!H241,_nbdeci1t1),0)</f>
        <v>0</v>
      </c>
      <c r="AC232" s="152">
        <f>IF(OR(W232&lt;=_differe1t1t,W232&gt;_noechmaxi1t),IF(_difftotal1t1t,-AB232,0),IF(W232&gt;=_noechremb12,AA232,IF('Données Projet 1 (2)'!I241-(AB232*_echfixe12)&gt;AA232-2,AA232,'Données Projet 1 (2)'!I241-(AB232*_echfixe12))))+R232</f>
        <v>0</v>
      </c>
      <c r="AD232" s="154">
        <f t="shared" si="47"/>
        <v>0</v>
      </c>
      <c r="AE232" s="157">
        <f t="shared" si="39"/>
        <v>0</v>
      </c>
    </row>
    <row r="233" spans="1:31" x14ac:dyDescent="0.2">
      <c r="A233" s="3"/>
      <c r="B233" s="164"/>
      <c r="C233" s="22"/>
      <c r="D233" s="21"/>
      <c r="E233" s="23"/>
      <c r="F233" s="10"/>
      <c r="G233" s="5">
        <f t="shared" si="40"/>
        <v>227</v>
      </c>
      <c r="H233" s="7">
        <f t="shared" si="41"/>
        <v>194</v>
      </c>
      <c r="I233" s="8">
        <f t="shared" si="36"/>
        <v>2027</v>
      </c>
      <c r="J233" s="31">
        <f>IF(K233=0,"",IF(_ijour12=0,MIN(DATE(YEAR(_debamort12),MONTH(_debamort12)+(G233-1)*_imois12,_jour12),DATE(YEAR(_debamort12),MONTH(_debamort12)+1+(G233-1)*_imois12,0)),DATE(YEAR(_debamort12),MONTH(_debamort12),_jour12+(G233-1)*_ijour12)))</f>
        <v>46692</v>
      </c>
      <c r="K233" s="156">
        <f t="shared" si="42"/>
        <v>101621.52000000002</v>
      </c>
      <c r="L233" s="153">
        <f>IF(G233&lt;=_noeechmaxi1,ROUND(K233*'Données Projet 1 (2)'!A242,_nbdeci1t),0)</f>
        <v>157.51</v>
      </c>
      <c r="M233" s="152">
        <f>IF(OR(G233&lt;=_differe1t,G233&gt;_noeechmaxi1),IF(_difftotal1t,-L233,0),IF(G233&gt;=_noechremb1t,K233,IF('Données Projet 1 (2)'!B242-(L233*_echfixe1t)&gt;K233-2,K233,'Données Projet 1 (2)'!B242-(L233*_echfixe1t))))+B233</f>
        <v>449.40999999999997</v>
      </c>
      <c r="N233" s="154">
        <f t="shared" si="43"/>
        <v>15.6</v>
      </c>
      <c r="O233" s="157">
        <f t="shared" si="37"/>
        <v>622.52</v>
      </c>
      <c r="Q233" s="3"/>
      <c r="R233" s="164"/>
      <c r="S233" s="22"/>
      <c r="T233" s="21"/>
      <c r="U233" s="23"/>
      <c r="V233" s="10"/>
      <c r="W233" s="5" t="str">
        <f t="shared" si="44"/>
        <v/>
      </c>
      <c r="X233" s="7" t="str">
        <f t="shared" si="45"/>
        <v/>
      </c>
      <c r="Y233" s="8" t="str">
        <f t="shared" si="38"/>
        <v/>
      </c>
      <c r="Z233" s="31" t="str">
        <f>IF(AA233=0,"",IF(_ijour122=0,MIN(DATE(YEAR(_debamort122),MONTH(_debamort122)+(W233-1)*_imois122,__jou123),DATE(YEAR(_debamort122),MONTH(_debamort122)+1+(W233-1)*_imois122,0)),DATE(YEAR(_debamort122),MONTH(_debamort122),__jou123+(W233-1)*_ijour122)))</f>
        <v/>
      </c>
      <c r="AA233" s="156">
        <f t="shared" si="46"/>
        <v>0</v>
      </c>
      <c r="AB233" s="153">
        <f>IF(W233&lt;=_noechmaxi1t,ROUND(AA233*'Données Projet 1 (2)'!H242,_nbdeci1t1),0)</f>
        <v>0</v>
      </c>
      <c r="AC233" s="152">
        <f>IF(OR(W233&lt;=_differe1t1t,W233&gt;_noechmaxi1t),IF(_difftotal1t1t,-AB233,0),IF(W233&gt;=_noechremb12,AA233,IF('Données Projet 1 (2)'!I242-(AB233*_echfixe12)&gt;AA233-2,AA233,'Données Projet 1 (2)'!I242-(AB233*_echfixe12))))+R233</f>
        <v>0</v>
      </c>
      <c r="AD233" s="154">
        <f t="shared" si="47"/>
        <v>0</v>
      </c>
      <c r="AE233" s="157">
        <f t="shared" si="39"/>
        <v>0</v>
      </c>
    </row>
    <row r="234" spans="1:31" x14ac:dyDescent="0.2">
      <c r="A234" s="3"/>
      <c r="B234" s="164"/>
      <c r="C234" s="22"/>
      <c r="D234" s="21"/>
      <c r="E234" s="23"/>
      <c r="F234" s="10"/>
      <c r="G234" s="5">
        <f t="shared" si="40"/>
        <v>228</v>
      </c>
      <c r="H234" s="7">
        <f t="shared" si="41"/>
        <v>193</v>
      </c>
      <c r="I234" s="8">
        <f t="shared" si="36"/>
        <v>2027</v>
      </c>
      <c r="J234" s="31">
        <f>IF(K234=0,"",IF(_ijour12=0,MIN(DATE(YEAR(_debamort12),MONTH(_debamort12)+_MoisD+(G234-1)*_imois12,_jour212),DATE(YEAR(_debamort12),MONTH(_debamort12)+_MoisD+1+(G234-1)*_imois12,0)),DATE(YEAR(_debamort12),MONTH(_debamort12),_jour12+(G234-1)*_ijour12)))</f>
        <v>46722</v>
      </c>
      <c r="K234" s="156">
        <f t="shared" si="42"/>
        <v>101172.11000000002</v>
      </c>
      <c r="L234" s="153">
        <f>IF(G234&lt;=_noeechmaxi1,ROUND(K234*'Données Projet 1 (2)'!A243,_nbdeci1t),0)</f>
        <v>156.82</v>
      </c>
      <c r="M234" s="152">
        <f>IF(OR(G234&lt;=_differe1t,G234&gt;_noeechmaxi1),IF(_difftotal1t,-L234,0),IF(G234&gt;=_noechremb1t,K234,IF('Données Projet 1 (2)'!B243-(L234*_echfixe1t)&gt;K234-2,K234,'Données Projet 1 (2)'!B243-(L234*_echfixe1t))))+B234</f>
        <v>450.09999999999997</v>
      </c>
      <c r="N234" s="154">
        <f t="shared" si="43"/>
        <v>15.6</v>
      </c>
      <c r="O234" s="157">
        <f t="shared" si="37"/>
        <v>622.52</v>
      </c>
      <c r="Q234" s="3"/>
      <c r="R234" s="164"/>
      <c r="S234" s="22"/>
      <c r="T234" s="21"/>
      <c r="U234" s="23"/>
      <c r="V234" s="10"/>
      <c r="W234" s="5" t="str">
        <f t="shared" si="44"/>
        <v/>
      </c>
      <c r="X234" s="7" t="str">
        <f t="shared" si="45"/>
        <v/>
      </c>
      <c r="Y234" s="8" t="str">
        <f t="shared" si="38"/>
        <v/>
      </c>
      <c r="Z234" s="31" t="str">
        <f>IF(AA234=0,"",IF(_ijour122=0,MIN(DATE(YEAR(_debamort122),MONTH(_debamort122)+_moisd12+(W234-1)*_imois122,__jou21),DATE(YEAR(_debamort122),MONTH(_debamort122)+_moisd12+1+(W234-1)*_imois122,0)),DATE(YEAR(_debamort122),MONTH(_debamort122),__jou123+(W234-1)*_ijour122)))</f>
        <v/>
      </c>
      <c r="AA234" s="156">
        <f t="shared" si="46"/>
        <v>0</v>
      </c>
      <c r="AB234" s="153">
        <f>IF(W234&lt;=_noechmaxi1t,ROUND(AA234*'Données Projet 1 (2)'!H243,_nbdeci1t1),0)</f>
        <v>0</v>
      </c>
      <c r="AC234" s="152">
        <f>IF(OR(W234&lt;=_differe1t1t,W234&gt;_noechmaxi1t),IF(_difftotal1t1t,-AB234,0),IF(W234&gt;=_noechremb12,AA234,IF('Données Projet 1 (2)'!I243-(AB234*_echfixe12)&gt;AA234-2,AA234,'Données Projet 1 (2)'!I243-(AB234*_echfixe12))))+R234</f>
        <v>0</v>
      </c>
      <c r="AD234" s="154">
        <f t="shared" si="47"/>
        <v>0</v>
      </c>
      <c r="AE234" s="157">
        <f t="shared" si="39"/>
        <v>0</v>
      </c>
    </row>
    <row r="235" spans="1:31" x14ac:dyDescent="0.2">
      <c r="A235" s="3"/>
      <c r="B235" s="164"/>
      <c r="C235" s="22"/>
      <c r="D235" s="21"/>
      <c r="E235" s="23"/>
      <c r="F235" s="10"/>
      <c r="G235" s="5">
        <f t="shared" si="40"/>
        <v>229</v>
      </c>
      <c r="H235" s="7">
        <f t="shared" si="41"/>
        <v>192</v>
      </c>
      <c r="I235" s="8">
        <f t="shared" si="36"/>
        <v>2028</v>
      </c>
      <c r="J235" s="31">
        <f>IF(K235=0,"",IF(_ijour12=0,MIN(DATE(YEAR(_debamort12),MONTH(_debamort12)+(G235-1)*_imois12,_jour12),DATE(YEAR(_debamort12),MONTH(_debamort12)+1+(G235-1)*_imois12,0)),DATE(YEAR(_debamort12),MONTH(_debamort12),_jour12+(G235-1)*_ijour12)))</f>
        <v>46753</v>
      </c>
      <c r="K235" s="156">
        <f t="shared" si="42"/>
        <v>100722.01000000001</v>
      </c>
      <c r="L235" s="153">
        <f>IF(G235&lt;=_noeechmaxi1,ROUND(K235*'Données Projet 1 (2)'!A244,_nbdeci1t),0)</f>
        <v>156.12</v>
      </c>
      <c r="M235" s="152">
        <f>IF(OR(G235&lt;=_differe1t,G235&gt;_noeechmaxi1),IF(_difftotal1t,-L235,0),IF(G235&gt;=_noechremb1t,K235,IF('Données Projet 1 (2)'!B244-(L235*_echfixe1t)&gt;K235-2,K235,'Données Projet 1 (2)'!B244-(L235*_echfixe1t))))+B235</f>
        <v>450.79999999999995</v>
      </c>
      <c r="N235" s="154">
        <f t="shared" si="43"/>
        <v>15.6</v>
      </c>
      <c r="O235" s="157">
        <f t="shared" si="37"/>
        <v>622.52</v>
      </c>
      <c r="Q235" s="3"/>
      <c r="R235" s="164"/>
      <c r="S235" s="22"/>
      <c r="T235" s="21"/>
      <c r="U235" s="23"/>
      <c r="V235" s="10"/>
      <c r="W235" s="5" t="str">
        <f t="shared" si="44"/>
        <v/>
      </c>
      <c r="X235" s="7" t="str">
        <f t="shared" si="45"/>
        <v/>
      </c>
      <c r="Y235" s="8" t="str">
        <f t="shared" si="38"/>
        <v/>
      </c>
      <c r="Z235" s="31" t="str">
        <f>IF(AA235=0,"",IF(_ijour122=0,MIN(DATE(YEAR(_debamort122),MONTH(_debamort122)+(W235-1)*_imois122,__jou123),DATE(YEAR(_debamort122),MONTH(_debamort122)+1+(W235-1)*_imois122,0)),DATE(YEAR(_debamort122),MONTH(_debamort122),__jou123+(W235-1)*_ijour122)))</f>
        <v/>
      </c>
      <c r="AA235" s="156">
        <f t="shared" si="46"/>
        <v>0</v>
      </c>
      <c r="AB235" s="153">
        <f>IF(W235&lt;=_noechmaxi1t,ROUND(AA235*'Données Projet 1 (2)'!H244,_nbdeci1t1),0)</f>
        <v>0</v>
      </c>
      <c r="AC235" s="152">
        <f>IF(OR(W235&lt;=_differe1t1t,W235&gt;_noechmaxi1t),IF(_difftotal1t1t,-AB235,0),IF(W235&gt;=_noechremb12,AA235,IF('Données Projet 1 (2)'!I244-(AB235*_echfixe12)&gt;AA235-2,AA235,'Données Projet 1 (2)'!I244-(AB235*_echfixe12))))+R235</f>
        <v>0</v>
      </c>
      <c r="AD235" s="154">
        <f t="shared" si="47"/>
        <v>0</v>
      </c>
      <c r="AE235" s="157">
        <f t="shared" si="39"/>
        <v>0</v>
      </c>
    </row>
    <row r="236" spans="1:31" x14ac:dyDescent="0.2">
      <c r="A236" s="3"/>
      <c r="B236" s="164"/>
      <c r="C236" s="22"/>
      <c r="D236" s="21"/>
      <c r="E236" s="23"/>
      <c r="F236" s="10"/>
      <c r="G236" s="5">
        <f t="shared" si="40"/>
        <v>230</v>
      </c>
      <c r="H236" s="7">
        <f t="shared" si="41"/>
        <v>191</v>
      </c>
      <c r="I236" s="8">
        <f t="shared" si="36"/>
        <v>2028</v>
      </c>
      <c r="J236" s="31">
        <f>IF(K236=0,"",IF(_ijour12=0,MIN(DATE(YEAR(_debamort12),MONTH(_debamort12)+_MoisD+(G236-1)*_imois12,_jour212),DATE(YEAR(_debamort12),MONTH(_debamort12)+_MoisD+1+(G236-1)*_imois12,0)),DATE(YEAR(_debamort12),MONTH(_debamort12),_jour12+(G236-1)*_ijour12)))</f>
        <v>46784</v>
      </c>
      <c r="K236" s="156">
        <f t="shared" si="42"/>
        <v>100271.21</v>
      </c>
      <c r="L236" s="153">
        <f>IF(G236&lt;=_noeechmaxi1,ROUND(K236*'Données Projet 1 (2)'!A245,_nbdeci1t),0)</f>
        <v>155.41999999999999</v>
      </c>
      <c r="M236" s="152">
        <f>IF(OR(G236&lt;=_differe1t,G236&gt;_noeechmaxi1),IF(_difftotal1t,-L236,0),IF(G236&gt;=_noechremb1t,K236,IF('Données Projet 1 (2)'!B245-(L236*_echfixe1t)&gt;K236-2,K236,'Données Projet 1 (2)'!B245-(L236*_echfixe1t))))+B236</f>
        <v>451.5</v>
      </c>
      <c r="N236" s="154">
        <f t="shared" si="43"/>
        <v>15.6</v>
      </c>
      <c r="O236" s="157">
        <f t="shared" si="37"/>
        <v>622.52</v>
      </c>
      <c r="Q236" s="3"/>
      <c r="R236" s="164"/>
      <c r="S236" s="22"/>
      <c r="T236" s="21"/>
      <c r="U236" s="23"/>
      <c r="V236" s="10"/>
      <c r="W236" s="5" t="str">
        <f t="shared" si="44"/>
        <v/>
      </c>
      <c r="X236" s="7" t="str">
        <f t="shared" si="45"/>
        <v/>
      </c>
      <c r="Y236" s="8" t="str">
        <f t="shared" si="38"/>
        <v/>
      </c>
      <c r="Z236" s="31" t="str">
        <f>IF(AA236=0,"",IF(_ijour122=0,MIN(DATE(YEAR(_debamort122),MONTH(_debamort122)+_moisd12+(W236-1)*_imois122,__jou21),DATE(YEAR(_debamort122),MONTH(_debamort122)+_moisd12+1+(W236-1)*_imois122,0)),DATE(YEAR(_debamort122),MONTH(_debamort122),__jou123+(W236-1)*_ijour122)))</f>
        <v/>
      </c>
      <c r="AA236" s="156">
        <f t="shared" si="46"/>
        <v>0</v>
      </c>
      <c r="AB236" s="153">
        <f>IF(W236&lt;=_noechmaxi1t,ROUND(AA236*'Données Projet 1 (2)'!H245,_nbdeci1t1),0)</f>
        <v>0</v>
      </c>
      <c r="AC236" s="152">
        <f>IF(OR(W236&lt;=_differe1t1t,W236&gt;_noechmaxi1t),IF(_difftotal1t1t,-AB236,0),IF(W236&gt;=_noechremb12,AA236,IF('Données Projet 1 (2)'!I245-(AB236*_echfixe12)&gt;AA236-2,AA236,'Données Projet 1 (2)'!I245-(AB236*_echfixe12))))+R236</f>
        <v>0</v>
      </c>
      <c r="AD236" s="154">
        <f t="shared" si="47"/>
        <v>0</v>
      </c>
      <c r="AE236" s="157">
        <f t="shared" si="39"/>
        <v>0</v>
      </c>
    </row>
    <row r="237" spans="1:31" x14ac:dyDescent="0.2">
      <c r="A237" s="3"/>
      <c r="B237" s="164"/>
      <c r="C237" s="22"/>
      <c r="D237" s="21"/>
      <c r="E237" s="23"/>
      <c r="F237" s="10"/>
      <c r="G237" s="5">
        <f t="shared" si="40"/>
        <v>231</v>
      </c>
      <c r="H237" s="7">
        <f t="shared" si="41"/>
        <v>190</v>
      </c>
      <c r="I237" s="8">
        <f t="shared" si="36"/>
        <v>2028</v>
      </c>
      <c r="J237" s="31">
        <f>IF(K237=0,"",IF(_ijour12=0,MIN(DATE(YEAR(_debamort12),MONTH(_debamort12)+(G237-1)*_imois12,_jour12),DATE(YEAR(_debamort12),MONTH(_debamort12)+1+(G237-1)*_imois12,0)),DATE(YEAR(_debamort12),MONTH(_debamort12),_jour12+(G237-1)*_ijour12)))</f>
        <v>46813</v>
      </c>
      <c r="K237" s="156">
        <f t="shared" si="42"/>
        <v>99819.71</v>
      </c>
      <c r="L237" s="153">
        <f>IF(G237&lt;=_noeechmaxi1,ROUND(K237*'Données Projet 1 (2)'!A246,_nbdeci1t),0)</f>
        <v>154.72</v>
      </c>
      <c r="M237" s="152">
        <f>IF(OR(G237&lt;=_differe1t,G237&gt;_noeechmaxi1),IF(_difftotal1t,-L237,0),IF(G237&gt;=_noechremb1t,K237,IF('Données Projet 1 (2)'!B246-(L237*_echfixe1t)&gt;K237-2,K237,'Données Projet 1 (2)'!B246-(L237*_echfixe1t))))+B237</f>
        <v>452.19999999999993</v>
      </c>
      <c r="N237" s="154">
        <f t="shared" si="43"/>
        <v>15.6</v>
      </c>
      <c r="O237" s="157">
        <f t="shared" si="37"/>
        <v>622.52</v>
      </c>
      <c r="Q237" s="3"/>
      <c r="R237" s="164"/>
      <c r="S237" s="22"/>
      <c r="T237" s="21"/>
      <c r="U237" s="23"/>
      <c r="V237" s="10"/>
      <c r="W237" s="5" t="str">
        <f t="shared" si="44"/>
        <v/>
      </c>
      <c r="X237" s="7" t="str">
        <f t="shared" si="45"/>
        <v/>
      </c>
      <c r="Y237" s="8" t="str">
        <f t="shared" si="38"/>
        <v/>
      </c>
      <c r="Z237" s="31" t="str">
        <f>IF(AA237=0,"",IF(_ijour122=0,MIN(DATE(YEAR(_debamort122),MONTH(_debamort122)+(W237-1)*_imois122,__jou123),DATE(YEAR(_debamort122),MONTH(_debamort122)+1+(W237-1)*_imois122,0)),DATE(YEAR(_debamort122),MONTH(_debamort122),__jou123+(W237-1)*_ijour122)))</f>
        <v/>
      </c>
      <c r="AA237" s="156">
        <f t="shared" si="46"/>
        <v>0</v>
      </c>
      <c r="AB237" s="153">
        <f>IF(W237&lt;=_noechmaxi1t,ROUND(AA237*'Données Projet 1 (2)'!H246,_nbdeci1t1),0)</f>
        <v>0</v>
      </c>
      <c r="AC237" s="152">
        <f>IF(OR(W237&lt;=_differe1t1t,W237&gt;_noechmaxi1t),IF(_difftotal1t1t,-AB237,0),IF(W237&gt;=_noechremb12,AA237,IF('Données Projet 1 (2)'!I246-(AB237*_echfixe12)&gt;AA237-2,AA237,'Données Projet 1 (2)'!I246-(AB237*_echfixe12))))+R237</f>
        <v>0</v>
      </c>
      <c r="AD237" s="154">
        <f t="shared" si="47"/>
        <v>0</v>
      </c>
      <c r="AE237" s="157">
        <f t="shared" si="39"/>
        <v>0</v>
      </c>
    </row>
    <row r="238" spans="1:31" x14ac:dyDescent="0.2">
      <c r="A238" s="3"/>
      <c r="B238" s="164"/>
      <c r="C238" s="22"/>
      <c r="D238" s="21"/>
      <c r="E238" s="23"/>
      <c r="F238" s="10"/>
      <c r="G238" s="5">
        <f t="shared" si="40"/>
        <v>232</v>
      </c>
      <c r="H238" s="7">
        <f t="shared" si="41"/>
        <v>189</v>
      </c>
      <c r="I238" s="8">
        <f t="shared" si="36"/>
        <v>2028</v>
      </c>
      <c r="J238" s="31">
        <f>IF(K238=0,"",IF(_ijour12=0,MIN(DATE(YEAR(_debamort12),MONTH(_debamort12)+_MoisD+(G238-1)*_imois12,_jour212),DATE(YEAR(_debamort12),MONTH(_debamort12)+_MoisD+1+(G238-1)*_imois12,0)),DATE(YEAR(_debamort12),MONTH(_debamort12),_jour12+(G238-1)*_ijour12)))</f>
        <v>46844</v>
      </c>
      <c r="K238" s="156">
        <f t="shared" si="42"/>
        <v>99367.510000000009</v>
      </c>
      <c r="L238" s="153">
        <f>IF(G238&lt;=_noeechmaxi1,ROUND(K238*'Données Projet 1 (2)'!A247,_nbdeci1t),0)</f>
        <v>154.02000000000001</v>
      </c>
      <c r="M238" s="152">
        <f>IF(OR(G238&lt;=_differe1t,G238&gt;_noeechmaxi1),IF(_difftotal1t,-L238,0),IF(G238&gt;=_noechremb1t,K238,IF('Données Projet 1 (2)'!B247-(L238*_echfixe1t)&gt;K238-2,K238,'Données Projet 1 (2)'!B247-(L238*_echfixe1t))))+B238</f>
        <v>452.9</v>
      </c>
      <c r="N238" s="154">
        <f t="shared" si="43"/>
        <v>15.6</v>
      </c>
      <c r="O238" s="157">
        <f t="shared" si="37"/>
        <v>622.52</v>
      </c>
      <c r="Q238" s="3"/>
      <c r="R238" s="164"/>
      <c r="S238" s="22"/>
      <c r="T238" s="21"/>
      <c r="U238" s="23"/>
      <c r="V238" s="10"/>
      <c r="W238" s="5" t="str">
        <f t="shared" si="44"/>
        <v/>
      </c>
      <c r="X238" s="7" t="str">
        <f t="shared" si="45"/>
        <v/>
      </c>
      <c r="Y238" s="8" t="str">
        <f t="shared" si="38"/>
        <v/>
      </c>
      <c r="Z238" s="31" t="str">
        <f>IF(AA238=0,"",IF(_ijour122=0,MIN(DATE(YEAR(_debamort122),MONTH(_debamort122)+_moisd12+(W238-1)*_imois122,__jou21),DATE(YEAR(_debamort122),MONTH(_debamort122)+_moisd12+1+(W238-1)*_imois122,0)),DATE(YEAR(_debamort122),MONTH(_debamort122),__jou123+(W238-1)*_ijour122)))</f>
        <v/>
      </c>
      <c r="AA238" s="156">
        <f t="shared" si="46"/>
        <v>0</v>
      </c>
      <c r="AB238" s="153">
        <f>IF(W238&lt;=_noechmaxi1t,ROUND(AA238*'Données Projet 1 (2)'!H247,_nbdeci1t1),0)</f>
        <v>0</v>
      </c>
      <c r="AC238" s="152">
        <f>IF(OR(W238&lt;=_differe1t1t,W238&gt;_noechmaxi1t),IF(_difftotal1t1t,-AB238,0),IF(W238&gt;=_noechremb12,AA238,IF('Données Projet 1 (2)'!I247-(AB238*_echfixe12)&gt;AA238-2,AA238,'Données Projet 1 (2)'!I247-(AB238*_echfixe12))))+R238</f>
        <v>0</v>
      </c>
      <c r="AD238" s="154">
        <f t="shared" si="47"/>
        <v>0</v>
      </c>
      <c r="AE238" s="157">
        <f t="shared" si="39"/>
        <v>0</v>
      </c>
    </row>
    <row r="239" spans="1:31" x14ac:dyDescent="0.2">
      <c r="A239" s="3"/>
      <c r="B239" s="164"/>
      <c r="C239" s="22"/>
      <c r="D239" s="21"/>
      <c r="E239" s="23"/>
      <c r="F239" s="10"/>
      <c r="G239" s="5">
        <f t="shared" si="40"/>
        <v>233</v>
      </c>
      <c r="H239" s="7">
        <f t="shared" si="41"/>
        <v>188</v>
      </c>
      <c r="I239" s="8">
        <f t="shared" si="36"/>
        <v>2028</v>
      </c>
      <c r="J239" s="31">
        <f>IF(K239=0,"",IF(_ijour12=0,MIN(DATE(YEAR(_debamort12),MONTH(_debamort12)+(G239-1)*_imois12,_jour12),DATE(YEAR(_debamort12),MONTH(_debamort12)+1+(G239-1)*_imois12,0)),DATE(YEAR(_debamort12),MONTH(_debamort12),_jour12+(G239-1)*_ijour12)))</f>
        <v>46874</v>
      </c>
      <c r="K239" s="156">
        <f t="shared" si="42"/>
        <v>98914.610000000015</v>
      </c>
      <c r="L239" s="153">
        <f>IF(G239&lt;=_noeechmaxi1,ROUND(K239*'Données Projet 1 (2)'!A248,_nbdeci1t),0)</f>
        <v>153.32</v>
      </c>
      <c r="M239" s="152">
        <f>IF(OR(G239&lt;=_differe1t,G239&gt;_noeechmaxi1),IF(_difftotal1t,-L239,0),IF(G239&gt;=_noechremb1t,K239,IF('Données Projet 1 (2)'!B248-(L239*_echfixe1t)&gt;K239-2,K239,'Données Projet 1 (2)'!B248-(L239*_echfixe1t))))+B239</f>
        <v>453.59999999999997</v>
      </c>
      <c r="N239" s="154">
        <f t="shared" si="43"/>
        <v>15.6</v>
      </c>
      <c r="O239" s="157">
        <f t="shared" si="37"/>
        <v>622.52</v>
      </c>
      <c r="Q239" s="3"/>
      <c r="R239" s="164"/>
      <c r="S239" s="22"/>
      <c r="T239" s="21"/>
      <c r="U239" s="23"/>
      <c r="V239" s="10"/>
      <c r="W239" s="5" t="str">
        <f t="shared" si="44"/>
        <v/>
      </c>
      <c r="X239" s="7" t="str">
        <f t="shared" si="45"/>
        <v/>
      </c>
      <c r="Y239" s="8" t="str">
        <f t="shared" si="38"/>
        <v/>
      </c>
      <c r="Z239" s="31" t="str">
        <f>IF(AA239=0,"",IF(_ijour122=0,MIN(DATE(YEAR(_debamort122),MONTH(_debamort122)+(W239-1)*_imois122,__jou123),DATE(YEAR(_debamort122),MONTH(_debamort122)+1+(W239-1)*_imois122,0)),DATE(YEAR(_debamort122),MONTH(_debamort122),__jou123+(W239-1)*_ijour122)))</f>
        <v/>
      </c>
      <c r="AA239" s="156">
        <f t="shared" si="46"/>
        <v>0</v>
      </c>
      <c r="AB239" s="153">
        <f>IF(W239&lt;=_noechmaxi1t,ROUND(AA239*'Données Projet 1 (2)'!H248,_nbdeci1t1),0)</f>
        <v>0</v>
      </c>
      <c r="AC239" s="152">
        <f>IF(OR(W239&lt;=_differe1t1t,W239&gt;_noechmaxi1t),IF(_difftotal1t1t,-AB239,0),IF(W239&gt;=_noechremb12,AA239,IF('Données Projet 1 (2)'!I248-(AB239*_echfixe12)&gt;AA239-2,AA239,'Données Projet 1 (2)'!I248-(AB239*_echfixe12))))+R239</f>
        <v>0</v>
      </c>
      <c r="AD239" s="154">
        <f t="shared" si="47"/>
        <v>0</v>
      </c>
      <c r="AE239" s="157">
        <f t="shared" si="39"/>
        <v>0</v>
      </c>
    </row>
    <row r="240" spans="1:31" x14ac:dyDescent="0.2">
      <c r="A240" s="3"/>
      <c r="B240" s="164"/>
      <c r="C240" s="22"/>
      <c r="D240" s="21"/>
      <c r="E240" s="23"/>
      <c r="F240" s="10"/>
      <c r="G240" s="5">
        <f t="shared" si="40"/>
        <v>234</v>
      </c>
      <c r="H240" s="7">
        <f t="shared" si="41"/>
        <v>187</v>
      </c>
      <c r="I240" s="8">
        <f t="shared" si="36"/>
        <v>2028</v>
      </c>
      <c r="J240" s="31">
        <f>IF(K240=0,"",IF(_ijour12=0,MIN(DATE(YEAR(_debamort12),MONTH(_debamort12)+_MoisD+(G240-1)*_imois12,_jour212),DATE(YEAR(_debamort12),MONTH(_debamort12)+_MoisD+1+(G240-1)*_imois12,0)),DATE(YEAR(_debamort12),MONTH(_debamort12),_jour12+(G240-1)*_ijour12)))</f>
        <v>46905</v>
      </c>
      <c r="K240" s="156">
        <f t="shared" si="42"/>
        <v>98461.010000000009</v>
      </c>
      <c r="L240" s="153">
        <f>IF(G240&lt;=_noeechmaxi1,ROUND(K240*'Données Projet 1 (2)'!A249,_nbdeci1t),0)</f>
        <v>152.61000000000001</v>
      </c>
      <c r="M240" s="152">
        <f>IF(OR(G240&lt;=_differe1t,G240&gt;_noeechmaxi1),IF(_difftotal1t,-L240,0),IF(G240&gt;=_noechremb1t,K240,IF('Données Projet 1 (2)'!B249-(L240*_echfixe1t)&gt;K240-2,K240,'Données Projet 1 (2)'!B249-(L240*_echfixe1t))))+B240</f>
        <v>454.30999999999995</v>
      </c>
      <c r="N240" s="154">
        <f t="shared" si="43"/>
        <v>15.6</v>
      </c>
      <c r="O240" s="157">
        <f t="shared" si="37"/>
        <v>622.52</v>
      </c>
      <c r="Q240" s="3"/>
      <c r="R240" s="164"/>
      <c r="S240" s="22"/>
      <c r="T240" s="21"/>
      <c r="U240" s="23"/>
      <c r="V240" s="10"/>
      <c r="W240" s="5" t="str">
        <f t="shared" si="44"/>
        <v/>
      </c>
      <c r="X240" s="7" t="str">
        <f t="shared" si="45"/>
        <v/>
      </c>
      <c r="Y240" s="8" t="str">
        <f t="shared" si="38"/>
        <v/>
      </c>
      <c r="Z240" s="31" t="str">
        <f>IF(AA240=0,"",IF(_ijour122=0,MIN(DATE(YEAR(_debamort122),MONTH(_debamort122)+_moisd12+(W240-1)*_imois122,__jou21),DATE(YEAR(_debamort122),MONTH(_debamort122)+_moisd12+1+(W240-1)*_imois122,0)),DATE(YEAR(_debamort122),MONTH(_debamort122),__jou123+(W240-1)*_ijour122)))</f>
        <v/>
      </c>
      <c r="AA240" s="156">
        <f t="shared" si="46"/>
        <v>0</v>
      </c>
      <c r="AB240" s="153">
        <f>IF(W240&lt;=_noechmaxi1t,ROUND(AA240*'Données Projet 1 (2)'!H249,_nbdeci1t1),0)</f>
        <v>0</v>
      </c>
      <c r="AC240" s="152">
        <f>IF(OR(W240&lt;=_differe1t1t,W240&gt;_noechmaxi1t),IF(_difftotal1t1t,-AB240,0),IF(W240&gt;=_noechremb12,AA240,IF('Données Projet 1 (2)'!I249-(AB240*_echfixe12)&gt;AA240-2,AA240,'Données Projet 1 (2)'!I249-(AB240*_echfixe12))))+R240</f>
        <v>0</v>
      </c>
      <c r="AD240" s="154">
        <f t="shared" si="47"/>
        <v>0</v>
      </c>
      <c r="AE240" s="157">
        <f t="shared" si="39"/>
        <v>0</v>
      </c>
    </row>
    <row r="241" spans="1:31" x14ac:dyDescent="0.2">
      <c r="A241" s="3"/>
      <c r="B241" s="164"/>
      <c r="C241" s="22"/>
      <c r="D241" s="21"/>
      <c r="E241" s="23"/>
      <c r="F241" s="10"/>
      <c r="G241" s="5">
        <f t="shared" si="40"/>
        <v>235</v>
      </c>
      <c r="H241" s="7">
        <f t="shared" si="41"/>
        <v>186</v>
      </c>
      <c r="I241" s="8">
        <f t="shared" si="36"/>
        <v>2028</v>
      </c>
      <c r="J241" s="31">
        <f>IF(K241=0,"",IF(_ijour12=0,MIN(DATE(YEAR(_debamort12),MONTH(_debamort12)+(G241-1)*_imois12,_jour12),DATE(YEAR(_debamort12),MONTH(_debamort12)+1+(G241-1)*_imois12,0)),DATE(YEAR(_debamort12),MONTH(_debamort12),_jour12+(G241-1)*_ijour12)))</f>
        <v>46935</v>
      </c>
      <c r="K241" s="156">
        <f t="shared" si="42"/>
        <v>98006.700000000012</v>
      </c>
      <c r="L241" s="153">
        <f>IF(G241&lt;=_noeechmaxi1,ROUND(K241*'Données Projet 1 (2)'!A250,_nbdeci1t),0)</f>
        <v>151.91</v>
      </c>
      <c r="M241" s="152">
        <f>IF(OR(G241&lt;=_differe1t,G241&gt;_noeechmaxi1),IF(_difftotal1t,-L241,0),IF(G241&gt;=_noechremb1t,K241,IF('Données Projet 1 (2)'!B250-(L241*_echfixe1t)&gt;K241-2,K241,'Données Projet 1 (2)'!B250-(L241*_echfixe1t))))+B241</f>
        <v>455.01</v>
      </c>
      <c r="N241" s="154">
        <f t="shared" si="43"/>
        <v>15.6</v>
      </c>
      <c r="O241" s="157">
        <f t="shared" si="37"/>
        <v>622.52</v>
      </c>
      <c r="Q241" s="3"/>
      <c r="R241" s="164"/>
      <c r="S241" s="22"/>
      <c r="T241" s="21"/>
      <c r="U241" s="23"/>
      <c r="V241" s="10"/>
      <c r="W241" s="5" t="str">
        <f t="shared" si="44"/>
        <v/>
      </c>
      <c r="X241" s="7" t="str">
        <f t="shared" si="45"/>
        <v/>
      </c>
      <c r="Y241" s="8" t="str">
        <f t="shared" si="38"/>
        <v/>
      </c>
      <c r="Z241" s="31" t="str">
        <f>IF(AA241=0,"",IF(_ijour122=0,MIN(DATE(YEAR(_debamort122),MONTH(_debamort122)+(W241-1)*_imois122,__jou123),DATE(YEAR(_debamort122),MONTH(_debamort122)+1+(W241-1)*_imois122,0)),DATE(YEAR(_debamort122),MONTH(_debamort122),__jou123+(W241-1)*_ijour122)))</f>
        <v/>
      </c>
      <c r="AA241" s="156">
        <f t="shared" si="46"/>
        <v>0</v>
      </c>
      <c r="AB241" s="153">
        <f>IF(W241&lt;=_noechmaxi1t,ROUND(AA241*'Données Projet 1 (2)'!H250,_nbdeci1t1),0)</f>
        <v>0</v>
      </c>
      <c r="AC241" s="152">
        <f>IF(OR(W241&lt;=_differe1t1t,W241&gt;_noechmaxi1t),IF(_difftotal1t1t,-AB241,0),IF(W241&gt;=_noechremb12,AA241,IF('Données Projet 1 (2)'!I250-(AB241*_echfixe12)&gt;AA241-2,AA241,'Données Projet 1 (2)'!I250-(AB241*_echfixe12))))+R241</f>
        <v>0</v>
      </c>
      <c r="AD241" s="154">
        <f t="shared" si="47"/>
        <v>0</v>
      </c>
      <c r="AE241" s="157">
        <f t="shared" si="39"/>
        <v>0</v>
      </c>
    </row>
    <row r="242" spans="1:31" x14ac:dyDescent="0.2">
      <c r="A242" s="3"/>
      <c r="B242" s="164"/>
      <c r="C242" s="22"/>
      <c r="D242" s="21"/>
      <c r="E242" s="23"/>
      <c r="F242" s="10"/>
      <c r="G242" s="5">
        <f t="shared" si="40"/>
        <v>236</v>
      </c>
      <c r="H242" s="7">
        <f t="shared" si="41"/>
        <v>185</v>
      </c>
      <c r="I242" s="8">
        <f t="shared" si="36"/>
        <v>2028</v>
      </c>
      <c r="J242" s="31">
        <f>IF(K242=0,"",IF(_ijour12=0,MIN(DATE(YEAR(_debamort12),MONTH(_debamort12)+_MoisD+(G242-1)*_imois12,_jour212),DATE(YEAR(_debamort12),MONTH(_debamort12)+_MoisD+1+(G242-1)*_imois12,0)),DATE(YEAR(_debamort12),MONTH(_debamort12),_jour12+(G242-1)*_ijour12)))</f>
        <v>46966</v>
      </c>
      <c r="K242" s="156">
        <f t="shared" si="42"/>
        <v>97551.690000000017</v>
      </c>
      <c r="L242" s="153">
        <f>IF(G242&lt;=_noeechmaxi1,ROUND(K242*'Données Projet 1 (2)'!A251,_nbdeci1t),0)</f>
        <v>151.21</v>
      </c>
      <c r="M242" s="152">
        <f>IF(OR(G242&lt;=_differe1t,G242&gt;_noeechmaxi1),IF(_difftotal1t,-L242,0),IF(G242&gt;=_noechremb1t,K242,IF('Données Projet 1 (2)'!B251-(L242*_echfixe1t)&gt;K242-2,K242,'Données Projet 1 (2)'!B251-(L242*_echfixe1t))))+B242</f>
        <v>455.70999999999992</v>
      </c>
      <c r="N242" s="154">
        <f t="shared" si="43"/>
        <v>15.6</v>
      </c>
      <c r="O242" s="157">
        <f t="shared" si="37"/>
        <v>622.52</v>
      </c>
      <c r="Q242" s="3"/>
      <c r="R242" s="164"/>
      <c r="S242" s="22"/>
      <c r="T242" s="21"/>
      <c r="U242" s="23"/>
      <c r="V242" s="10"/>
      <c r="W242" s="5" t="str">
        <f t="shared" si="44"/>
        <v/>
      </c>
      <c r="X242" s="7" t="str">
        <f t="shared" si="45"/>
        <v/>
      </c>
      <c r="Y242" s="8" t="str">
        <f t="shared" si="38"/>
        <v/>
      </c>
      <c r="Z242" s="31" t="str">
        <f>IF(AA242=0,"",IF(_ijour122=0,MIN(DATE(YEAR(_debamort122),MONTH(_debamort122)+_moisd12+(W242-1)*_imois122,__jou21),DATE(YEAR(_debamort122),MONTH(_debamort122)+_moisd12+1+(W242-1)*_imois122,0)),DATE(YEAR(_debamort122),MONTH(_debamort122),__jou123+(W242-1)*_ijour122)))</f>
        <v/>
      </c>
      <c r="AA242" s="156">
        <f t="shared" si="46"/>
        <v>0</v>
      </c>
      <c r="AB242" s="153">
        <f>IF(W242&lt;=_noechmaxi1t,ROUND(AA242*'Données Projet 1 (2)'!H251,_nbdeci1t1),0)</f>
        <v>0</v>
      </c>
      <c r="AC242" s="152">
        <f>IF(OR(W242&lt;=_differe1t1t,W242&gt;_noechmaxi1t),IF(_difftotal1t1t,-AB242,0),IF(W242&gt;=_noechremb12,AA242,IF('Données Projet 1 (2)'!I251-(AB242*_echfixe12)&gt;AA242-2,AA242,'Données Projet 1 (2)'!I251-(AB242*_echfixe12))))+R242</f>
        <v>0</v>
      </c>
      <c r="AD242" s="154">
        <f t="shared" si="47"/>
        <v>0</v>
      </c>
      <c r="AE242" s="157">
        <f t="shared" si="39"/>
        <v>0</v>
      </c>
    </row>
    <row r="243" spans="1:31" x14ac:dyDescent="0.2">
      <c r="A243" s="3"/>
      <c r="B243" s="164"/>
      <c r="C243" s="22"/>
      <c r="D243" s="21"/>
      <c r="E243" s="23"/>
      <c r="F243" s="10"/>
      <c r="G243" s="5">
        <f t="shared" si="40"/>
        <v>237</v>
      </c>
      <c r="H243" s="7">
        <f t="shared" si="41"/>
        <v>184</v>
      </c>
      <c r="I243" s="8">
        <f t="shared" si="36"/>
        <v>2028</v>
      </c>
      <c r="J243" s="31">
        <f>IF(K243=0,"",IF(_ijour12=0,MIN(DATE(YEAR(_debamort12),MONTH(_debamort12)+(G243-1)*_imois12,_jour12),DATE(YEAR(_debamort12),MONTH(_debamort12)+1+(G243-1)*_imois12,0)),DATE(YEAR(_debamort12),MONTH(_debamort12),_jour12+(G243-1)*_ijour12)))</f>
        <v>46997</v>
      </c>
      <c r="K243" s="156">
        <f t="shared" si="42"/>
        <v>97095.98000000001</v>
      </c>
      <c r="L243" s="153">
        <f>IF(G243&lt;=_noeechmaxi1,ROUND(K243*'Données Projet 1 (2)'!A252,_nbdeci1t),0)</f>
        <v>150.5</v>
      </c>
      <c r="M243" s="152">
        <f>IF(OR(G243&lt;=_differe1t,G243&gt;_noeechmaxi1),IF(_difftotal1t,-L243,0),IF(G243&gt;=_noechremb1t,K243,IF('Données Projet 1 (2)'!B252-(L243*_echfixe1t)&gt;K243-2,K243,'Données Projet 1 (2)'!B252-(L243*_echfixe1t))))+B243</f>
        <v>456.41999999999996</v>
      </c>
      <c r="N243" s="154">
        <f t="shared" si="43"/>
        <v>15.6</v>
      </c>
      <c r="O243" s="157">
        <f t="shared" si="37"/>
        <v>622.52</v>
      </c>
      <c r="Q243" s="3"/>
      <c r="R243" s="164"/>
      <c r="S243" s="22"/>
      <c r="T243" s="21"/>
      <c r="U243" s="23"/>
      <c r="V243" s="10"/>
      <c r="W243" s="5" t="str">
        <f t="shared" si="44"/>
        <v/>
      </c>
      <c r="X243" s="7" t="str">
        <f t="shared" si="45"/>
        <v/>
      </c>
      <c r="Y243" s="8" t="str">
        <f t="shared" si="38"/>
        <v/>
      </c>
      <c r="Z243" s="31" t="str">
        <f>IF(AA243=0,"",IF(_ijour122=0,MIN(DATE(YEAR(_debamort122),MONTH(_debamort122)+(W243-1)*_imois122,__jou123),DATE(YEAR(_debamort122),MONTH(_debamort122)+1+(W243-1)*_imois122,0)),DATE(YEAR(_debamort122),MONTH(_debamort122),__jou123+(W243-1)*_ijour122)))</f>
        <v/>
      </c>
      <c r="AA243" s="156">
        <f t="shared" si="46"/>
        <v>0</v>
      </c>
      <c r="AB243" s="153">
        <f>IF(W243&lt;=_noechmaxi1t,ROUND(AA243*'Données Projet 1 (2)'!H252,_nbdeci1t1),0)</f>
        <v>0</v>
      </c>
      <c r="AC243" s="152">
        <f>IF(OR(W243&lt;=_differe1t1t,W243&gt;_noechmaxi1t),IF(_difftotal1t1t,-AB243,0),IF(W243&gt;=_noechremb12,AA243,IF('Données Projet 1 (2)'!I252-(AB243*_echfixe12)&gt;AA243-2,AA243,'Données Projet 1 (2)'!I252-(AB243*_echfixe12))))+R243</f>
        <v>0</v>
      </c>
      <c r="AD243" s="154">
        <f t="shared" si="47"/>
        <v>0</v>
      </c>
      <c r="AE243" s="157">
        <f t="shared" si="39"/>
        <v>0</v>
      </c>
    </row>
    <row r="244" spans="1:31" x14ac:dyDescent="0.2">
      <c r="A244" s="3"/>
      <c r="B244" s="164"/>
      <c r="C244" s="22"/>
      <c r="D244" s="21"/>
      <c r="E244" s="23"/>
      <c r="F244" s="10"/>
      <c r="G244" s="5">
        <f t="shared" si="40"/>
        <v>238</v>
      </c>
      <c r="H244" s="7">
        <f t="shared" si="41"/>
        <v>183</v>
      </c>
      <c r="I244" s="8">
        <f t="shared" si="36"/>
        <v>2028</v>
      </c>
      <c r="J244" s="31">
        <f>IF(K244=0,"",IF(_ijour12=0,MIN(DATE(YEAR(_debamort12),MONTH(_debamort12)+_MoisD+(G244-1)*_imois12,_jour212),DATE(YEAR(_debamort12),MONTH(_debamort12)+_MoisD+1+(G244-1)*_imois12,0)),DATE(YEAR(_debamort12),MONTH(_debamort12),_jour12+(G244-1)*_ijour12)))</f>
        <v>47027</v>
      </c>
      <c r="K244" s="156">
        <f t="shared" si="42"/>
        <v>96639.560000000012</v>
      </c>
      <c r="L244" s="153">
        <f>IF(G244&lt;=_noeechmaxi1,ROUND(K244*'Données Projet 1 (2)'!A253,_nbdeci1t),0)</f>
        <v>149.79</v>
      </c>
      <c r="M244" s="152">
        <f>IF(OR(G244&lt;=_differe1t,G244&gt;_noeechmaxi1),IF(_difftotal1t,-L244,0),IF(G244&gt;=_noechremb1t,K244,IF('Données Projet 1 (2)'!B253-(L244*_echfixe1t)&gt;K244-2,K244,'Données Projet 1 (2)'!B253-(L244*_echfixe1t))))+B244</f>
        <v>457.13</v>
      </c>
      <c r="N244" s="154">
        <f t="shared" si="43"/>
        <v>15.6</v>
      </c>
      <c r="O244" s="157">
        <f t="shared" si="37"/>
        <v>622.52</v>
      </c>
      <c r="Q244" s="3"/>
      <c r="R244" s="164"/>
      <c r="S244" s="22"/>
      <c r="T244" s="21"/>
      <c r="U244" s="23"/>
      <c r="V244" s="10"/>
      <c r="W244" s="5" t="str">
        <f t="shared" si="44"/>
        <v/>
      </c>
      <c r="X244" s="7" t="str">
        <f t="shared" si="45"/>
        <v/>
      </c>
      <c r="Y244" s="8" t="str">
        <f t="shared" si="38"/>
        <v/>
      </c>
      <c r="Z244" s="31" t="str">
        <f>IF(AA244=0,"",IF(_ijour122=0,MIN(DATE(YEAR(_debamort122),MONTH(_debamort122)+_moisd12+(W244-1)*_imois122,__jou21),DATE(YEAR(_debamort122),MONTH(_debamort122)+_moisd12+1+(W244-1)*_imois122,0)),DATE(YEAR(_debamort122),MONTH(_debamort122),__jou123+(W244-1)*_ijour122)))</f>
        <v/>
      </c>
      <c r="AA244" s="156">
        <f t="shared" si="46"/>
        <v>0</v>
      </c>
      <c r="AB244" s="153">
        <f>IF(W244&lt;=_noechmaxi1t,ROUND(AA244*'Données Projet 1 (2)'!H253,_nbdeci1t1),0)</f>
        <v>0</v>
      </c>
      <c r="AC244" s="152">
        <f>IF(OR(W244&lt;=_differe1t1t,W244&gt;_noechmaxi1t),IF(_difftotal1t1t,-AB244,0),IF(W244&gt;=_noechremb12,AA244,IF('Données Projet 1 (2)'!I253-(AB244*_echfixe12)&gt;AA244-2,AA244,'Données Projet 1 (2)'!I253-(AB244*_echfixe12))))+R244</f>
        <v>0</v>
      </c>
      <c r="AD244" s="154">
        <f t="shared" si="47"/>
        <v>0</v>
      </c>
      <c r="AE244" s="157">
        <f t="shared" si="39"/>
        <v>0</v>
      </c>
    </row>
    <row r="245" spans="1:31" x14ac:dyDescent="0.2">
      <c r="A245" s="3"/>
      <c r="B245" s="164"/>
      <c r="C245" s="22"/>
      <c r="D245" s="21"/>
      <c r="E245" s="23"/>
      <c r="F245" s="10"/>
      <c r="G245" s="5">
        <f t="shared" si="40"/>
        <v>239</v>
      </c>
      <c r="H245" s="7">
        <f t="shared" si="41"/>
        <v>182</v>
      </c>
      <c r="I245" s="8">
        <f t="shared" si="36"/>
        <v>2028</v>
      </c>
      <c r="J245" s="31">
        <f>IF(K245=0,"",IF(_ijour12=0,MIN(DATE(YEAR(_debamort12),MONTH(_debamort12)+(G245-1)*_imois12,_jour12),DATE(YEAR(_debamort12),MONTH(_debamort12)+1+(G245-1)*_imois12,0)),DATE(YEAR(_debamort12),MONTH(_debamort12),_jour12+(G245-1)*_ijour12)))</f>
        <v>47058</v>
      </c>
      <c r="K245" s="156">
        <f t="shared" si="42"/>
        <v>96182.430000000008</v>
      </c>
      <c r="L245" s="153">
        <f>IF(G245&lt;=_noeechmaxi1,ROUND(K245*'Données Projet 1 (2)'!A254,_nbdeci1t),0)</f>
        <v>149.08000000000001</v>
      </c>
      <c r="M245" s="152">
        <f>IF(OR(G245&lt;=_differe1t,G245&gt;_noeechmaxi1),IF(_difftotal1t,-L245,0),IF(G245&gt;=_noechremb1t,K245,IF('Données Projet 1 (2)'!B254-(L245*_echfixe1t)&gt;K245-2,K245,'Données Projet 1 (2)'!B254-(L245*_echfixe1t))))+B245</f>
        <v>457.83999999999992</v>
      </c>
      <c r="N245" s="154">
        <f t="shared" si="43"/>
        <v>15.6</v>
      </c>
      <c r="O245" s="157">
        <f t="shared" si="37"/>
        <v>622.52</v>
      </c>
      <c r="Q245" s="3"/>
      <c r="R245" s="164"/>
      <c r="S245" s="22"/>
      <c r="T245" s="21"/>
      <c r="U245" s="23"/>
      <c r="V245" s="10"/>
      <c r="W245" s="5" t="str">
        <f t="shared" si="44"/>
        <v/>
      </c>
      <c r="X245" s="7" t="str">
        <f t="shared" si="45"/>
        <v/>
      </c>
      <c r="Y245" s="8" t="str">
        <f t="shared" si="38"/>
        <v/>
      </c>
      <c r="Z245" s="31" t="str">
        <f>IF(AA245=0,"",IF(_ijour122=0,MIN(DATE(YEAR(_debamort122),MONTH(_debamort122)+(W245-1)*_imois122,__jou123),DATE(YEAR(_debamort122),MONTH(_debamort122)+1+(W245-1)*_imois122,0)),DATE(YEAR(_debamort122),MONTH(_debamort122),__jou123+(W245-1)*_ijour122)))</f>
        <v/>
      </c>
      <c r="AA245" s="156">
        <f t="shared" si="46"/>
        <v>0</v>
      </c>
      <c r="AB245" s="153">
        <f>IF(W245&lt;=_noechmaxi1t,ROUND(AA245*'Données Projet 1 (2)'!H254,_nbdeci1t1),0)</f>
        <v>0</v>
      </c>
      <c r="AC245" s="152">
        <f>IF(OR(W245&lt;=_differe1t1t,W245&gt;_noechmaxi1t),IF(_difftotal1t1t,-AB245,0),IF(W245&gt;=_noechremb12,AA245,IF('Données Projet 1 (2)'!I254-(AB245*_echfixe12)&gt;AA245-2,AA245,'Données Projet 1 (2)'!I254-(AB245*_echfixe12))))+R245</f>
        <v>0</v>
      </c>
      <c r="AD245" s="154">
        <f t="shared" si="47"/>
        <v>0</v>
      </c>
      <c r="AE245" s="157">
        <f t="shared" si="39"/>
        <v>0</v>
      </c>
    </row>
    <row r="246" spans="1:31" x14ac:dyDescent="0.2">
      <c r="A246" s="3"/>
      <c r="B246" s="164"/>
      <c r="C246" s="22"/>
      <c r="D246" s="21"/>
      <c r="E246" s="23"/>
      <c r="F246" s="10"/>
      <c r="G246" s="5">
        <f t="shared" si="40"/>
        <v>240</v>
      </c>
      <c r="H246" s="7">
        <f t="shared" si="41"/>
        <v>181</v>
      </c>
      <c r="I246" s="8">
        <f t="shared" si="36"/>
        <v>2028</v>
      </c>
      <c r="J246" s="31">
        <f>IF(K246=0,"",IF(_ijour12=0,MIN(DATE(YEAR(_debamort12),MONTH(_debamort12)+_MoisD+(G246-1)*_imois12,_jour212),DATE(YEAR(_debamort12),MONTH(_debamort12)+_MoisD+1+(G246-1)*_imois12,0)),DATE(YEAR(_debamort12),MONTH(_debamort12),_jour12+(G246-1)*_ijour12)))</f>
        <v>47088</v>
      </c>
      <c r="K246" s="156">
        <f t="shared" si="42"/>
        <v>95724.590000000011</v>
      </c>
      <c r="L246" s="153">
        <f>IF(G246&lt;=_noeechmaxi1,ROUND(K246*'Données Projet 1 (2)'!A255,_nbdeci1t),0)</f>
        <v>148.37</v>
      </c>
      <c r="M246" s="152">
        <f>IF(OR(G246&lt;=_differe1t,G246&gt;_noeechmaxi1),IF(_difftotal1t,-L246,0),IF(G246&gt;=_noechremb1t,K246,IF('Données Projet 1 (2)'!B255-(L246*_echfixe1t)&gt;K246-2,K246,'Données Projet 1 (2)'!B255-(L246*_echfixe1t))))+B246</f>
        <v>458.54999999999995</v>
      </c>
      <c r="N246" s="154">
        <f t="shared" si="43"/>
        <v>15.6</v>
      </c>
      <c r="O246" s="157">
        <f t="shared" si="37"/>
        <v>622.52</v>
      </c>
      <c r="Q246" s="3"/>
      <c r="R246" s="164"/>
      <c r="S246" s="22"/>
      <c r="T246" s="21"/>
      <c r="U246" s="23"/>
      <c r="V246" s="10"/>
      <c r="W246" s="5" t="str">
        <f t="shared" si="44"/>
        <v/>
      </c>
      <c r="X246" s="7" t="str">
        <f t="shared" si="45"/>
        <v/>
      </c>
      <c r="Y246" s="8" t="str">
        <f t="shared" si="38"/>
        <v/>
      </c>
      <c r="Z246" s="31" t="str">
        <f>IF(AA246=0,"",IF(_ijour122=0,MIN(DATE(YEAR(_debamort122),MONTH(_debamort122)+_moisd12+(W246-1)*_imois122,__jou21),DATE(YEAR(_debamort122),MONTH(_debamort122)+_moisd12+1+(W246-1)*_imois122,0)),DATE(YEAR(_debamort122),MONTH(_debamort122),__jou123+(W246-1)*_ijour122)))</f>
        <v/>
      </c>
      <c r="AA246" s="156">
        <f t="shared" si="46"/>
        <v>0</v>
      </c>
      <c r="AB246" s="153">
        <f>IF(W246&lt;=_noechmaxi1t,ROUND(AA246*'Données Projet 1 (2)'!H255,_nbdeci1t1),0)</f>
        <v>0</v>
      </c>
      <c r="AC246" s="152">
        <f>IF(OR(W246&lt;=_differe1t1t,W246&gt;_noechmaxi1t),IF(_difftotal1t1t,-AB246,0),IF(W246&gt;=_noechremb12,AA246,IF('Données Projet 1 (2)'!I255-(AB246*_echfixe12)&gt;AA246-2,AA246,'Données Projet 1 (2)'!I255-(AB246*_echfixe12))))+R246</f>
        <v>0</v>
      </c>
      <c r="AD246" s="154">
        <f t="shared" si="47"/>
        <v>0</v>
      </c>
      <c r="AE246" s="157">
        <f t="shared" si="39"/>
        <v>0</v>
      </c>
    </row>
    <row r="247" spans="1:31" x14ac:dyDescent="0.2">
      <c r="A247" s="3"/>
      <c r="B247" s="164"/>
      <c r="C247" s="22"/>
      <c r="D247" s="21"/>
      <c r="E247" s="23"/>
      <c r="F247" s="10"/>
      <c r="G247" s="5">
        <f t="shared" si="40"/>
        <v>241</v>
      </c>
      <c r="H247" s="7">
        <f t="shared" si="41"/>
        <v>180</v>
      </c>
      <c r="I247" s="8">
        <f t="shared" si="36"/>
        <v>2029</v>
      </c>
      <c r="J247" s="31">
        <f>IF(K247=0,"",IF(_ijour12=0,MIN(DATE(YEAR(_debamort12),MONTH(_debamort12)+(G247-1)*_imois12,_jour12),DATE(YEAR(_debamort12),MONTH(_debamort12)+1+(G247-1)*_imois12,0)),DATE(YEAR(_debamort12),MONTH(_debamort12),_jour12+(G247-1)*_ijour12)))</f>
        <v>47119</v>
      </c>
      <c r="K247" s="156">
        <f t="shared" si="42"/>
        <v>95266.040000000008</v>
      </c>
      <c r="L247" s="153">
        <f>IF(G247&lt;=_noeechmaxi1,ROUND(K247*'Données Projet 1 (2)'!A256,_nbdeci1t),0)</f>
        <v>147.66</v>
      </c>
      <c r="M247" s="152">
        <f>IF(OR(G247&lt;=_differe1t,G247&gt;_noeechmaxi1),IF(_difftotal1t,-L247,0),IF(G247&gt;=_noechremb1t,K247,IF('Données Projet 1 (2)'!B256-(L247*_echfixe1t)&gt;K247-2,K247,'Données Projet 1 (2)'!B256-(L247*_echfixe1t))))+B247</f>
        <v>459.26</v>
      </c>
      <c r="N247" s="154">
        <f t="shared" si="43"/>
        <v>15.6</v>
      </c>
      <c r="O247" s="157">
        <f t="shared" si="37"/>
        <v>622.52</v>
      </c>
      <c r="Q247" s="3"/>
      <c r="R247" s="164"/>
      <c r="S247" s="22"/>
      <c r="T247" s="21"/>
      <c r="U247" s="23"/>
      <c r="V247" s="10"/>
      <c r="W247" s="5" t="str">
        <f t="shared" si="44"/>
        <v/>
      </c>
      <c r="X247" s="7" t="str">
        <f t="shared" si="45"/>
        <v/>
      </c>
      <c r="Y247" s="8" t="str">
        <f t="shared" si="38"/>
        <v/>
      </c>
      <c r="Z247" s="31" t="str">
        <f>IF(AA247=0,"",IF(_ijour122=0,MIN(DATE(YEAR(_debamort122),MONTH(_debamort122)+(W247-1)*_imois122,__jou123),DATE(YEAR(_debamort122),MONTH(_debamort122)+1+(W247-1)*_imois122,0)),DATE(YEAR(_debamort122),MONTH(_debamort122),__jou123+(W247-1)*_ijour122)))</f>
        <v/>
      </c>
      <c r="AA247" s="156">
        <f t="shared" si="46"/>
        <v>0</v>
      </c>
      <c r="AB247" s="153">
        <f>IF(W247&lt;=_noechmaxi1t,ROUND(AA247*'Données Projet 1 (2)'!H256,_nbdeci1t1),0)</f>
        <v>0</v>
      </c>
      <c r="AC247" s="152">
        <f>IF(OR(W247&lt;=_differe1t1t,W247&gt;_noechmaxi1t),IF(_difftotal1t1t,-AB247,0),IF(W247&gt;=_noechremb12,AA247,IF('Données Projet 1 (2)'!I256-(AB247*_echfixe12)&gt;AA247-2,AA247,'Données Projet 1 (2)'!I256-(AB247*_echfixe12))))+R247</f>
        <v>0</v>
      </c>
      <c r="AD247" s="154">
        <f t="shared" si="47"/>
        <v>0</v>
      </c>
      <c r="AE247" s="157">
        <f t="shared" si="39"/>
        <v>0</v>
      </c>
    </row>
    <row r="248" spans="1:31" x14ac:dyDescent="0.2">
      <c r="A248" s="3"/>
      <c r="B248" s="164"/>
      <c r="C248" s="22"/>
      <c r="D248" s="21"/>
      <c r="E248" s="23"/>
      <c r="F248" s="10"/>
      <c r="G248" s="5">
        <f t="shared" si="40"/>
        <v>242</v>
      </c>
      <c r="H248" s="7">
        <f t="shared" si="41"/>
        <v>179</v>
      </c>
      <c r="I248" s="8">
        <f t="shared" si="36"/>
        <v>2029</v>
      </c>
      <c r="J248" s="31">
        <f>IF(K248=0,"",IF(_ijour12=0,MIN(DATE(YEAR(_debamort12),MONTH(_debamort12)+_MoisD+(G248-1)*_imois12,_jour212),DATE(YEAR(_debamort12),MONTH(_debamort12)+_MoisD+1+(G248-1)*_imois12,0)),DATE(YEAR(_debamort12),MONTH(_debamort12),_jour12+(G248-1)*_ijour12)))</f>
        <v>47150</v>
      </c>
      <c r="K248" s="156">
        <f t="shared" si="42"/>
        <v>94806.780000000013</v>
      </c>
      <c r="L248" s="153">
        <f>IF(G248&lt;=_noeechmaxi1,ROUND(K248*'Données Projet 1 (2)'!A257,_nbdeci1t),0)</f>
        <v>146.94999999999999</v>
      </c>
      <c r="M248" s="152">
        <f>IF(OR(G248&lt;=_differe1t,G248&gt;_noeechmaxi1),IF(_difftotal1t,-L248,0),IF(G248&gt;=_noechremb1t,K248,IF('Données Projet 1 (2)'!B257-(L248*_echfixe1t)&gt;K248-2,K248,'Données Projet 1 (2)'!B257-(L248*_echfixe1t))))+B248</f>
        <v>459.96999999999997</v>
      </c>
      <c r="N248" s="154">
        <f t="shared" si="43"/>
        <v>15.6</v>
      </c>
      <c r="O248" s="157">
        <f t="shared" si="37"/>
        <v>622.52</v>
      </c>
      <c r="Q248" s="3"/>
      <c r="R248" s="164"/>
      <c r="S248" s="22"/>
      <c r="T248" s="21"/>
      <c r="U248" s="23"/>
      <c r="V248" s="10"/>
      <c r="W248" s="5" t="str">
        <f t="shared" si="44"/>
        <v/>
      </c>
      <c r="X248" s="7" t="str">
        <f t="shared" si="45"/>
        <v/>
      </c>
      <c r="Y248" s="8" t="str">
        <f t="shared" si="38"/>
        <v/>
      </c>
      <c r="Z248" s="31" t="str">
        <f>IF(AA248=0,"",IF(_ijour122=0,MIN(DATE(YEAR(_debamort122),MONTH(_debamort122)+_moisd12+(W248-1)*_imois122,__jou21),DATE(YEAR(_debamort122),MONTH(_debamort122)+_moisd12+1+(W248-1)*_imois122,0)),DATE(YEAR(_debamort122),MONTH(_debamort122),__jou123+(W248-1)*_ijour122)))</f>
        <v/>
      </c>
      <c r="AA248" s="156">
        <f t="shared" si="46"/>
        <v>0</v>
      </c>
      <c r="AB248" s="153">
        <f>IF(W248&lt;=_noechmaxi1t,ROUND(AA248*'Données Projet 1 (2)'!H257,_nbdeci1t1),0)</f>
        <v>0</v>
      </c>
      <c r="AC248" s="152">
        <f>IF(OR(W248&lt;=_differe1t1t,W248&gt;_noechmaxi1t),IF(_difftotal1t1t,-AB248,0),IF(W248&gt;=_noechremb12,AA248,IF('Données Projet 1 (2)'!I257-(AB248*_echfixe12)&gt;AA248-2,AA248,'Données Projet 1 (2)'!I257-(AB248*_echfixe12))))+R248</f>
        <v>0</v>
      </c>
      <c r="AD248" s="154">
        <f t="shared" si="47"/>
        <v>0</v>
      </c>
      <c r="AE248" s="157">
        <f t="shared" si="39"/>
        <v>0</v>
      </c>
    </row>
    <row r="249" spans="1:31" x14ac:dyDescent="0.2">
      <c r="A249" s="3"/>
      <c r="B249" s="164"/>
      <c r="C249" s="22"/>
      <c r="D249" s="21"/>
      <c r="E249" s="23"/>
      <c r="F249" s="10"/>
      <c r="G249" s="5">
        <f t="shared" si="40"/>
        <v>243</v>
      </c>
      <c r="H249" s="7">
        <f t="shared" si="41"/>
        <v>178</v>
      </c>
      <c r="I249" s="8">
        <f t="shared" si="36"/>
        <v>2029</v>
      </c>
      <c r="J249" s="31">
        <f>IF(K249=0,"",IF(_ijour12=0,MIN(DATE(YEAR(_debamort12),MONTH(_debamort12)+(G249-1)*_imois12,_jour12),DATE(YEAR(_debamort12),MONTH(_debamort12)+1+(G249-1)*_imois12,0)),DATE(YEAR(_debamort12),MONTH(_debamort12),_jour12+(G249-1)*_ijour12)))</f>
        <v>47178</v>
      </c>
      <c r="K249" s="156">
        <f t="shared" si="42"/>
        <v>94346.810000000012</v>
      </c>
      <c r="L249" s="153">
        <f>IF(G249&lt;=_noeechmaxi1,ROUND(K249*'Données Projet 1 (2)'!A258,_nbdeci1t),0)</f>
        <v>146.24</v>
      </c>
      <c r="M249" s="152">
        <f>IF(OR(G249&lt;=_differe1t,G249&gt;_noeechmaxi1),IF(_difftotal1t,-L249,0),IF(G249&gt;=_noechremb1t,K249,IF('Données Projet 1 (2)'!B258-(L249*_echfixe1t)&gt;K249-2,K249,'Données Projet 1 (2)'!B258-(L249*_echfixe1t))))+B249</f>
        <v>460.67999999999995</v>
      </c>
      <c r="N249" s="154">
        <f t="shared" si="43"/>
        <v>15.6</v>
      </c>
      <c r="O249" s="157">
        <f t="shared" si="37"/>
        <v>622.52</v>
      </c>
      <c r="Q249" s="3"/>
      <c r="R249" s="164"/>
      <c r="S249" s="22"/>
      <c r="T249" s="21"/>
      <c r="U249" s="23"/>
      <c r="V249" s="10"/>
      <c r="W249" s="5" t="str">
        <f t="shared" si="44"/>
        <v/>
      </c>
      <c r="X249" s="7" t="str">
        <f t="shared" si="45"/>
        <v/>
      </c>
      <c r="Y249" s="8" t="str">
        <f t="shared" si="38"/>
        <v/>
      </c>
      <c r="Z249" s="31" t="str">
        <f>IF(AA249=0,"",IF(_ijour122=0,MIN(DATE(YEAR(_debamort122),MONTH(_debamort122)+(W249-1)*_imois122,__jou123),DATE(YEAR(_debamort122),MONTH(_debamort122)+1+(W249-1)*_imois122,0)),DATE(YEAR(_debamort122),MONTH(_debamort122),__jou123+(W249-1)*_ijour122)))</f>
        <v/>
      </c>
      <c r="AA249" s="156">
        <f t="shared" si="46"/>
        <v>0</v>
      </c>
      <c r="AB249" s="153">
        <f>IF(W249&lt;=_noechmaxi1t,ROUND(AA249*'Données Projet 1 (2)'!H258,_nbdeci1t1),0)</f>
        <v>0</v>
      </c>
      <c r="AC249" s="152">
        <f>IF(OR(W249&lt;=_differe1t1t,W249&gt;_noechmaxi1t),IF(_difftotal1t1t,-AB249,0),IF(W249&gt;=_noechremb12,AA249,IF('Données Projet 1 (2)'!I258-(AB249*_echfixe12)&gt;AA249-2,AA249,'Données Projet 1 (2)'!I258-(AB249*_echfixe12))))+R249</f>
        <v>0</v>
      </c>
      <c r="AD249" s="154">
        <f t="shared" si="47"/>
        <v>0</v>
      </c>
      <c r="AE249" s="157">
        <f t="shared" si="39"/>
        <v>0</v>
      </c>
    </row>
    <row r="250" spans="1:31" x14ac:dyDescent="0.2">
      <c r="A250" s="3"/>
      <c r="B250" s="164"/>
      <c r="C250" s="22"/>
      <c r="D250" s="21"/>
      <c r="E250" s="23"/>
      <c r="F250" s="10"/>
      <c r="G250" s="5">
        <f t="shared" si="40"/>
        <v>244</v>
      </c>
      <c r="H250" s="7">
        <f t="shared" si="41"/>
        <v>177</v>
      </c>
      <c r="I250" s="8">
        <f t="shared" si="36"/>
        <v>2029</v>
      </c>
      <c r="J250" s="31">
        <f>IF(K250=0,"",IF(_ijour12=0,MIN(DATE(YEAR(_debamort12),MONTH(_debamort12)+_MoisD+(G250-1)*_imois12,_jour212),DATE(YEAR(_debamort12),MONTH(_debamort12)+_MoisD+1+(G250-1)*_imois12,0)),DATE(YEAR(_debamort12),MONTH(_debamort12),_jour12+(G250-1)*_ijour12)))</f>
        <v>47209</v>
      </c>
      <c r="K250" s="156">
        <f t="shared" si="42"/>
        <v>93886.130000000019</v>
      </c>
      <c r="L250" s="153">
        <f>IF(G250&lt;=_noeechmaxi1,ROUND(K250*'Données Projet 1 (2)'!A259,_nbdeci1t),0)</f>
        <v>145.52000000000001</v>
      </c>
      <c r="M250" s="152">
        <f>IF(OR(G250&lt;=_differe1t,G250&gt;_noeechmaxi1),IF(_difftotal1t,-L250,0),IF(G250&gt;=_noechremb1t,K250,IF('Données Projet 1 (2)'!B259-(L250*_echfixe1t)&gt;K250-2,K250,'Données Projet 1 (2)'!B259-(L250*_echfixe1t))))+B250</f>
        <v>461.4</v>
      </c>
      <c r="N250" s="154">
        <f t="shared" si="43"/>
        <v>15.6</v>
      </c>
      <c r="O250" s="157">
        <f t="shared" si="37"/>
        <v>622.52</v>
      </c>
      <c r="Q250" s="3"/>
      <c r="R250" s="164"/>
      <c r="S250" s="22"/>
      <c r="T250" s="21"/>
      <c r="U250" s="23"/>
      <c r="V250" s="10"/>
      <c r="W250" s="5" t="str">
        <f t="shared" si="44"/>
        <v/>
      </c>
      <c r="X250" s="7" t="str">
        <f t="shared" si="45"/>
        <v/>
      </c>
      <c r="Y250" s="8" t="str">
        <f t="shared" si="38"/>
        <v/>
      </c>
      <c r="Z250" s="31" t="str">
        <f>IF(AA250=0,"",IF(_ijour122=0,MIN(DATE(YEAR(_debamort122),MONTH(_debamort122)+_moisd12+(W250-1)*_imois122,__jou21),DATE(YEAR(_debamort122),MONTH(_debamort122)+_moisd12+1+(W250-1)*_imois122,0)),DATE(YEAR(_debamort122),MONTH(_debamort122),__jou123+(W250-1)*_ijour122)))</f>
        <v/>
      </c>
      <c r="AA250" s="156">
        <f t="shared" si="46"/>
        <v>0</v>
      </c>
      <c r="AB250" s="153">
        <f>IF(W250&lt;=_noechmaxi1t,ROUND(AA250*'Données Projet 1 (2)'!H259,_nbdeci1t1),0)</f>
        <v>0</v>
      </c>
      <c r="AC250" s="152">
        <f>IF(OR(W250&lt;=_differe1t1t,W250&gt;_noechmaxi1t),IF(_difftotal1t1t,-AB250,0),IF(W250&gt;=_noechremb12,AA250,IF('Données Projet 1 (2)'!I259-(AB250*_echfixe12)&gt;AA250-2,AA250,'Données Projet 1 (2)'!I259-(AB250*_echfixe12))))+R250</f>
        <v>0</v>
      </c>
      <c r="AD250" s="154">
        <f t="shared" si="47"/>
        <v>0</v>
      </c>
      <c r="AE250" s="157">
        <f t="shared" si="39"/>
        <v>0</v>
      </c>
    </row>
    <row r="251" spans="1:31" x14ac:dyDescent="0.2">
      <c r="A251" s="3"/>
      <c r="B251" s="164"/>
      <c r="C251" s="22"/>
      <c r="D251" s="21"/>
      <c r="E251" s="23"/>
      <c r="F251" s="10"/>
      <c r="G251" s="5">
        <f t="shared" si="40"/>
        <v>245</v>
      </c>
      <c r="H251" s="7">
        <f t="shared" si="41"/>
        <v>176</v>
      </c>
      <c r="I251" s="8">
        <f t="shared" si="36"/>
        <v>2029</v>
      </c>
      <c r="J251" s="31">
        <f>IF(K251=0,"",IF(_ijour12=0,MIN(DATE(YEAR(_debamort12),MONTH(_debamort12)+(G251-1)*_imois12,_jour12),DATE(YEAR(_debamort12),MONTH(_debamort12)+1+(G251-1)*_imois12,0)),DATE(YEAR(_debamort12),MONTH(_debamort12),_jour12+(G251-1)*_ijour12)))</f>
        <v>47239</v>
      </c>
      <c r="K251" s="156">
        <f t="shared" si="42"/>
        <v>93424.730000000025</v>
      </c>
      <c r="L251" s="153">
        <f>IF(G251&lt;=_noeechmaxi1,ROUND(K251*'Données Projet 1 (2)'!A260,_nbdeci1t),0)</f>
        <v>144.81</v>
      </c>
      <c r="M251" s="152">
        <f>IF(OR(G251&lt;=_differe1t,G251&gt;_noeechmaxi1),IF(_difftotal1t,-L251,0),IF(G251&gt;=_noechremb1t,K251,IF('Données Projet 1 (2)'!B260-(L251*_echfixe1t)&gt;K251-2,K251,'Données Projet 1 (2)'!B260-(L251*_echfixe1t))))+B251</f>
        <v>462.10999999999996</v>
      </c>
      <c r="N251" s="154">
        <f t="shared" si="43"/>
        <v>15.6</v>
      </c>
      <c r="O251" s="157">
        <f t="shared" si="37"/>
        <v>622.52</v>
      </c>
      <c r="Q251" s="3"/>
      <c r="R251" s="164"/>
      <c r="S251" s="22"/>
      <c r="T251" s="21"/>
      <c r="U251" s="23"/>
      <c r="V251" s="10"/>
      <c r="W251" s="5" t="str">
        <f t="shared" si="44"/>
        <v/>
      </c>
      <c r="X251" s="7" t="str">
        <f t="shared" si="45"/>
        <v/>
      </c>
      <c r="Y251" s="8" t="str">
        <f t="shared" si="38"/>
        <v/>
      </c>
      <c r="Z251" s="31" t="str">
        <f>IF(AA251=0,"",IF(_ijour122=0,MIN(DATE(YEAR(_debamort122),MONTH(_debamort122)+(W251-1)*_imois122,__jou123),DATE(YEAR(_debamort122),MONTH(_debamort122)+1+(W251-1)*_imois122,0)),DATE(YEAR(_debamort122),MONTH(_debamort122),__jou123+(W251-1)*_ijour122)))</f>
        <v/>
      </c>
      <c r="AA251" s="156">
        <f t="shared" si="46"/>
        <v>0</v>
      </c>
      <c r="AB251" s="153">
        <f>IF(W251&lt;=_noechmaxi1t,ROUND(AA251*'Données Projet 1 (2)'!H260,_nbdeci1t1),0)</f>
        <v>0</v>
      </c>
      <c r="AC251" s="152">
        <f>IF(OR(W251&lt;=_differe1t1t,W251&gt;_noechmaxi1t),IF(_difftotal1t1t,-AB251,0),IF(W251&gt;=_noechremb12,AA251,IF('Données Projet 1 (2)'!I260-(AB251*_echfixe12)&gt;AA251-2,AA251,'Données Projet 1 (2)'!I260-(AB251*_echfixe12))))+R251</f>
        <v>0</v>
      </c>
      <c r="AD251" s="154">
        <f t="shared" si="47"/>
        <v>0</v>
      </c>
      <c r="AE251" s="157">
        <f t="shared" si="39"/>
        <v>0</v>
      </c>
    </row>
    <row r="252" spans="1:31" x14ac:dyDescent="0.2">
      <c r="A252" s="3"/>
      <c r="B252" s="164"/>
      <c r="C252" s="22"/>
      <c r="D252" s="21"/>
      <c r="E252" s="23"/>
      <c r="F252" s="10"/>
      <c r="G252" s="5">
        <f t="shared" si="40"/>
        <v>246</v>
      </c>
      <c r="H252" s="7">
        <f t="shared" si="41"/>
        <v>175</v>
      </c>
      <c r="I252" s="8">
        <f t="shared" si="36"/>
        <v>2029</v>
      </c>
      <c r="J252" s="31">
        <f>IF(K252=0,"",IF(_ijour12=0,MIN(DATE(YEAR(_debamort12),MONTH(_debamort12)+_MoisD+(G252-1)*_imois12,_jour212),DATE(YEAR(_debamort12),MONTH(_debamort12)+_MoisD+1+(G252-1)*_imois12,0)),DATE(YEAR(_debamort12),MONTH(_debamort12),_jour12+(G252-1)*_ijour12)))</f>
        <v>47270</v>
      </c>
      <c r="K252" s="156">
        <f t="shared" si="42"/>
        <v>92962.620000000024</v>
      </c>
      <c r="L252" s="153">
        <f>IF(G252&lt;=_noeechmaxi1,ROUND(K252*'Données Projet 1 (2)'!A261,_nbdeci1t),0)</f>
        <v>144.09</v>
      </c>
      <c r="M252" s="152">
        <f>IF(OR(G252&lt;=_differe1t,G252&gt;_noeechmaxi1),IF(_difftotal1t,-L252,0),IF(G252&gt;=_noechremb1t,K252,IF('Données Projet 1 (2)'!B261-(L252*_echfixe1t)&gt;K252-2,K252,'Données Projet 1 (2)'!B261-(L252*_echfixe1t))))+B252</f>
        <v>462.82999999999993</v>
      </c>
      <c r="N252" s="154">
        <f t="shared" si="43"/>
        <v>15.6</v>
      </c>
      <c r="O252" s="157">
        <f t="shared" si="37"/>
        <v>622.52</v>
      </c>
      <c r="Q252" s="3"/>
      <c r="R252" s="164"/>
      <c r="S252" s="22"/>
      <c r="T252" s="21"/>
      <c r="U252" s="23"/>
      <c r="V252" s="10"/>
      <c r="W252" s="5" t="str">
        <f t="shared" si="44"/>
        <v/>
      </c>
      <c r="X252" s="7" t="str">
        <f t="shared" si="45"/>
        <v/>
      </c>
      <c r="Y252" s="8" t="str">
        <f t="shared" si="38"/>
        <v/>
      </c>
      <c r="Z252" s="31" t="str">
        <f>IF(AA252=0,"",IF(_ijour122=0,MIN(DATE(YEAR(_debamort122),MONTH(_debamort122)+_moisd12+(W252-1)*_imois122,__jou21),DATE(YEAR(_debamort122),MONTH(_debamort122)+_moisd12+1+(W252-1)*_imois122,0)),DATE(YEAR(_debamort122),MONTH(_debamort122),__jou123+(W252-1)*_ijour122)))</f>
        <v/>
      </c>
      <c r="AA252" s="156">
        <f t="shared" si="46"/>
        <v>0</v>
      </c>
      <c r="AB252" s="153">
        <f>IF(W252&lt;=_noechmaxi1t,ROUND(AA252*'Données Projet 1 (2)'!H261,_nbdeci1t1),0)</f>
        <v>0</v>
      </c>
      <c r="AC252" s="152">
        <f>IF(OR(W252&lt;=_differe1t1t,W252&gt;_noechmaxi1t),IF(_difftotal1t1t,-AB252,0),IF(W252&gt;=_noechremb12,AA252,IF('Données Projet 1 (2)'!I261-(AB252*_echfixe12)&gt;AA252-2,AA252,'Données Projet 1 (2)'!I261-(AB252*_echfixe12))))+R252</f>
        <v>0</v>
      </c>
      <c r="AD252" s="154">
        <f t="shared" si="47"/>
        <v>0</v>
      </c>
      <c r="AE252" s="157">
        <f t="shared" si="39"/>
        <v>0</v>
      </c>
    </row>
    <row r="253" spans="1:31" x14ac:dyDescent="0.2">
      <c r="A253" s="3"/>
      <c r="B253" s="164"/>
      <c r="C253" s="22"/>
      <c r="D253" s="21"/>
      <c r="E253" s="23"/>
      <c r="F253" s="10"/>
      <c r="G253" s="5">
        <f t="shared" si="40"/>
        <v>247</v>
      </c>
      <c r="H253" s="7">
        <f t="shared" si="41"/>
        <v>174</v>
      </c>
      <c r="I253" s="8">
        <f t="shared" si="36"/>
        <v>2029</v>
      </c>
      <c r="J253" s="31">
        <f>IF(K253=0,"",IF(_ijour12=0,MIN(DATE(YEAR(_debamort12),MONTH(_debamort12)+(G253-1)*_imois12,_jour12),DATE(YEAR(_debamort12),MONTH(_debamort12)+1+(G253-1)*_imois12,0)),DATE(YEAR(_debamort12),MONTH(_debamort12),_jour12+(G253-1)*_ijour12)))</f>
        <v>47300</v>
      </c>
      <c r="K253" s="156">
        <f t="shared" si="42"/>
        <v>92499.790000000023</v>
      </c>
      <c r="L253" s="153">
        <f>IF(G253&lt;=_noeechmaxi1,ROUND(K253*'Données Projet 1 (2)'!A262,_nbdeci1t),0)</f>
        <v>143.37</v>
      </c>
      <c r="M253" s="152">
        <f>IF(OR(G253&lt;=_differe1t,G253&gt;_noeechmaxi1),IF(_difftotal1t,-L253,0),IF(G253&gt;=_noechremb1t,K253,IF('Données Projet 1 (2)'!B262-(L253*_echfixe1t)&gt;K253-2,K253,'Données Projet 1 (2)'!B262-(L253*_echfixe1t))))+B253</f>
        <v>463.54999999999995</v>
      </c>
      <c r="N253" s="154">
        <f t="shared" si="43"/>
        <v>15.6</v>
      </c>
      <c r="O253" s="157">
        <f t="shared" si="37"/>
        <v>622.52</v>
      </c>
      <c r="Q253" s="3"/>
      <c r="R253" s="164"/>
      <c r="S253" s="22"/>
      <c r="T253" s="21"/>
      <c r="U253" s="23"/>
      <c r="V253" s="10"/>
      <c r="W253" s="5" t="str">
        <f t="shared" si="44"/>
        <v/>
      </c>
      <c r="X253" s="7" t="str">
        <f t="shared" si="45"/>
        <v/>
      </c>
      <c r="Y253" s="8" t="str">
        <f t="shared" si="38"/>
        <v/>
      </c>
      <c r="Z253" s="31" t="str">
        <f>IF(AA253=0,"",IF(_ijour122=0,MIN(DATE(YEAR(_debamort122),MONTH(_debamort122)+(W253-1)*_imois122,__jou123),DATE(YEAR(_debamort122),MONTH(_debamort122)+1+(W253-1)*_imois122,0)),DATE(YEAR(_debamort122),MONTH(_debamort122),__jou123+(W253-1)*_ijour122)))</f>
        <v/>
      </c>
      <c r="AA253" s="156">
        <f t="shared" si="46"/>
        <v>0</v>
      </c>
      <c r="AB253" s="153">
        <f>IF(W253&lt;=_noechmaxi1t,ROUND(AA253*'Données Projet 1 (2)'!H262,_nbdeci1t1),0)</f>
        <v>0</v>
      </c>
      <c r="AC253" s="152">
        <f>IF(OR(W253&lt;=_differe1t1t,W253&gt;_noechmaxi1t),IF(_difftotal1t1t,-AB253,0),IF(W253&gt;=_noechremb12,AA253,IF('Données Projet 1 (2)'!I262-(AB253*_echfixe12)&gt;AA253-2,AA253,'Données Projet 1 (2)'!I262-(AB253*_echfixe12))))+R253</f>
        <v>0</v>
      </c>
      <c r="AD253" s="154">
        <f t="shared" si="47"/>
        <v>0</v>
      </c>
      <c r="AE253" s="157">
        <f t="shared" si="39"/>
        <v>0</v>
      </c>
    </row>
    <row r="254" spans="1:31" x14ac:dyDescent="0.2">
      <c r="A254" s="3"/>
      <c r="B254" s="164"/>
      <c r="C254" s="22"/>
      <c r="D254" s="21"/>
      <c r="E254" s="23"/>
      <c r="F254" s="10"/>
      <c r="G254" s="5">
        <f t="shared" si="40"/>
        <v>248</v>
      </c>
      <c r="H254" s="7">
        <f t="shared" si="41"/>
        <v>173</v>
      </c>
      <c r="I254" s="8">
        <f t="shared" si="36"/>
        <v>2029</v>
      </c>
      <c r="J254" s="31">
        <f>IF(K254=0,"",IF(_ijour12=0,MIN(DATE(YEAR(_debamort12),MONTH(_debamort12)+_MoisD+(G254-1)*_imois12,_jour212),DATE(YEAR(_debamort12),MONTH(_debamort12)+_MoisD+1+(G254-1)*_imois12,0)),DATE(YEAR(_debamort12),MONTH(_debamort12),_jour12+(G254-1)*_ijour12)))</f>
        <v>47331</v>
      </c>
      <c r="K254" s="156">
        <f t="shared" si="42"/>
        <v>92036.24000000002</v>
      </c>
      <c r="L254" s="153">
        <f>IF(G254&lt;=_noeechmaxi1,ROUND(K254*'Données Projet 1 (2)'!A263,_nbdeci1t),0)</f>
        <v>142.66</v>
      </c>
      <c r="M254" s="152">
        <f>IF(OR(G254&lt;=_differe1t,G254&gt;_noeechmaxi1),IF(_difftotal1t,-L254,0),IF(G254&gt;=_noechremb1t,K254,IF('Données Projet 1 (2)'!B263-(L254*_echfixe1t)&gt;K254-2,K254,'Données Projet 1 (2)'!B263-(L254*_echfixe1t))))+B254</f>
        <v>464.26</v>
      </c>
      <c r="N254" s="154">
        <f t="shared" si="43"/>
        <v>15.6</v>
      </c>
      <c r="O254" s="157">
        <f t="shared" si="37"/>
        <v>622.52</v>
      </c>
      <c r="Q254" s="3"/>
      <c r="R254" s="164"/>
      <c r="S254" s="22"/>
      <c r="T254" s="21"/>
      <c r="U254" s="23"/>
      <c r="V254" s="10"/>
      <c r="W254" s="5" t="str">
        <f t="shared" si="44"/>
        <v/>
      </c>
      <c r="X254" s="7" t="str">
        <f t="shared" si="45"/>
        <v/>
      </c>
      <c r="Y254" s="8" t="str">
        <f t="shared" si="38"/>
        <v/>
      </c>
      <c r="Z254" s="31" t="str">
        <f>IF(AA254=0,"",IF(_ijour122=0,MIN(DATE(YEAR(_debamort122),MONTH(_debamort122)+_moisd12+(W254-1)*_imois122,__jou21),DATE(YEAR(_debamort122),MONTH(_debamort122)+_moisd12+1+(W254-1)*_imois122,0)),DATE(YEAR(_debamort122),MONTH(_debamort122),__jou123+(W254-1)*_ijour122)))</f>
        <v/>
      </c>
      <c r="AA254" s="156">
        <f t="shared" si="46"/>
        <v>0</v>
      </c>
      <c r="AB254" s="153">
        <f>IF(W254&lt;=_noechmaxi1t,ROUND(AA254*'Données Projet 1 (2)'!H263,_nbdeci1t1),0)</f>
        <v>0</v>
      </c>
      <c r="AC254" s="152">
        <f>IF(OR(W254&lt;=_differe1t1t,W254&gt;_noechmaxi1t),IF(_difftotal1t1t,-AB254,0),IF(W254&gt;=_noechremb12,AA254,IF('Données Projet 1 (2)'!I263-(AB254*_echfixe12)&gt;AA254-2,AA254,'Données Projet 1 (2)'!I263-(AB254*_echfixe12))))+R254</f>
        <v>0</v>
      </c>
      <c r="AD254" s="154">
        <f t="shared" si="47"/>
        <v>0</v>
      </c>
      <c r="AE254" s="157">
        <f t="shared" si="39"/>
        <v>0</v>
      </c>
    </row>
    <row r="255" spans="1:31" x14ac:dyDescent="0.2">
      <c r="A255" s="3"/>
      <c r="B255" s="164"/>
      <c r="C255" s="22"/>
      <c r="D255" s="21"/>
      <c r="E255" s="23"/>
      <c r="F255" s="10"/>
      <c r="G255" s="5">
        <f t="shared" si="40"/>
        <v>249</v>
      </c>
      <c r="H255" s="7">
        <f t="shared" si="41"/>
        <v>172</v>
      </c>
      <c r="I255" s="8">
        <f t="shared" si="36"/>
        <v>2029</v>
      </c>
      <c r="J255" s="31">
        <f>IF(K255=0,"",IF(_ijour12=0,MIN(DATE(YEAR(_debamort12),MONTH(_debamort12)+(G255-1)*_imois12,_jour12),DATE(YEAR(_debamort12),MONTH(_debamort12)+1+(G255-1)*_imois12,0)),DATE(YEAR(_debamort12),MONTH(_debamort12),_jour12+(G255-1)*_ijour12)))</f>
        <v>47362</v>
      </c>
      <c r="K255" s="156">
        <f t="shared" si="42"/>
        <v>91571.980000000025</v>
      </c>
      <c r="L255" s="153">
        <f>IF(G255&lt;=_noeechmaxi1,ROUND(K255*'Données Projet 1 (2)'!A264,_nbdeci1t),0)</f>
        <v>141.94</v>
      </c>
      <c r="M255" s="152">
        <f>IF(OR(G255&lt;=_differe1t,G255&gt;_noeechmaxi1),IF(_difftotal1t,-L255,0),IF(G255&gt;=_noechremb1t,K255,IF('Données Projet 1 (2)'!B264-(L255*_echfixe1t)&gt;K255-2,K255,'Données Projet 1 (2)'!B264-(L255*_echfixe1t))))+B255</f>
        <v>464.97999999999996</v>
      </c>
      <c r="N255" s="154">
        <f t="shared" si="43"/>
        <v>15.6</v>
      </c>
      <c r="O255" s="157">
        <f t="shared" si="37"/>
        <v>622.52</v>
      </c>
      <c r="Q255" s="3"/>
      <c r="R255" s="164"/>
      <c r="S255" s="22"/>
      <c r="T255" s="21"/>
      <c r="U255" s="23"/>
      <c r="V255" s="10"/>
      <c r="W255" s="5" t="str">
        <f t="shared" si="44"/>
        <v/>
      </c>
      <c r="X255" s="7" t="str">
        <f t="shared" si="45"/>
        <v/>
      </c>
      <c r="Y255" s="8" t="str">
        <f t="shared" si="38"/>
        <v/>
      </c>
      <c r="Z255" s="31" t="str">
        <f>IF(AA255=0,"",IF(_ijour122=0,MIN(DATE(YEAR(_debamort122),MONTH(_debamort122)+(W255-1)*_imois122,__jou123),DATE(YEAR(_debamort122),MONTH(_debamort122)+1+(W255-1)*_imois122,0)),DATE(YEAR(_debamort122),MONTH(_debamort122),__jou123+(W255-1)*_ijour122)))</f>
        <v/>
      </c>
      <c r="AA255" s="156">
        <f t="shared" si="46"/>
        <v>0</v>
      </c>
      <c r="AB255" s="153">
        <f>IF(W255&lt;=_noechmaxi1t,ROUND(AA255*'Données Projet 1 (2)'!H264,_nbdeci1t1),0)</f>
        <v>0</v>
      </c>
      <c r="AC255" s="152">
        <f>IF(OR(W255&lt;=_differe1t1t,W255&gt;_noechmaxi1t),IF(_difftotal1t1t,-AB255,0),IF(W255&gt;=_noechremb12,AA255,IF('Données Projet 1 (2)'!I264-(AB255*_echfixe12)&gt;AA255-2,AA255,'Données Projet 1 (2)'!I264-(AB255*_echfixe12))))+R255</f>
        <v>0</v>
      </c>
      <c r="AD255" s="154">
        <f t="shared" si="47"/>
        <v>0</v>
      </c>
      <c r="AE255" s="157">
        <f t="shared" si="39"/>
        <v>0</v>
      </c>
    </row>
    <row r="256" spans="1:31" x14ac:dyDescent="0.2">
      <c r="A256" s="3"/>
      <c r="B256" s="164"/>
      <c r="C256" s="22"/>
      <c r="D256" s="21"/>
      <c r="E256" s="23"/>
      <c r="F256" s="10"/>
      <c r="G256" s="5">
        <f t="shared" si="40"/>
        <v>250</v>
      </c>
      <c r="H256" s="7">
        <f t="shared" si="41"/>
        <v>171</v>
      </c>
      <c r="I256" s="8">
        <f t="shared" si="36"/>
        <v>2029</v>
      </c>
      <c r="J256" s="31">
        <f>IF(K256=0,"",IF(_ijour12=0,MIN(DATE(YEAR(_debamort12),MONTH(_debamort12)+_MoisD+(G256-1)*_imois12,_jour212),DATE(YEAR(_debamort12),MONTH(_debamort12)+_MoisD+1+(G256-1)*_imois12,0)),DATE(YEAR(_debamort12),MONTH(_debamort12),_jour12+(G256-1)*_ijour12)))</f>
        <v>47392</v>
      </c>
      <c r="K256" s="156">
        <f t="shared" si="42"/>
        <v>91107.000000000029</v>
      </c>
      <c r="L256" s="153">
        <f>IF(G256&lt;=_noeechmaxi1,ROUND(K256*'Données Projet 1 (2)'!A265,_nbdeci1t),0)</f>
        <v>141.22</v>
      </c>
      <c r="M256" s="152">
        <f>IF(OR(G256&lt;=_differe1t,G256&gt;_noeechmaxi1),IF(_difftotal1t,-L256,0),IF(G256&gt;=_noechremb1t,K256,IF('Données Projet 1 (2)'!B265-(L256*_echfixe1t)&gt;K256-2,K256,'Données Projet 1 (2)'!B265-(L256*_echfixe1t))))+B256</f>
        <v>465.69999999999993</v>
      </c>
      <c r="N256" s="154">
        <f t="shared" si="43"/>
        <v>15.6</v>
      </c>
      <c r="O256" s="157">
        <f t="shared" si="37"/>
        <v>622.52</v>
      </c>
      <c r="Q256" s="3"/>
      <c r="R256" s="164"/>
      <c r="S256" s="22"/>
      <c r="T256" s="21"/>
      <c r="U256" s="23"/>
      <c r="V256" s="10"/>
      <c r="W256" s="5" t="str">
        <f t="shared" si="44"/>
        <v/>
      </c>
      <c r="X256" s="7" t="str">
        <f t="shared" si="45"/>
        <v/>
      </c>
      <c r="Y256" s="8" t="str">
        <f t="shared" si="38"/>
        <v/>
      </c>
      <c r="Z256" s="31" t="str">
        <f>IF(AA256=0,"",IF(_ijour122=0,MIN(DATE(YEAR(_debamort122),MONTH(_debamort122)+_moisd12+(W256-1)*_imois122,__jou21),DATE(YEAR(_debamort122),MONTH(_debamort122)+_moisd12+1+(W256-1)*_imois122,0)),DATE(YEAR(_debamort122),MONTH(_debamort122),__jou123+(W256-1)*_ijour122)))</f>
        <v/>
      </c>
      <c r="AA256" s="156">
        <f t="shared" si="46"/>
        <v>0</v>
      </c>
      <c r="AB256" s="153">
        <f>IF(W256&lt;=_noechmaxi1t,ROUND(AA256*'Données Projet 1 (2)'!H265,_nbdeci1t1),0)</f>
        <v>0</v>
      </c>
      <c r="AC256" s="152">
        <f>IF(OR(W256&lt;=_differe1t1t,W256&gt;_noechmaxi1t),IF(_difftotal1t1t,-AB256,0),IF(W256&gt;=_noechremb12,AA256,IF('Données Projet 1 (2)'!I265-(AB256*_echfixe12)&gt;AA256-2,AA256,'Données Projet 1 (2)'!I265-(AB256*_echfixe12))))+R256</f>
        <v>0</v>
      </c>
      <c r="AD256" s="154">
        <f t="shared" si="47"/>
        <v>0</v>
      </c>
      <c r="AE256" s="157">
        <f t="shared" si="39"/>
        <v>0</v>
      </c>
    </row>
    <row r="257" spans="1:31" x14ac:dyDescent="0.2">
      <c r="A257" s="3"/>
      <c r="B257" s="164"/>
      <c r="C257" s="22"/>
      <c r="D257" s="21"/>
      <c r="E257" s="23"/>
      <c r="F257" s="10"/>
      <c r="G257" s="5">
        <f t="shared" si="40"/>
        <v>251</v>
      </c>
      <c r="H257" s="7">
        <f t="shared" si="41"/>
        <v>170</v>
      </c>
      <c r="I257" s="8">
        <f t="shared" si="36"/>
        <v>2029</v>
      </c>
      <c r="J257" s="31">
        <f>IF(K257=0,"",IF(_ijour12=0,MIN(DATE(YEAR(_debamort12),MONTH(_debamort12)+(G257-1)*_imois12,_jour12),DATE(YEAR(_debamort12),MONTH(_debamort12)+1+(G257-1)*_imois12,0)),DATE(YEAR(_debamort12),MONTH(_debamort12),_jour12+(G257-1)*_ijour12)))</f>
        <v>47423</v>
      </c>
      <c r="K257" s="156">
        <f t="shared" si="42"/>
        <v>90641.300000000032</v>
      </c>
      <c r="L257" s="153">
        <f>IF(G257&lt;=_noeechmaxi1,ROUND(K257*'Données Projet 1 (2)'!A266,_nbdeci1t),0)</f>
        <v>140.49</v>
      </c>
      <c r="M257" s="152">
        <f>IF(OR(G257&lt;=_differe1t,G257&gt;_noeechmaxi1),IF(_difftotal1t,-L257,0),IF(G257&gt;=_noechremb1t,K257,IF('Données Projet 1 (2)'!B266-(L257*_echfixe1t)&gt;K257-2,K257,'Données Projet 1 (2)'!B266-(L257*_echfixe1t))))+B257</f>
        <v>466.42999999999995</v>
      </c>
      <c r="N257" s="154">
        <f t="shared" si="43"/>
        <v>15.6</v>
      </c>
      <c r="O257" s="157">
        <f t="shared" si="37"/>
        <v>622.52</v>
      </c>
      <c r="Q257" s="3"/>
      <c r="R257" s="164"/>
      <c r="S257" s="22"/>
      <c r="T257" s="21"/>
      <c r="U257" s="23"/>
      <c r="V257" s="10"/>
      <c r="W257" s="5" t="str">
        <f t="shared" si="44"/>
        <v/>
      </c>
      <c r="X257" s="7" t="str">
        <f t="shared" si="45"/>
        <v/>
      </c>
      <c r="Y257" s="8" t="str">
        <f t="shared" si="38"/>
        <v/>
      </c>
      <c r="Z257" s="31" t="str">
        <f>IF(AA257=0,"",IF(_ijour122=0,MIN(DATE(YEAR(_debamort122),MONTH(_debamort122)+(W257-1)*_imois122,__jou123),DATE(YEAR(_debamort122),MONTH(_debamort122)+1+(W257-1)*_imois122,0)),DATE(YEAR(_debamort122),MONTH(_debamort122),__jou123+(W257-1)*_ijour122)))</f>
        <v/>
      </c>
      <c r="AA257" s="156">
        <f t="shared" si="46"/>
        <v>0</v>
      </c>
      <c r="AB257" s="153">
        <f>IF(W257&lt;=_noechmaxi1t,ROUND(AA257*'Données Projet 1 (2)'!H266,_nbdeci1t1),0)</f>
        <v>0</v>
      </c>
      <c r="AC257" s="152">
        <f>IF(OR(W257&lt;=_differe1t1t,W257&gt;_noechmaxi1t),IF(_difftotal1t1t,-AB257,0),IF(W257&gt;=_noechremb12,AA257,IF('Données Projet 1 (2)'!I266-(AB257*_echfixe12)&gt;AA257-2,AA257,'Données Projet 1 (2)'!I266-(AB257*_echfixe12))))+R257</f>
        <v>0</v>
      </c>
      <c r="AD257" s="154">
        <f t="shared" si="47"/>
        <v>0</v>
      </c>
      <c r="AE257" s="157">
        <f t="shared" si="39"/>
        <v>0</v>
      </c>
    </row>
    <row r="258" spans="1:31" x14ac:dyDescent="0.2">
      <c r="A258" s="3"/>
      <c r="B258" s="164"/>
      <c r="C258" s="22"/>
      <c r="D258" s="21"/>
      <c r="E258" s="23"/>
      <c r="F258" s="10"/>
      <c r="G258" s="5">
        <f t="shared" si="40"/>
        <v>252</v>
      </c>
      <c r="H258" s="7">
        <f t="shared" si="41"/>
        <v>169</v>
      </c>
      <c r="I258" s="8">
        <f t="shared" si="36"/>
        <v>2029</v>
      </c>
      <c r="J258" s="31">
        <f>IF(K258=0,"",IF(_ijour12=0,MIN(DATE(YEAR(_debamort12),MONTH(_debamort12)+_MoisD+(G258-1)*_imois12,_jour212),DATE(YEAR(_debamort12),MONTH(_debamort12)+_MoisD+1+(G258-1)*_imois12,0)),DATE(YEAR(_debamort12),MONTH(_debamort12),_jour12+(G258-1)*_ijour12)))</f>
        <v>47453</v>
      </c>
      <c r="K258" s="156">
        <f t="shared" si="42"/>
        <v>90174.870000000039</v>
      </c>
      <c r="L258" s="153">
        <f>IF(G258&lt;=_noeechmaxi1,ROUND(K258*'Données Projet 1 (2)'!A267,_nbdeci1t),0)</f>
        <v>139.77000000000001</v>
      </c>
      <c r="M258" s="152">
        <f>IF(OR(G258&lt;=_differe1t,G258&gt;_noeechmaxi1),IF(_difftotal1t,-L258,0),IF(G258&gt;=_noechremb1t,K258,IF('Données Projet 1 (2)'!B267-(L258*_echfixe1t)&gt;K258-2,K258,'Données Projet 1 (2)'!B267-(L258*_echfixe1t))))+B258</f>
        <v>467.15</v>
      </c>
      <c r="N258" s="154">
        <f t="shared" si="43"/>
        <v>15.6</v>
      </c>
      <c r="O258" s="157">
        <f t="shared" si="37"/>
        <v>622.52</v>
      </c>
      <c r="Q258" s="3"/>
      <c r="R258" s="164"/>
      <c r="S258" s="22"/>
      <c r="T258" s="21"/>
      <c r="U258" s="23"/>
      <c r="V258" s="10"/>
      <c r="W258" s="5" t="str">
        <f t="shared" si="44"/>
        <v/>
      </c>
      <c r="X258" s="7" t="str">
        <f t="shared" si="45"/>
        <v/>
      </c>
      <c r="Y258" s="8" t="str">
        <f t="shared" si="38"/>
        <v/>
      </c>
      <c r="Z258" s="31" t="str">
        <f>IF(AA258=0,"",IF(_ijour122=0,MIN(DATE(YEAR(_debamort122),MONTH(_debamort122)+_moisd12+(W258-1)*_imois122,__jou21),DATE(YEAR(_debamort122),MONTH(_debamort122)+_moisd12+1+(W258-1)*_imois122,0)),DATE(YEAR(_debamort122),MONTH(_debamort122),__jou123+(W258-1)*_ijour122)))</f>
        <v/>
      </c>
      <c r="AA258" s="156">
        <f t="shared" si="46"/>
        <v>0</v>
      </c>
      <c r="AB258" s="153">
        <f>IF(W258&lt;=_noechmaxi1t,ROUND(AA258*'Données Projet 1 (2)'!H267,_nbdeci1t1),0)</f>
        <v>0</v>
      </c>
      <c r="AC258" s="152">
        <f>IF(OR(W258&lt;=_differe1t1t,W258&gt;_noechmaxi1t),IF(_difftotal1t1t,-AB258,0),IF(W258&gt;=_noechremb12,AA258,IF('Données Projet 1 (2)'!I267-(AB258*_echfixe12)&gt;AA258-2,AA258,'Données Projet 1 (2)'!I267-(AB258*_echfixe12))))+R258</f>
        <v>0</v>
      </c>
      <c r="AD258" s="154">
        <f t="shared" si="47"/>
        <v>0</v>
      </c>
      <c r="AE258" s="157">
        <f t="shared" si="39"/>
        <v>0</v>
      </c>
    </row>
    <row r="259" spans="1:31" x14ac:dyDescent="0.2">
      <c r="A259" s="3"/>
      <c r="B259" s="164"/>
      <c r="C259" s="22"/>
      <c r="D259" s="21"/>
      <c r="E259" s="23"/>
      <c r="F259" s="10"/>
      <c r="G259" s="5">
        <f t="shared" si="40"/>
        <v>253</v>
      </c>
      <c r="H259" s="7">
        <f t="shared" si="41"/>
        <v>168</v>
      </c>
      <c r="I259" s="8">
        <f t="shared" si="36"/>
        <v>2030</v>
      </c>
      <c r="J259" s="31">
        <f>IF(K259=0,"",IF(_ijour12=0,MIN(DATE(YEAR(_debamort12),MONTH(_debamort12)+(G259-1)*_imois12,_jour12),DATE(YEAR(_debamort12),MONTH(_debamort12)+1+(G259-1)*_imois12,0)),DATE(YEAR(_debamort12),MONTH(_debamort12),_jour12+(G259-1)*_ijour12)))</f>
        <v>47484</v>
      </c>
      <c r="K259" s="156">
        <f t="shared" si="42"/>
        <v>89707.720000000045</v>
      </c>
      <c r="L259" s="153">
        <f>IF(G259&lt;=_noeechmaxi1,ROUND(K259*'Données Projet 1 (2)'!A268,_nbdeci1t),0)</f>
        <v>139.05000000000001</v>
      </c>
      <c r="M259" s="152">
        <f>IF(OR(G259&lt;=_differe1t,G259&gt;_noeechmaxi1),IF(_difftotal1t,-L259,0),IF(G259&gt;=_noechremb1t,K259,IF('Données Projet 1 (2)'!B268-(L259*_echfixe1t)&gt;K259-2,K259,'Données Projet 1 (2)'!B268-(L259*_echfixe1t))))+B259</f>
        <v>467.86999999999995</v>
      </c>
      <c r="N259" s="154">
        <f t="shared" si="43"/>
        <v>15.6</v>
      </c>
      <c r="O259" s="157">
        <f t="shared" si="37"/>
        <v>622.52</v>
      </c>
      <c r="Q259" s="3"/>
      <c r="R259" s="164"/>
      <c r="S259" s="22"/>
      <c r="T259" s="21"/>
      <c r="U259" s="23"/>
      <c r="V259" s="10"/>
      <c r="W259" s="5" t="str">
        <f t="shared" si="44"/>
        <v/>
      </c>
      <c r="X259" s="7" t="str">
        <f t="shared" si="45"/>
        <v/>
      </c>
      <c r="Y259" s="8" t="str">
        <f t="shared" si="38"/>
        <v/>
      </c>
      <c r="Z259" s="31" t="str">
        <f>IF(AA259=0,"",IF(_ijour122=0,MIN(DATE(YEAR(_debamort122),MONTH(_debamort122)+(W259-1)*_imois122,__jou123),DATE(YEAR(_debamort122),MONTH(_debamort122)+1+(W259-1)*_imois122,0)),DATE(YEAR(_debamort122),MONTH(_debamort122),__jou123+(W259-1)*_ijour122)))</f>
        <v/>
      </c>
      <c r="AA259" s="156">
        <f t="shared" si="46"/>
        <v>0</v>
      </c>
      <c r="AB259" s="153">
        <f>IF(W259&lt;=_noechmaxi1t,ROUND(AA259*'Données Projet 1 (2)'!H268,_nbdeci1t1),0)</f>
        <v>0</v>
      </c>
      <c r="AC259" s="152">
        <f>IF(OR(W259&lt;=_differe1t1t,W259&gt;_noechmaxi1t),IF(_difftotal1t1t,-AB259,0),IF(W259&gt;=_noechremb12,AA259,IF('Données Projet 1 (2)'!I268-(AB259*_echfixe12)&gt;AA259-2,AA259,'Données Projet 1 (2)'!I268-(AB259*_echfixe12))))+R259</f>
        <v>0</v>
      </c>
      <c r="AD259" s="154">
        <f t="shared" si="47"/>
        <v>0</v>
      </c>
      <c r="AE259" s="157">
        <f t="shared" si="39"/>
        <v>0</v>
      </c>
    </row>
    <row r="260" spans="1:31" x14ac:dyDescent="0.2">
      <c r="A260" s="3"/>
      <c r="B260" s="164"/>
      <c r="C260" s="22"/>
      <c r="D260" s="21"/>
      <c r="E260" s="23"/>
      <c r="F260" s="10"/>
      <c r="G260" s="5">
        <f t="shared" si="40"/>
        <v>254</v>
      </c>
      <c r="H260" s="7">
        <f t="shared" si="41"/>
        <v>167</v>
      </c>
      <c r="I260" s="8">
        <f t="shared" si="36"/>
        <v>2030</v>
      </c>
      <c r="J260" s="31">
        <f>IF(K260=0,"",IF(_ijour12=0,MIN(DATE(YEAR(_debamort12),MONTH(_debamort12)+_MoisD+(G260-1)*_imois12,_jour212),DATE(YEAR(_debamort12),MONTH(_debamort12)+_MoisD+1+(G260-1)*_imois12,0)),DATE(YEAR(_debamort12),MONTH(_debamort12),_jour12+(G260-1)*_ijour12)))</f>
        <v>47515</v>
      </c>
      <c r="K260" s="156">
        <f t="shared" si="42"/>
        <v>89239.850000000049</v>
      </c>
      <c r="L260" s="153">
        <f>IF(G260&lt;=_noeechmaxi1,ROUND(K260*'Données Projet 1 (2)'!A269,_nbdeci1t),0)</f>
        <v>138.32</v>
      </c>
      <c r="M260" s="152">
        <f>IF(OR(G260&lt;=_differe1t,G260&gt;_noeechmaxi1),IF(_difftotal1t,-L260,0),IF(G260&gt;=_noechremb1t,K260,IF('Données Projet 1 (2)'!B269-(L260*_echfixe1t)&gt;K260-2,K260,'Données Projet 1 (2)'!B269-(L260*_echfixe1t))))+B260</f>
        <v>468.59999999999997</v>
      </c>
      <c r="N260" s="154">
        <f t="shared" si="43"/>
        <v>15.6</v>
      </c>
      <c r="O260" s="157">
        <f t="shared" si="37"/>
        <v>622.52</v>
      </c>
      <c r="Q260" s="3"/>
      <c r="R260" s="164"/>
      <c r="S260" s="22"/>
      <c r="T260" s="21"/>
      <c r="U260" s="23"/>
      <c r="V260" s="10"/>
      <c r="W260" s="5" t="str">
        <f t="shared" si="44"/>
        <v/>
      </c>
      <c r="X260" s="7" t="str">
        <f t="shared" si="45"/>
        <v/>
      </c>
      <c r="Y260" s="8" t="str">
        <f t="shared" si="38"/>
        <v/>
      </c>
      <c r="Z260" s="31" t="str">
        <f>IF(AA260=0,"",IF(_ijour122=0,MIN(DATE(YEAR(_debamort122),MONTH(_debamort122)+_moisd12+(W260-1)*_imois122,__jou21),DATE(YEAR(_debamort122),MONTH(_debamort122)+_moisd12+1+(W260-1)*_imois122,0)),DATE(YEAR(_debamort122),MONTH(_debamort122),__jou123+(W260-1)*_ijour122)))</f>
        <v/>
      </c>
      <c r="AA260" s="156">
        <f t="shared" si="46"/>
        <v>0</v>
      </c>
      <c r="AB260" s="153">
        <f>IF(W260&lt;=_noechmaxi1t,ROUND(AA260*'Données Projet 1 (2)'!H269,_nbdeci1t1),0)</f>
        <v>0</v>
      </c>
      <c r="AC260" s="152">
        <f>IF(OR(W260&lt;=_differe1t1t,W260&gt;_noechmaxi1t),IF(_difftotal1t1t,-AB260,0),IF(W260&gt;=_noechremb12,AA260,IF('Données Projet 1 (2)'!I269-(AB260*_echfixe12)&gt;AA260-2,AA260,'Données Projet 1 (2)'!I269-(AB260*_echfixe12))))+R260</f>
        <v>0</v>
      </c>
      <c r="AD260" s="154">
        <f t="shared" si="47"/>
        <v>0</v>
      </c>
      <c r="AE260" s="157">
        <f t="shared" si="39"/>
        <v>0</v>
      </c>
    </row>
    <row r="261" spans="1:31" x14ac:dyDescent="0.2">
      <c r="A261" s="3"/>
      <c r="B261" s="164"/>
      <c r="C261" s="22"/>
      <c r="D261" s="21"/>
      <c r="E261" s="23"/>
      <c r="F261" s="10"/>
      <c r="G261" s="5">
        <f t="shared" si="40"/>
        <v>255</v>
      </c>
      <c r="H261" s="7">
        <f t="shared" si="41"/>
        <v>166</v>
      </c>
      <c r="I261" s="8">
        <f t="shared" si="36"/>
        <v>2030</v>
      </c>
      <c r="J261" s="31">
        <f>IF(K261=0,"",IF(_ijour12=0,MIN(DATE(YEAR(_debamort12),MONTH(_debamort12)+(G261-1)*_imois12,_jour12),DATE(YEAR(_debamort12),MONTH(_debamort12)+1+(G261-1)*_imois12,0)),DATE(YEAR(_debamort12),MONTH(_debamort12),_jour12+(G261-1)*_ijour12)))</f>
        <v>47543</v>
      </c>
      <c r="K261" s="156">
        <f t="shared" si="42"/>
        <v>88771.250000000044</v>
      </c>
      <c r="L261" s="153">
        <f>IF(G261&lt;=_noeechmaxi1,ROUND(K261*'Données Projet 1 (2)'!A270,_nbdeci1t),0)</f>
        <v>137.6</v>
      </c>
      <c r="M261" s="152">
        <f>IF(OR(G261&lt;=_differe1t,G261&gt;_noeechmaxi1),IF(_difftotal1t,-L261,0),IF(G261&gt;=_noechremb1t,K261,IF('Données Projet 1 (2)'!B270-(L261*_echfixe1t)&gt;K261-2,K261,'Données Projet 1 (2)'!B270-(L261*_echfixe1t))))+B261</f>
        <v>469.31999999999994</v>
      </c>
      <c r="N261" s="154">
        <f t="shared" si="43"/>
        <v>15.6</v>
      </c>
      <c r="O261" s="157">
        <f t="shared" si="37"/>
        <v>622.52</v>
      </c>
      <c r="Q261" s="3"/>
      <c r="R261" s="164"/>
      <c r="S261" s="22"/>
      <c r="T261" s="21"/>
      <c r="U261" s="23"/>
      <c r="V261" s="10"/>
      <c r="W261" s="5" t="str">
        <f t="shared" si="44"/>
        <v/>
      </c>
      <c r="X261" s="7" t="str">
        <f t="shared" si="45"/>
        <v/>
      </c>
      <c r="Y261" s="8" t="str">
        <f t="shared" si="38"/>
        <v/>
      </c>
      <c r="Z261" s="31" t="str">
        <f>IF(AA261=0,"",IF(_ijour122=0,MIN(DATE(YEAR(_debamort122),MONTH(_debamort122)+(W261-1)*_imois122,__jou123),DATE(YEAR(_debamort122),MONTH(_debamort122)+1+(W261-1)*_imois122,0)),DATE(YEAR(_debamort122),MONTH(_debamort122),__jou123+(W261-1)*_ijour122)))</f>
        <v/>
      </c>
      <c r="AA261" s="156">
        <f t="shared" si="46"/>
        <v>0</v>
      </c>
      <c r="AB261" s="153">
        <f>IF(W261&lt;=_noechmaxi1t,ROUND(AA261*'Données Projet 1 (2)'!H270,_nbdeci1t1),0)</f>
        <v>0</v>
      </c>
      <c r="AC261" s="152">
        <f>IF(OR(W261&lt;=_differe1t1t,W261&gt;_noechmaxi1t),IF(_difftotal1t1t,-AB261,0),IF(W261&gt;=_noechremb12,AA261,IF('Données Projet 1 (2)'!I270-(AB261*_echfixe12)&gt;AA261-2,AA261,'Données Projet 1 (2)'!I270-(AB261*_echfixe12))))+R261</f>
        <v>0</v>
      </c>
      <c r="AD261" s="154">
        <f t="shared" si="47"/>
        <v>0</v>
      </c>
      <c r="AE261" s="157">
        <f t="shared" si="39"/>
        <v>0</v>
      </c>
    </row>
    <row r="262" spans="1:31" x14ac:dyDescent="0.2">
      <c r="A262" s="3"/>
      <c r="B262" s="164"/>
      <c r="C262" s="22"/>
      <c r="D262" s="21"/>
      <c r="E262" s="23"/>
      <c r="F262" s="10"/>
      <c r="G262" s="5">
        <f t="shared" si="40"/>
        <v>256</v>
      </c>
      <c r="H262" s="7">
        <f t="shared" si="41"/>
        <v>165</v>
      </c>
      <c r="I262" s="8">
        <f t="shared" ref="I262:I325" si="48">IF(ISNUMBER(J262),YEAR(J262),"")</f>
        <v>2030</v>
      </c>
      <c r="J262" s="31">
        <f>IF(K262=0,"",IF(_ijour12=0,MIN(DATE(YEAR(_debamort12),MONTH(_debamort12)+_MoisD+(G262-1)*_imois12,_jour212),DATE(YEAR(_debamort12),MONTH(_debamort12)+_MoisD+1+(G262-1)*_imois12,0)),DATE(YEAR(_debamort12),MONTH(_debamort12),_jour12+(G262-1)*_ijour12)))</f>
        <v>47574</v>
      </c>
      <c r="K262" s="156">
        <f t="shared" si="42"/>
        <v>88301.930000000037</v>
      </c>
      <c r="L262" s="153">
        <f>IF(G262&lt;=_noeechmaxi1,ROUND(K262*'Données Projet 1 (2)'!A271,_nbdeci1t),0)</f>
        <v>136.87</v>
      </c>
      <c r="M262" s="152">
        <f>IF(OR(G262&lt;=_differe1t,G262&gt;_noeechmaxi1),IF(_difftotal1t,-L262,0),IF(G262&gt;=_noechremb1t,K262,IF('Données Projet 1 (2)'!B271-(L262*_echfixe1t)&gt;K262-2,K262,'Données Projet 1 (2)'!B271-(L262*_echfixe1t))))+B262</f>
        <v>470.04999999999995</v>
      </c>
      <c r="N262" s="154">
        <f t="shared" si="43"/>
        <v>15.6</v>
      </c>
      <c r="O262" s="157">
        <f t="shared" ref="O262:O325" si="49">SUM(L262:N262)</f>
        <v>622.52</v>
      </c>
      <c r="Q262" s="3"/>
      <c r="R262" s="164"/>
      <c r="S262" s="22"/>
      <c r="T262" s="21"/>
      <c r="U262" s="23"/>
      <c r="V262" s="10"/>
      <c r="W262" s="5" t="str">
        <f t="shared" si="44"/>
        <v/>
      </c>
      <c r="X262" s="7" t="str">
        <f t="shared" si="45"/>
        <v/>
      </c>
      <c r="Y262" s="8" t="str">
        <f t="shared" ref="Y262:Y325" si="50">IF(ISNUMBER(Z262),YEAR(Z262),"")</f>
        <v/>
      </c>
      <c r="Z262" s="31" t="str">
        <f>IF(AA262=0,"",IF(_ijour122=0,MIN(DATE(YEAR(_debamort122),MONTH(_debamort122)+_moisd12+(W262-1)*_imois122,__jou21),DATE(YEAR(_debamort122),MONTH(_debamort122)+_moisd12+1+(W262-1)*_imois122,0)),DATE(YEAR(_debamort122),MONTH(_debamort122),__jou123+(W262-1)*_ijour122)))</f>
        <v/>
      </c>
      <c r="AA262" s="156">
        <f t="shared" si="46"/>
        <v>0</v>
      </c>
      <c r="AB262" s="153">
        <f>IF(W262&lt;=_noechmaxi1t,ROUND(AA262*'Données Projet 1 (2)'!H271,_nbdeci1t1),0)</f>
        <v>0</v>
      </c>
      <c r="AC262" s="152">
        <f>IF(OR(W262&lt;=_differe1t1t,W262&gt;_noechmaxi1t),IF(_difftotal1t1t,-AB262,0),IF(W262&gt;=_noechremb12,AA262,IF('Données Projet 1 (2)'!I271-(AB262*_echfixe12)&gt;AA262-2,AA262,'Données Projet 1 (2)'!I271-(AB262*_echfixe12))))+R262</f>
        <v>0</v>
      </c>
      <c r="AD262" s="154">
        <f t="shared" si="47"/>
        <v>0</v>
      </c>
      <c r="AE262" s="157">
        <f t="shared" ref="AE262:AE325" si="51">SUM(AB262:AD262)</f>
        <v>0</v>
      </c>
    </row>
    <row r="263" spans="1:31" x14ac:dyDescent="0.2">
      <c r="A263" s="3"/>
      <c r="B263" s="164"/>
      <c r="C263" s="22"/>
      <c r="D263" s="21"/>
      <c r="E263" s="23"/>
      <c r="F263" s="10"/>
      <c r="G263" s="5">
        <f t="shared" ref="G263:G326" si="52">IF(K263=0,"",G262+1)</f>
        <v>257</v>
      </c>
      <c r="H263" s="7">
        <f t="shared" ref="H263:H326" si="53">IF(K263&gt;0,_nbech123+_differe1t+1-G263,"")</f>
        <v>164</v>
      </c>
      <c r="I263" s="8">
        <f t="shared" si="48"/>
        <v>2030</v>
      </c>
      <c r="J263" s="31">
        <f>IF(K263=0,"",IF(_ijour12=0,MIN(DATE(YEAR(_debamort12),MONTH(_debamort12)+(G263-1)*_imois12,_jour12),DATE(YEAR(_debamort12),MONTH(_debamort12)+1+(G263-1)*_imois12,0)),DATE(YEAR(_debamort12),MONTH(_debamort12),_jour12+(G263-1)*_ijour12)))</f>
        <v>47604</v>
      </c>
      <c r="K263" s="156">
        <f t="shared" ref="K263:K326" si="54">K262-M262</f>
        <v>87831.880000000034</v>
      </c>
      <c r="L263" s="153">
        <f>IF(G263&lt;=_noeechmaxi1,ROUND(K263*'Données Projet 1 (2)'!A272,_nbdeci1t),0)</f>
        <v>136.13999999999999</v>
      </c>
      <c r="M263" s="152">
        <f>IF(OR(G263&lt;=_differe1t,G263&gt;_noeechmaxi1),IF(_difftotal1t,-L263,0),IF(G263&gt;=_noechremb1t,K263,IF('Données Projet 1 (2)'!B272-(L263*_echfixe1t)&gt;K263-2,K263,'Données Projet 1 (2)'!B272-(L263*_echfixe1t))))+B263</f>
        <v>470.78</v>
      </c>
      <c r="N263" s="154">
        <f t="shared" ref="N263:N326" si="55">IF(OR(K263=0,G263&gt;_noeechmaxi1),0,ROUND(_fraisf12+_fraisv12*K263,_nbdeci1t))+E263</f>
        <v>15.6</v>
      </c>
      <c r="O263" s="157">
        <f t="shared" si="49"/>
        <v>622.52</v>
      </c>
      <c r="Q263" s="3"/>
      <c r="R263" s="164"/>
      <c r="S263" s="22"/>
      <c r="T263" s="21"/>
      <c r="U263" s="23"/>
      <c r="V263" s="10"/>
      <c r="W263" s="5" t="str">
        <f t="shared" ref="W263:W326" si="56">IF(AA263=0,"",W262+1)</f>
        <v/>
      </c>
      <c r="X263" s="7" t="str">
        <f t="shared" ref="X263:X326" si="57">IF(AA263&gt;0,_nbech1234+_differe1t1t+1-W263,"")</f>
        <v/>
      </c>
      <c r="Y263" s="8" t="str">
        <f t="shared" si="50"/>
        <v/>
      </c>
      <c r="Z263" s="31" t="str">
        <f>IF(AA263=0,"",IF(_ijour122=0,MIN(DATE(YEAR(_debamort122),MONTH(_debamort122)+(W263-1)*_imois122,__jou123),DATE(YEAR(_debamort122),MONTH(_debamort122)+1+(W263-1)*_imois122,0)),DATE(YEAR(_debamort122),MONTH(_debamort122),__jou123+(W263-1)*_ijour122)))</f>
        <v/>
      </c>
      <c r="AA263" s="156">
        <f t="shared" ref="AA263:AA326" si="58">AA262-AC262</f>
        <v>0</v>
      </c>
      <c r="AB263" s="153">
        <f>IF(W263&lt;=_noechmaxi1t,ROUND(AA263*'Données Projet 1 (2)'!H272,_nbdeci1t1),0)</f>
        <v>0</v>
      </c>
      <c r="AC263" s="152">
        <f>IF(OR(W263&lt;=_differe1t1t,W263&gt;_noechmaxi1t),IF(_difftotal1t1t,-AB263,0),IF(W263&gt;=_noechremb12,AA263,IF('Données Projet 1 (2)'!I272-(AB263*_echfixe12)&gt;AA263-2,AA263,'Données Projet 1 (2)'!I272-(AB263*_echfixe12))))+R263</f>
        <v>0</v>
      </c>
      <c r="AD263" s="154">
        <f t="shared" ref="AD263:AD326" si="59">IF(OR(AA263=0,W263&gt;_noechmaxi1t),0,ROUND(_fraisf123+_fraisv123*AA263,_nbdeci1t1))+U263</f>
        <v>0</v>
      </c>
      <c r="AE263" s="157">
        <f t="shared" si="51"/>
        <v>0</v>
      </c>
    </row>
    <row r="264" spans="1:31" x14ac:dyDescent="0.2">
      <c r="A264" s="3"/>
      <c r="B264" s="164"/>
      <c r="C264" s="22"/>
      <c r="D264" s="21"/>
      <c r="E264" s="23"/>
      <c r="F264" s="10"/>
      <c r="G264" s="5">
        <f t="shared" si="52"/>
        <v>258</v>
      </c>
      <c r="H264" s="7">
        <f t="shared" si="53"/>
        <v>163</v>
      </c>
      <c r="I264" s="8">
        <f t="shared" si="48"/>
        <v>2030</v>
      </c>
      <c r="J264" s="31">
        <f>IF(K264=0,"",IF(_ijour12=0,MIN(DATE(YEAR(_debamort12),MONTH(_debamort12)+_MoisD+(G264-1)*_imois12,_jour212),DATE(YEAR(_debamort12),MONTH(_debamort12)+_MoisD+1+(G264-1)*_imois12,0)),DATE(YEAR(_debamort12),MONTH(_debamort12),_jour12+(G264-1)*_ijour12)))</f>
        <v>47635</v>
      </c>
      <c r="K264" s="156">
        <f t="shared" si="54"/>
        <v>87361.100000000035</v>
      </c>
      <c r="L264" s="153">
        <f>IF(G264&lt;=_noeechmaxi1,ROUND(K264*'Données Projet 1 (2)'!A273,_nbdeci1t),0)</f>
        <v>135.41</v>
      </c>
      <c r="M264" s="152">
        <f>IF(OR(G264&lt;=_differe1t,G264&gt;_noeechmaxi1),IF(_difftotal1t,-L264,0),IF(G264&gt;=_noechremb1t,K264,IF('Données Projet 1 (2)'!B273-(L264*_echfixe1t)&gt;K264-2,K264,'Données Projet 1 (2)'!B273-(L264*_echfixe1t))))+B264</f>
        <v>471.51</v>
      </c>
      <c r="N264" s="154">
        <f t="shared" si="55"/>
        <v>15.6</v>
      </c>
      <c r="O264" s="157">
        <f t="shared" si="49"/>
        <v>622.52</v>
      </c>
      <c r="Q264" s="3"/>
      <c r="R264" s="164"/>
      <c r="S264" s="22"/>
      <c r="T264" s="21"/>
      <c r="U264" s="23"/>
      <c r="V264" s="10"/>
      <c r="W264" s="5" t="str">
        <f t="shared" si="56"/>
        <v/>
      </c>
      <c r="X264" s="7" t="str">
        <f t="shared" si="57"/>
        <v/>
      </c>
      <c r="Y264" s="8" t="str">
        <f t="shared" si="50"/>
        <v/>
      </c>
      <c r="Z264" s="31" t="str">
        <f>IF(AA264=0,"",IF(_ijour122=0,MIN(DATE(YEAR(_debamort122),MONTH(_debamort122)+_moisd12+(W264-1)*_imois122,__jou21),DATE(YEAR(_debamort122),MONTH(_debamort122)+_moisd12+1+(W264-1)*_imois122,0)),DATE(YEAR(_debamort122),MONTH(_debamort122),__jou123+(W264-1)*_ijour122)))</f>
        <v/>
      </c>
      <c r="AA264" s="156">
        <f t="shared" si="58"/>
        <v>0</v>
      </c>
      <c r="AB264" s="153">
        <f>IF(W264&lt;=_noechmaxi1t,ROUND(AA264*'Données Projet 1 (2)'!H273,_nbdeci1t1),0)</f>
        <v>0</v>
      </c>
      <c r="AC264" s="152">
        <f>IF(OR(W264&lt;=_differe1t1t,W264&gt;_noechmaxi1t),IF(_difftotal1t1t,-AB264,0),IF(W264&gt;=_noechremb12,AA264,IF('Données Projet 1 (2)'!I273-(AB264*_echfixe12)&gt;AA264-2,AA264,'Données Projet 1 (2)'!I273-(AB264*_echfixe12))))+R264</f>
        <v>0</v>
      </c>
      <c r="AD264" s="154">
        <f t="shared" si="59"/>
        <v>0</v>
      </c>
      <c r="AE264" s="157">
        <f t="shared" si="51"/>
        <v>0</v>
      </c>
    </row>
    <row r="265" spans="1:31" x14ac:dyDescent="0.2">
      <c r="A265" s="3"/>
      <c r="B265" s="164"/>
      <c r="C265" s="22"/>
      <c r="D265" s="21"/>
      <c r="E265" s="23"/>
      <c r="F265" s="10"/>
      <c r="G265" s="5">
        <f t="shared" si="52"/>
        <v>259</v>
      </c>
      <c r="H265" s="7">
        <f t="shared" si="53"/>
        <v>162</v>
      </c>
      <c r="I265" s="8">
        <f t="shared" si="48"/>
        <v>2030</v>
      </c>
      <c r="J265" s="31">
        <f>IF(K265=0,"",IF(_ijour12=0,MIN(DATE(YEAR(_debamort12),MONTH(_debamort12)+(G265-1)*_imois12,_jour12),DATE(YEAR(_debamort12),MONTH(_debamort12)+1+(G265-1)*_imois12,0)),DATE(YEAR(_debamort12),MONTH(_debamort12),_jour12+(G265-1)*_ijour12)))</f>
        <v>47665</v>
      </c>
      <c r="K265" s="156">
        <f t="shared" si="54"/>
        <v>86889.59000000004</v>
      </c>
      <c r="L265" s="153">
        <f>IF(G265&lt;=_noeechmaxi1,ROUND(K265*'Données Projet 1 (2)'!A274,_nbdeci1t),0)</f>
        <v>134.68</v>
      </c>
      <c r="M265" s="152">
        <f>IF(OR(G265&lt;=_differe1t,G265&gt;_noeechmaxi1),IF(_difftotal1t,-L265,0),IF(G265&gt;=_noechremb1t,K265,IF('Données Projet 1 (2)'!B274-(L265*_echfixe1t)&gt;K265-2,K265,'Données Projet 1 (2)'!B274-(L265*_echfixe1t))))+B265</f>
        <v>472.23999999999995</v>
      </c>
      <c r="N265" s="154">
        <f t="shared" si="55"/>
        <v>15.6</v>
      </c>
      <c r="O265" s="157">
        <f t="shared" si="49"/>
        <v>622.52</v>
      </c>
      <c r="Q265" s="3"/>
      <c r="R265" s="164"/>
      <c r="S265" s="22"/>
      <c r="T265" s="21"/>
      <c r="U265" s="23"/>
      <c r="V265" s="10"/>
      <c r="W265" s="5" t="str">
        <f t="shared" si="56"/>
        <v/>
      </c>
      <c r="X265" s="7" t="str">
        <f t="shared" si="57"/>
        <v/>
      </c>
      <c r="Y265" s="8" t="str">
        <f t="shared" si="50"/>
        <v/>
      </c>
      <c r="Z265" s="31" t="str">
        <f>IF(AA265=0,"",IF(_ijour122=0,MIN(DATE(YEAR(_debamort122),MONTH(_debamort122)+(W265-1)*_imois122,__jou123),DATE(YEAR(_debamort122),MONTH(_debamort122)+1+(W265-1)*_imois122,0)),DATE(YEAR(_debamort122),MONTH(_debamort122),__jou123+(W265-1)*_ijour122)))</f>
        <v/>
      </c>
      <c r="AA265" s="156">
        <f t="shared" si="58"/>
        <v>0</v>
      </c>
      <c r="AB265" s="153">
        <f>IF(W265&lt;=_noechmaxi1t,ROUND(AA265*'Données Projet 1 (2)'!H274,_nbdeci1t1),0)</f>
        <v>0</v>
      </c>
      <c r="AC265" s="152">
        <f>IF(OR(W265&lt;=_differe1t1t,W265&gt;_noechmaxi1t),IF(_difftotal1t1t,-AB265,0),IF(W265&gt;=_noechremb12,AA265,IF('Données Projet 1 (2)'!I274-(AB265*_echfixe12)&gt;AA265-2,AA265,'Données Projet 1 (2)'!I274-(AB265*_echfixe12))))+R265</f>
        <v>0</v>
      </c>
      <c r="AD265" s="154">
        <f t="shared" si="59"/>
        <v>0</v>
      </c>
      <c r="AE265" s="157">
        <f t="shared" si="51"/>
        <v>0</v>
      </c>
    </row>
    <row r="266" spans="1:31" x14ac:dyDescent="0.2">
      <c r="A266" s="3"/>
      <c r="B266" s="164"/>
      <c r="C266" s="22"/>
      <c r="D266" s="21"/>
      <c r="E266" s="23"/>
      <c r="F266" s="10"/>
      <c r="G266" s="5">
        <f t="shared" si="52"/>
        <v>260</v>
      </c>
      <c r="H266" s="7">
        <f t="shared" si="53"/>
        <v>161</v>
      </c>
      <c r="I266" s="8">
        <f t="shared" si="48"/>
        <v>2030</v>
      </c>
      <c r="J266" s="31">
        <f>IF(K266=0,"",IF(_ijour12=0,MIN(DATE(YEAR(_debamort12),MONTH(_debamort12)+_MoisD+(G266-1)*_imois12,_jour212),DATE(YEAR(_debamort12),MONTH(_debamort12)+_MoisD+1+(G266-1)*_imois12,0)),DATE(YEAR(_debamort12),MONTH(_debamort12),_jour12+(G266-1)*_ijour12)))</f>
        <v>47696</v>
      </c>
      <c r="K266" s="156">
        <f t="shared" si="54"/>
        <v>86417.350000000035</v>
      </c>
      <c r="L266" s="153">
        <f>IF(G266&lt;=_noeechmaxi1,ROUND(K266*'Données Projet 1 (2)'!A275,_nbdeci1t),0)</f>
        <v>133.94999999999999</v>
      </c>
      <c r="M266" s="152">
        <f>IF(OR(G266&lt;=_differe1t,G266&gt;_noeechmaxi1),IF(_difftotal1t,-L266,0),IF(G266&gt;=_noechremb1t,K266,IF('Données Projet 1 (2)'!B275-(L266*_echfixe1t)&gt;K266-2,K266,'Données Projet 1 (2)'!B275-(L266*_echfixe1t))))+B266</f>
        <v>472.96999999999997</v>
      </c>
      <c r="N266" s="154">
        <f t="shared" si="55"/>
        <v>15.6</v>
      </c>
      <c r="O266" s="157">
        <f t="shared" si="49"/>
        <v>622.52</v>
      </c>
      <c r="Q266" s="3"/>
      <c r="R266" s="164"/>
      <c r="S266" s="22"/>
      <c r="T266" s="21"/>
      <c r="U266" s="23"/>
      <c r="V266" s="10"/>
      <c r="W266" s="5" t="str">
        <f t="shared" si="56"/>
        <v/>
      </c>
      <c r="X266" s="7" t="str">
        <f t="shared" si="57"/>
        <v/>
      </c>
      <c r="Y266" s="8" t="str">
        <f t="shared" si="50"/>
        <v/>
      </c>
      <c r="Z266" s="31" t="str">
        <f>IF(AA266=0,"",IF(_ijour122=0,MIN(DATE(YEAR(_debamort122),MONTH(_debamort122)+_moisd12+(W266-1)*_imois122,__jou21),DATE(YEAR(_debamort122),MONTH(_debamort122)+_moisd12+1+(W266-1)*_imois122,0)),DATE(YEAR(_debamort122),MONTH(_debamort122),__jou123+(W266-1)*_ijour122)))</f>
        <v/>
      </c>
      <c r="AA266" s="156">
        <f t="shared" si="58"/>
        <v>0</v>
      </c>
      <c r="AB266" s="153">
        <f>IF(W266&lt;=_noechmaxi1t,ROUND(AA266*'Données Projet 1 (2)'!H275,_nbdeci1t1),0)</f>
        <v>0</v>
      </c>
      <c r="AC266" s="152">
        <f>IF(OR(W266&lt;=_differe1t1t,W266&gt;_noechmaxi1t),IF(_difftotal1t1t,-AB266,0),IF(W266&gt;=_noechremb12,AA266,IF('Données Projet 1 (2)'!I275-(AB266*_echfixe12)&gt;AA266-2,AA266,'Données Projet 1 (2)'!I275-(AB266*_echfixe12))))+R266</f>
        <v>0</v>
      </c>
      <c r="AD266" s="154">
        <f t="shared" si="59"/>
        <v>0</v>
      </c>
      <c r="AE266" s="157">
        <f t="shared" si="51"/>
        <v>0</v>
      </c>
    </row>
    <row r="267" spans="1:31" x14ac:dyDescent="0.2">
      <c r="A267" s="3"/>
      <c r="B267" s="164"/>
      <c r="C267" s="22"/>
      <c r="D267" s="21"/>
      <c r="E267" s="23"/>
      <c r="F267" s="10"/>
      <c r="G267" s="5">
        <f t="shared" si="52"/>
        <v>261</v>
      </c>
      <c r="H267" s="7">
        <f t="shared" si="53"/>
        <v>160</v>
      </c>
      <c r="I267" s="8">
        <f t="shared" si="48"/>
        <v>2030</v>
      </c>
      <c r="J267" s="31">
        <f>IF(K267=0,"",IF(_ijour12=0,MIN(DATE(YEAR(_debamort12),MONTH(_debamort12)+(G267-1)*_imois12,_jour12),DATE(YEAR(_debamort12),MONTH(_debamort12)+1+(G267-1)*_imois12,0)),DATE(YEAR(_debamort12),MONTH(_debamort12),_jour12+(G267-1)*_ijour12)))</f>
        <v>47727</v>
      </c>
      <c r="K267" s="156">
        <f t="shared" si="54"/>
        <v>85944.380000000034</v>
      </c>
      <c r="L267" s="153">
        <f>IF(G267&lt;=_noeechmaxi1,ROUND(K267*'Données Projet 1 (2)'!A276,_nbdeci1t),0)</f>
        <v>133.21</v>
      </c>
      <c r="M267" s="152">
        <f>IF(OR(G267&lt;=_differe1t,G267&gt;_noeechmaxi1),IF(_difftotal1t,-L267,0),IF(G267&gt;=_noechremb1t,K267,IF('Données Projet 1 (2)'!B276-(L267*_echfixe1t)&gt;K267-2,K267,'Données Projet 1 (2)'!B276-(L267*_echfixe1t))))+B267</f>
        <v>473.70999999999992</v>
      </c>
      <c r="N267" s="154">
        <f t="shared" si="55"/>
        <v>15.6</v>
      </c>
      <c r="O267" s="157">
        <f t="shared" si="49"/>
        <v>622.52</v>
      </c>
      <c r="Q267" s="3"/>
      <c r="R267" s="164"/>
      <c r="S267" s="22"/>
      <c r="T267" s="21"/>
      <c r="U267" s="23"/>
      <c r="V267" s="10"/>
      <c r="W267" s="5" t="str">
        <f t="shared" si="56"/>
        <v/>
      </c>
      <c r="X267" s="7" t="str">
        <f t="shared" si="57"/>
        <v/>
      </c>
      <c r="Y267" s="8" t="str">
        <f t="shared" si="50"/>
        <v/>
      </c>
      <c r="Z267" s="31" t="str">
        <f>IF(AA267=0,"",IF(_ijour122=0,MIN(DATE(YEAR(_debamort122),MONTH(_debamort122)+(W267-1)*_imois122,__jou123),DATE(YEAR(_debamort122),MONTH(_debamort122)+1+(W267-1)*_imois122,0)),DATE(YEAR(_debamort122),MONTH(_debamort122),__jou123+(W267-1)*_ijour122)))</f>
        <v/>
      </c>
      <c r="AA267" s="156">
        <f t="shared" si="58"/>
        <v>0</v>
      </c>
      <c r="AB267" s="153">
        <f>IF(W267&lt;=_noechmaxi1t,ROUND(AA267*'Données Projet 1 (2)'!H276,_nbdeci1t1),0)</f>
        <v>0</v>
      </c>
      <c r="AC267" s="152">
        <f>IF(OR(W267&lt;=_differe1t1t,W267&gt;_noechmaxi1t),IF(_difftotal1t1t,-AB267,0),IF(W267&gt;=_noechremb12,AA267,IF('Données Projet 1 (2)'!I276-(AB267*_echfixe12)&gt;AA267-2,AA267,'Données Projet 1 (2)'!I276-(AB267*_echfixe12))))+R267</f>
        <v>0</v>
      </c>
      <c r="AD267" s="154">
        <f t="shared" si="59"/>
        <v>0</v>
      </c>
      <c r="AE267" s="157">
        <f t="shared" si="51"/>
        <v>0</v>
      </c>
    </row>
    <row r="268" spans="1:31" x14ac:dyDescent="0.2">
      <c r="A268" s="3"/>
      <c r="B268" s="164"/>
      <c r="C268" s="22"/>
      <c r="D268" s="21"/>
      <c r="E268" s="23"/>
      <c r="F268" s="10"/>
      <c r="G268" s="5">
        <f t="shared" si="52"/>
        <v>262</v>
      </c>
      <c r="H268" s="7">
        <f t="shared" si="53"/>
        <v>159</v>
      </c>
      <c r="I268" s="8">
        <f t="shared" si="48"/>
        <v>2030</v>
      </c>
      <c r="J268" s="31">
        <f>IF(K268=0,"",IF(_ijour12=0,MIN(DATE(YEAR(_debamort12),MONTH(_debamort12)+_MoisD+(G268-1)*_imois12,_jour212),DATE(YEAR(_debamort12),MONTH(_debamort12)+_MoisD+1+(G268-1)*_imois12,0)),DATE(YEAR(_debamort12),MONTH(_debamort12),_jour12+(G268-1)*_ijour12)))</f>
        <v>47757</v>
      </c>
      <c r="K268" s="156">
        <f t="shared" si="54"/>
        <v>85470.670000000027</v>
      </c>
      <c r="L268" s="153">
        <f>IF(G268&lt;=_noeechmaxi1,ROUND(K268*'Données Projet 1 (2)'!A277,_nbdeci1t),0)</f>
        <v>132.47999999999999</v>
      </c>
      <c r="M268" s="152">
        <f>IF(OR(G268&lt;=_differe1t,G268&gt;_noeechmaxi1),IF(_difftotal1t,-L268,0),IF(G268&gt;=_noechremb1t,K268,IF('Données Projet 1 (2)'!B277-(L268*_echfixe1t)&gt;K268-2,K268,'Données Projet 1 (2)'!B277-(L268*_echfixe1t))))+B268</f>
        <v>474.43999999999994</v>
      </c>
      <c r="N268" s="154">
        <f t="shared" si="55"/>
        <v>15.6</v>
      </c>
      <c r="O268" s="157">
        <f t="shared" si="49"/>
        <v>622.52</v>
      </c>
      <c r="Q268" s="3"/>
      <c r="R268" s="164"/>
      <c r="S268" s="22"/>
      <c r="T268" s="21"/>
      <c r="U268" s="23"/>
      <c r="V268" s="10"/>
      <c r="W268" s="5" t="str">
        <f t="shared" si="56"/>
        <v/>
      </c>
      <c r="X268" s="7" t="str">
        <f t="shared" si="57"/>
        <v/>
      </c>
      <c r="Y268" s="8" t="str">
        <f t="shared" si="50"/>
        <v/>
      </c>
      <c r="Z268" s="31" t="str">
        <f>IF(AA268=0,"",IF(_ijour122=0,MIN(DATE(YEAR(_debamort122),MONTH(_debamort122)+_moisd12+(W268-1)*_imois122,__jou21),DATE(YEAR(_debamort122),MONTH(_debamort122)+_moisd12+1+(W268-1)*_imois122,0)),DATE(YEAR(_debamort122),MONTH(_debamort122),__jou123+(W268-1)*_ijour122)))</f>
        <v/>
      </c>
      <c r="AA268" s="156">
        <f t="shared" si="58"/>
        <v>0</v>
      </c>
      <c r="AB268" s="153">
        <f>IF(W268&lt;=_noechmaxi1t,ROUND(AA268*'Données Projet 1 (2)'!H277,_nbdeci1t1),0)</f>
        <v>0</v>
      </c>
      <c r="AC268" s="152">
        <f>IF(OR(W268&lt;=_differe1t1t,W268&gt;_noechmaxi1t),IF(_difftotal1t1t,-AB268,0),IF(W268&gt;=_noechremb12,AA268,IF('Données Projet 1 (2)'!I277-(AB268*_echfixe12)&gt;AA268-2,AA268,'Données Projet 1 (2)'!I277-(AB268*_echfixe12))))+R268</f>
        <v>0</v>
      </c>
      <c r="AD268" s="154">
        <f t="shared" si="59"/>
        <v>0</v>
      </c>
      <c r="AE268" s="157">
        <f t="shared" si="51"/>
        <v>0</v>
      </c>
    </row>
    <row r="269" spans="1:31" x14ac:dyDescent="0.2">
      <c r="A269" s="3"/>
      <c r="B269" s="164"/>
      <c r="C269" s="22"/>
      <c r="D269" s="21"/>
      <c r="E269" s="23"/>
      <c r="F269" s="10"/>
      <c r="G269" s="5">
        <f t="shared" si="52"/>
        <v>263</v>
      </c>
      <c r="H269" s="7">
        <f t="shared" si="53"/>
        <v>158</v>
      </c>
      <c r="I269" s="8">
        <f t="shared" si="48"/>
        <v>2030</v>
      </c>
      <c r="J269" s="31">
        <f>IF(K269=0,"",IF(_ijour12=0,MIN(DATE(YEAR(_debamort12),MONTH(_debamort12)+(G269-1)*_imois12,_jour12),DATE(YEAR(_debamort12),MONTH(_debamort12)+1+(G269-1)*_imois12,0)),DATE(YEAR(_debamort12),MONTH(_debamort12),_jour12+(G269-1)*_ijour12)))</f>
        <v>47788</v>
      </c>
      <c r="K269" s="156">
        <f t="shared" si="54"/>
        <v>84996.230000000025</v>
      </c>
      <c r="L269" s="153">
        <f>IF(G269&lt;=_noeechmaxi1,ROUND(K269*'Données Projet 1 (2)'!A278,_nbdeci1t),0)</f>
        <v>131.74</v>
      </c>
      <c r="M269" s="152">
        <f>IF(OR(G269&lt;=_differe1t,G269&gt;_noeechmaxi1),IF(_difftotal1t,-L269,0),IF(G269&gt;=_noechremb1t,K269,IF('Données Projet 1 (2)'!B278-(L269*_echfixe1t)&gt;K269-2,K269,'Données Projet 1 (2)'!B278-(L269*_echfixe1t))))+B269</f>
        <v>475.17999999999995</v>
      </c>
      <c r="N269" s="154">
        <f t="shared" si="55"/>
        <v>15.6</v>
      </c>
      <c r="O269" s="157">
        <f t="shared" si="49"/>
        <v>622.52</v>
      </c>
      <c r="Q269" s="3"/>
      <c r="R269" s="164"/>
      <c r="S269" s="22"/>
      <c r="T269" s="21"/>
      <c r="U269" s="23"/>
      <c r="V269" s="10"/>
      <c r="W269" s="5" t="str">
        <f t="shared" si="56"/>
        <v/>
      </c>
      <c r="X269" s="7" t="str">
        <f t="shared" si="57"/>
        <v/>
      </c>
      <c r="Y269" s="8" t="str">
        <f t="shared" si="50"/>
        <v/>
      </c>
      <c r="Z269" s="31" t="str">
        <f>IF(AA269=0,"",IF(_ijour122=0,MIN(DATE(YEAR(_debamort122),MONTH(_debamort122)+(W269-1)*_imois122,__jou123),DATE(YEAR(_debamort122),MONTH(_debamort122)+1+(W269-1)*_imois122,0)),DATE(YEAR(_debamort122),MONTH(_debamort122),__jou123+(W269-1)*_ijour122)))</f>
        <v/>
      </c>
      <c r="AA269" s="156">
        <f t="shared" si="58"/>
        <v>0</v>
      </c>
      <c r="AB269" s="153">
        <f>IF(W269&lt;=_noechmaxi1t,ROUND(AA269*'Données Projet 1 (2)'!H278,_nbdeci1t1),0)</f>
        <v>0</v>
      </c>
      <c r="AC269" s="152">
        <f>IF(OR(W269&lt;=_differe1t1t,W269&gt;_noechmaxi1t),IF(_difftotal1t1t,-AB269,0),IF(W269&gt;=_noechremb12,AA269,IF('Données Projet 1 (2)'!I278-(AB269*_echfixe12)&gt;AA269-2,AA269,'Données Projet 1 (2)'!I278-(AB269*_echfixe12))))+R269</f>
        <v>0</v>
      </c>
      <c r="AD269" s="154">
        <f t="shared" si="59"/>
        <v>0</v>
      </c>
      <c r="AE269" s="157">
        <f t="shared" si="51"/>
        <v>0</v>
      </c>
    </row>
    <row r="270" spans="1:31" x14ac:dyDescent="0.2">
      <c r="A270" s="3"/>
      <c r="B270" s="164"/>
      <c r="C270" s="22"/>
      <c r="D270" s="21"/>
      <c r="E270" s="23"/>
      <c r="F270" s="10"/>
      <c r="G270" s="5">
        <f t="shared" si="52"/>
        <v>264</v>
      </c>
      <c r="H270" s="7">
        <f t="shared" si="53"/>
        <v>157</v>
      </c>
      <c r="I270" s="8">
        <f t="shared" si="48"/>
        <v>2030</v>
      </c>
      <c r="J270" s="31">
        <f>IF(K270=0,"",IF(_ijour12=0,MIN(DATE(YEAR(_debamort12),MONTH(_debamort12)+_MoisD+(G270-1)*_imois12,_jour212),DATE(YEAR(_debamort12),MONTH(_debamort12)+_MoisD+1+(G270-1)*_imois12,0)),DATE(YEAR(_debamort12),MONTH(_debamort12),_jour12+(G270-1)*_ijour12)))</f>
        <v>47818</v>
      </c>
      <c r="K270" s="156">
        <f t="shared" si="54"/>
        <v>84521.050000000032</v>
      </c>
      <c r="L270" s="153">
        <f>IF(G270&lt;=_noeechmaxi1,ROUND(K270*'Données Projet 1 (2)'!A279,_nbdeci1t),0)</f>
        <v>131.01</v>
      </c>
      <c r="M270" s="152">
        <f>IF(OR(G270&lt;=_differe1t,G270&gt;_noeechmaxi1),IF(_difftotal1t,-L270,0),IF(G270&gt;=_noechremb1t,K270,IF('Données Projet 1 (2)'!B279-(L270*_echfixe1t)&gt;K270-2,K270,'Données Projet 1 (2)'!B279-(L270*_echfixe1t))))+B270</f>
        <v>475.90999999999997</v>
      </c>
      <c r="N270" s="154">
        <f t="shared" si="55"/>
        <v>15.6</v>
      </c>
      <c r="O270" s="157">
        <f t="shared" si="49"/>
        <v>622.52</v>
      </c>
      <c r="Q270" s="3"/>
      <c r="R270" s="164"/>
      <c r="S270" s="22"/>
      <c r="T270" s="21"/>
      <c r="U270" s="23"/>
      <c r="V270" s="10"/>
      <c r="W270" s="5" t="str">
        <f t="shared" si="56"/>
        <v/>
      </c>
      <c r="X270" s="7" t="str">
        <f t="shared" si="57"/>
        <v/>
      </c>
      <c r="Y270" s="8" t="str">
        <f t="shared" si="50"/>
        <v/>
      </c>
      <c r="Z270" s="31" t="str">
        <f>IF(AA270=0,"",IF(_ijour122=0,MIN(DATE(YEAR(_debamort122),MONTH(_debamort122)+_moisd12+(W270-1)*_imois122,__jou21),DATE(YEAR(_debamort122),MONTH(_debamort122)+_moisd12+1+(W270-1)*_imois122,0)),DATE(YEAR(_debamort122),MONTH(_debamort122),__jou123+(W270-1)*_ijour122)))</f>
        <v/>
      </c>
      <c r="AA270" s="156">
        <f t="shared" si="58"/>
        <v>0</v>
      </c>
      <c r="AB270" s="153">
        <f>IF(W270&lt;=_noechmaxi1t,ROUND(AA270*'Données Projet 1 (2)'!H279,_nbdeci1t1),0)</f>
        <v>0</v>
      </c>
      <c r="AC270" s="152">
        <f>IF(OR(W270&lt;=_differe1t1t,W270&gt;_noechmaxi1t),IF(_difftotal1t1t,-AB270,0),IF(W270&gt;=_noechremb12,AA270,IF('Données Projet 1 (2)'!I279-(AB270*_echfixe12)&gt;AA270-2,AA270,'Données Projet 1 (2)'!I279-(AB270*_echfixe12))))+R270</f>
        <v>0</v>
      </c>
      <c r="AD270" s="154">
        <f t="shared" si="59"/>
        <v>0</v>
      </c>
      <c r="AE270" s="157">
        <f t="shared" si="51"/>
        <v>0</v>
      </c>
    </row>
    <row r="271" spans="1:31" x14ac:dyDescent="0.2">
      <c r="A271" s="3"/>
      <c r="B271" s="164"/>
      <c r="C271" s="22"/>
      <c r="D271" s="21"/>
      <c r="E271" s="23"/>
      <c r="F271" s="10"/>
      <c r="G271" s="5">
        <f t="shared" si="52"/>
        <v>265</v>
      </c>
      <c r="H271" s="7">
        <f t="shared" si="53"/>
        <v>156</v>
      </c>
      <c r="I271" s="8">
        <f t="shared" si="48"/>
        <v>2031</v>
      </c>
      <c r="J271" s="31">
        <f>IF(K271=0,"",IF(_ijour12=0,MIN(DATE(YEAR(_debamort12),MONTH(_debamort12)+(G271-1)*_imois12,_jour12),DATE(YEAR(_debamort12),MONTH(_debamort12)+1+(G271-1)*_imois12,0)),DATE(YEAR(_debamort12),MONTH(_debamort12),_jour12+(G271-1)*_ijour12)))</f>
        <v>47849</v>
      </c>
      <c r="K271" s="156">
        <f t="shared" si="54"/>
        <v>84045.140000000029</v>
      </c>
      <c r="L271" s="153">
        <f>IF(G271&lt;=_noeechmaxi1,ROUND(K271*'Données Projet 1 (2)'!A280,_nbdeci1t),0)</f>
        <v>130.27000000000001</v>
      </c>
      <c r="M271" s="152">
        <f>IF(OR(G271&lt;=_differe1t,G271&gt;_noeechmaxi1),IF(_difftotal1t,-L271,0),IF(G271&gt;=_noechremb1t,K271,IF('Données Projet 1 (2)'!B280-(L271*_echfixe1t)&gt;K271-2,K271,'Données Projet 1 (2)'!B280-(L271*_echfixe1t))))+B271</f>
        <v>476.65</v>
      </c>
      <c r="N271" s="154">
        <f t="shared" si="55"/>
        <v>15.6</v>
      </c>
      <c r="O271" s="157">
        <f t="shared" si="49"/>
        <v>622.52</v>
      </c>
      <c r="Q271" s="3"/>
      <c r="R271" s="164"/>
      <c r="S271" s="22"/>
      <c r="T271" s="21"/>
      <c r="U271" s="23"/>
      <c r="V271" s="10"/>
      <c r="W271" s="5" t="str">
        <f t="shared" si="56"/>
        <v/>
      </c>
      <c r="X271" s="7" t="str">
        <f t="shared" si="57"/>
        <v/>
      </c>
      <c r="Y271" s="8" t="str">
        <f t="shared" si="50"/>
        <v/>
      </c>
      <c r="Z271" s="31" t="str">
        <f>IF(AA271=0,"",IF(_ijour122=0,MIN(DATE(YEAR(_debamort122),MONTH(_debamort122)+(W271-1)*_imois122,__jou123),DATE(YEAR(_debamort122),MONTH(_debamort122)+1+(W271-1)*_imois122,0)),DATE(YEAR(_debamort122),MONTH(_debamort122),__jou123+(W271-1)*_ijour122)))</f>
        <v/>
      </c>
      <c r="AA271" s="156">
        <f t="shared" si="58"/>
        <v>0</v>
      </c>
      <c r="AB271" s="153">
        <f>IF(W271&lt;=_noechmaxi1t,ROUND(AA271*'Données Projet 1 (2)'!H280,_nbdeci1t1),0)</f>
        <v>0</v>
      </c>
      <c r="AC271" s="152">
        <f>IF(OR(W271&lt;=_differe1t1t,W271&gt;_noechmaxi1t),IF(_difftotal1t1t,-AB271,0),IF(W271&gt;=_noechremb12,AA271,IF('Données Projet 1 (2)'!I280-(AB271*_echfixe12)&gt;AA271-2,AA271,'Données Projet 1 (2)'!I280-(AB271*_echfixe12))))+R271</f>
        <v>0</v>
      </c>
      <c r="AD271" s="154">
        <f t="shared" si="59"/>
        <v>0</v>
      </c>
      <c r="AE271" s="157">
        <f t="shared" si="51"/>
        <v>0</v>
      </c>
    </row>
    <row r="272" spans="1:31" x14ac:dyDescent="0.2">
      <c r="A272" s="3"/>
      <c r="B272" s="164"/>
      <c r="C272" s="22"/>
      <c r="D272" s="21"/>
      <c r="E272" s="23"/>
      <c r="F272" s="10"/>
      <c r="G272" s="5">
        <f t="shared" si="52"/>
        <v>266</v>
      </c>
      <c r="H272" s="7">
        <f t="shared" si="53"/>
        <v>155</v>
      </c>
      <c r="I272" s="8">
        <f t="shared" si="48"/>
        <v>2031</v>
      </c>
      <c r="J272" s="31">
        <f>IF(K272=0,"",IF(_ijour12=0,MIN(DATE(YEAR(_debamort12),MONTH(_debamort12)+_MoisD+(G272-1)*_imois12,_jour212),DATE(YEAR(_debamort12),MONTH(_debamort12)+_MoisD+1+(G272-1)*_imois12,0)),DATE(YEAR(_debamort12),MONTH(_debamort12),_jour12+(G272-1)*_ijour12)))</f>
        <v>47880</v>
      </c>
      <c r="K272" s="156">
        <f t="shared" si="54"/>
        <v>83568.490000000034</v>
      </c>
      <c r="L272" s="153">
        <f>IF(G272&lt;=_noeechmaxi1,ROUND(K272*'Données Projet 1 (2)'!A281,_nbdeci1t),0)</f>
        <v>129.53</v>
      </c>
      <c r="M272" s="152">
        <f>IF(OR(G272&lt;=_differe1t,G272&gt;_noeechmaxi1),IF(_difftotal1t,-L272,0),IF(G272&gt;=_noechremb1t,K272,IF('Données Projet 1 (2)'!B281-(L272*_echfixe1t)&gt;K272-2,K272,'Données Projet 1 (2)'!B281-(L272*_echfixe1t))))+B272</f>
        <v>477.39</v>
      </c>
      <c r="N272" s="154">
        <f t="shared" si="55"/>
        <v>15.6</v>
      </c>
      <c r="O272" s="157">
        <f t="shared" si="49"/>
        <v>622.52</v>
      </c>
      <c r="Q272" s="3"/>
      <c r="R272" s="164"/>
      <c r="S272" s="22"/>
      <c r="T272" s="21"/>
      <c r="U272" s="23"/>
      <c r="V272" s="10"/>
      <c r="W272" s="5" t="str">
        <f t="shared" si="56"/>
        <v/>
      </c>
      <c r="X272" s="7" t="str">
        <f t="shared" si="57"/>
        <v/>
      </c>
      <c r="Y272" s="8" t="str">
        <f t="shared" si="50"/>
        <v/>
      </c>
      <c r="Z272" s="31" t="str">
        <f>IF(AA272=0,"",IF(_ijour122=0,MIN(DATE(YEAR(_debamort122),MONTH(_debamort122)+_moisd12+(W272-1)*_imois122,__jou21),DATE(YEAR(_debamort122),MONTH(_debamort122)+_moisd12+1+(W272-1)*_imois122,0)),DATE(YEAR(_debamort122),MONTH(_debamort122),__jou123+(W272-1)*_ijour122)))</f>
        <v/>
      </c>
      <c r="AA272" s="156">
        <f t="shared" si="58"/>
        <v>0</v>
      </c>
      <c r="AB272" s="153">
        <f>IF(W272&lt;=_noechmaxi1t,ROUND(AA272*'Données Projet 1 (2)'!H281,_nbdeci1t1),0)</f>
        <v>0</v>
      </c>
      <c r="AC272" s="152">
        <f>IF(OR(W272&lt;=_differe1t1t,W272&gt;_noechmaxi1t),IF(_difftotal1t1t,-AB272,0),IF(W272&gt;=_noechremb12,AA272,IF('Données Projet 1 (2)'!I281-(AB272*_echfixe12)&gt;AA272-2,AA272,'Données Projet 1 (2)'!I281-(AB272*_echfixe12))))+R272</f>
        <v>0</v>
      </c>
      <c r="AD272" s="154">
        <f t="shared" si="59"/>
        <v>0</v>
      </c>
      <c r="AE272" s="157">
        <f t="shared" si="51"/>
        <v>0</v>
      </c>
    </row>
    <row r="273" spans="1:31" x14ac:dyDescent="0.2">
      <c r="A273" s="3"/>
      <c r="B273" s="164"/>
      <c r="C273" s="22"/>
      <c r="D273" s="21"/>
      <c r="E273" s="23"/>
      <c r="F273" s="10"/>
      <c r="G273" s="5">
        <f t="shared" si="52"/>
        <v>267</v>
      </c>
      <c r="H273" s="7">
        <f t="shared" si="53"/>
        <v>154</v>
      </c>
      <c r="I273" s="8">
        <f t="shared" si="48"/>
        <v>2031</v>
      </c>
      <c r="J273" s="31">
        <f>IF(K273=0,"",IF(_ijour12=0,MIN(DATE(YEAR(_debamort12),MONTH(_debamort12)+(G273-1)*_imois12,_jour12),DATE(YEAR(_debamort12),MONTH(_debamort12)+1+(G273-1)*_imois12,0)),DATE(YEAR(_debamort12),MONTH(_debamort12),_jour12+(G273-1)*_ijour12)))</f>
        <v>47908</v>
      </c>
      <c r="K273" s="156">
        <f t="shared" si="54"/>
        <v>83091.100000000035</v>
      </c>
      <c r="L273" s="153">
        <f>IF(G273&lt;=_noeechmaxi1,ROUND(K273*'Données Projet 1 (2)'!A282,_nbdeci1t),0)</f>
        <v>128.79</v>
      </c>
      <c r="M273" s="152">
        <f>IF(OR(G273&lt;=_differe1t,G273&gt;_noeechmaxi1),IF(_difftotal1t,-L273,0),IF(G273&gt;=_noechremb1t,K273,IF('Données Projet 1 (2)'!B282-(L273*_echfixe1t)&gt;K273-2,K273,'Données Projet 1 (2)'!B282-(L273*_echfixe1t))))+B273</f>
        <v>478.13</v>
      </c>
      <c r="N273" s="154">
        <f t="shared" si="55"/>
        <v>15.6</v>
      </c>
      <c r="O273" s="157">
        <f t="shared" si="49"/>
        <v>622.52</v>
      </c>
      <c r="Q273" s="3"/>
      <c r="R273" s="164"/>
      <c r="S273" s="22"/>
      <c r="T273" s="21"/>
      <c r="U273" s="23"/>
      <c r="V273" s="10"/>
      <c r="W273" s="5" t="str">
        <f t="shared" si="56"/>
        <v/>
      </c>
      <c r="X273" s="7" t="str">
        <f t="shared" si="57"/>
        <v/>
      </c>
      <c r="Y273" s="8" t="str">
        <f t="shared" si="50"/>
        <v/>
      </c>
      <c r="Z273" s="31" t="str">
        <f>IF(AA273=0,"",IF(_ijour122=0,MIN(DATE(YEAR(_debamort122),MONTH(_debamort122)+(W273-1)*_imois122,__jou123),DATE(YEAR(_debamort122),MONTH(_debamort122)+1+(W273-1)*_imois122,0)),DATE(YEAR(_debamort122),MONTH(_debamort122),__jou123+(W273-1)*_ijour122)))</f>
        <v/>
      </c>
      <c r="AA273" s="156">
        <f t="shared" si="58"/>
        <v>0</v>
      </c>
      <c r="AB273" s="153">
        <f>IF(W273&lt;=_noechmaxi1t,ROUND(AA273*'Données Projet 1 (2)'!H282,_nbdeci1t1),0)</f>
        <v>0</v>
      </c>
      <c r="AC273" s="152">
        <f>IF(OR(W273&lt;=_differe1t1t,W273&gt;_noechmaxi1t),IF(_difftotal1t1t,-AB273,0),IF(W273&gt;=_noechremb12,AA273,IF('Données Projet 1 (2)'!I282-(AB273*_echfixe12)&gt;AA273-2,AA273,'Données Projet 1 (2)'!I282-(AB273*_echfixe12))))+R273</f>
        <v>0</v>
      </c>
      <c r="AD273" s="154">
        <f t="shared" si="59"/>
        <v>0</v>
      </c>
      <c r="AE273" s="157">
        <f t="shared" si="51"/>
        <v>0</v>
      </c>
    </row>
    <row r="274" spans="1:31" x14ac:dyDescent="0.2">
      <c r="A274" s="3"/>
      <c r="B274" s="164"/>
      <c r="C274" s="22"/>
      <c r="D274" s="21"/>
      <c r="E274" s="23"/>
      <c r="F274" s="10"/>
      <c r="G274" s="5">
        <f t="shared" si="52"/>
        <v>268</v>
      </c>
      <c r="H274" s="7">
        <f t="shared" si="53"/>
        <v>153</v>
      </c>
      <c r="I274" s="8">
        <f t="shared" si="48"/>
        <v>2031</v>
      </c>
      <c r="J274" s="31">
        <f>IF(K274=0,"",IF(_ijour12=0,MIN(DATE(YEAR(_debamort12),MONTH(_debamort12)+_MoisD+(G274-1)*_imois12,_jour212),DATE(YEAR(_debamort12),MONTH(_debamort12)+_MoisD+1+(G274-1)*_imois12,0)),DATE(YEAR(_debamort12),MONTH(_debamort12),_jour12+(G274-1)*_ijour12)))</f>
        <v>47939</v>
      </c>
      <c r="K274" s="156">
        <f t="shared" si="54"/>
        <v>82612.97000000003</v>
      </c>
      <c r="L274" s="153">
        <f>IF(G274&lt;=_noeechmaxi1,ROUND(K274*'Données Projet 1 (2)'!A283,_nbdeci1t),0)</f>
        <v>128.05000000000001</v>
      </c>
      <c r="M274" s="152">
        <f>IF(OR(G274&lt;=_differe1t,G274&gt;_noeechmaxi1),IF(_difftotal1t,-L274,0),IF(G274&gt;=_noechremb1t,K274,IF('Données Projet 1 (2)'!B283-(L274*_echfixe1t)&gt;K274-2,K274,'Données Projet 1 (2)'!B283-(L274*_echfixe1t))))+B274</f>
        <v>478.86999999999995</v>
      </c>
      <c r="N274" s="154">
        <f t="shared" si="55"/>
        <v>15.6</v>
      </c>
      <c r="O274" s="157">
        <f t="shared" si="49"/>
        <v>622.52</v>
      </c>
      <c r="Q274" s="3"/>
      <c r="R274" s="164"/>
      <c r="S274" s="22"/>
      <c r="T274" s="21"/>
      <c r="U274" s="23"/>
      <c r="V274" s="10"/>
      <c r="W274" s="5" t="str">
        <f t="shared" si="56"/>
        <v/>
      </c>
      <c r="X274" s="7" t="str">
        <f t="shared" si="57"/>
        <v/>
      </c>
      <c r="Y274" s="8" t="str">
        <f t="shared" si="50"/>
        <v/>
      </c>
      <c r="Z274" s="31" t="str">
        <f>IF(AA274=0,"",IF(_ijour122=0,MIN(DATE(YEAR(_debamort122),MONTH(_debamort122)+_moisd12+(W274-1)*_imois122,__jou21),DATE(YEAR(_debamort122),MONTH(_debamort122)+_moisd12+1+(W274-1)*_imois122,0)),DATE(YEAR(_debamort122),MONTH(_debamort122),__jou123+(W274-1)*_ijour122)))</f>
        <v/>
      </c>
      <c r="AA274" s="156">
        <f t="shared" si="58"/>
        <v>0</v>
      </c>
      <c r="AB274" s="153">
        <f>IF(W274&lt;=_noechmaxi1t,ROUND(AA274*'Données Projet 1 (2)'!H283,_nbdeci1t1),0)</f>
        <v>0</v>
      </c>
      <c r="AC274" s="152">
        <f>IF(OR(W274&lt;=_differe1t1t,W274&gt;_noechmaxi1t),IF(_difftotal1t1t,-AB274,0),IF(W274&gt;=_noechremb12,AA274,IF('Données Projet 1 (2)'!I283-(AB274*_echfixe12)&gt;AA274-2,AA274,'Données Projet 1 (2)'!I283-(AB274*_echfixe12))))+R274</f>
        <v>0</v>
      </c>
      <c r="AD274" s="154">
        <f t="shared" si="59"/>
        <v>0</v>
      </c>
      <c r="AE274" s="157">
        <f t="shared" si="51"/>
        <v>0</v>
      </c>
    </row>
    <row r="275" spans="1:31" x14ac:dyDescent="0.2">
      <c r="A275" s="3"/>
      <c r="B275" s="164"/>
      <c r="C275" s="22"/>
      <c r="D275" s="21"/>
      <c r="E275" s="23"/>
      <c r="F275" s="10"/>
      <c r="G275" s="5">
        <f t="shared" si="52"/>
        <v>269</v>
      </c>
      <c r="H275" s="7">
        <f t="shared" si="53"/>
        <v>152</v>
      </c>
      <c r="I275" s="8">
        <f t="shared" si="48"/>
        <v>2031</v>
      </c>
      <c r="J275" s="31">
        <f>IF(K275=0,"",IF(_ijour12=0,MIN(DATE(YEAR(_debamort12),MONTH(_debamort12)+(G275-1)*_imois12,_jour12),DATE(YEAR(_debamort12),MONTH(_debamort12)+1+(G275-1)*_imois12,0)),DATE(YEAR(_debamort12),MONTH(_debamort12),_jour12+(G275-1)*_ijour12)))</f>
        <v>47969</v>
      </c>
      <c r="K275" s="156">
        <f t="shared" si="54"/>
        <v>82134.100000000035</v>
      </c>
      <c r="L275" s="153">
        <f>IF(G275&lt;=_noeechmaxi1,ROUND(K275*'Données Projet 1 (2)'!A284,_nbdeci1t),0)</f>
        <v>127.31</v>
      </c>
      <c r="M275" s="152">
        <f>IF(OR(G275&lt;=_differe1t,G275&gt;_noeechmaxi1),IF(_difftotal1t,-L275,0),IF(G275&gt;=_noechremb1t,K275,IF('Données Projet 1 (2)'!B284-(L275*_echfixe1t)&gt;K275-2,K275,'Données Projet 1 (2)'!B284-(L275*_echfixe1t))))+B275</f>
        <v>479.60999999999996</v>
      </c>
      <c r="N275" s="154">
        <f t="shared" si="55"/>
        <v>15.6</v>
      </c>
      <c r="O275" s="157">
        <f t="shared" si="49"/>
        <v>622.52</v>
      </c>
      <c r="Q275" s="3"/>
      <c r="R275" s="164"/>
      <c r="S275" s="22"/>
      <c r="T275" s="21"/>
      <c r="U275" s="23"/>
      <c r="V275" s="10"/>
      <c r="W275" s="5" t="str">
        <f t="shared" si="56"/>
        <v/>
      </c>
      <c r="X275" s="7" t="str">
        <f t="shared" si="57"/>
        <v/>
      </c>
      <c r="Y275" s="8" t="str">
        <f t="shared" si="50"/>
        <v/>
      </c>
      <c r="Z275" s="31" t="str">
        <f>IF(AA275=0,"",IF(_ijour122=0,MIN(DATE(YEAR(_debamort122),MONTH(_debamort122)+(W275-1)*_imois122,__jou123),DATE(YEAR(_debamort122),MONTH(_debamort122)+1+(W275-1)*_imois122,0)),DATE(YEAR(_debamort122),MONTH(_debamort122),__jou123+(W275-1)*_ijour122)))</f>
        <v/>
      </c>
      <c r="AA275" s="156">
        <f t="shared" si="58"/>
        <v>0</v>
      </c>
      <c r="AB275" s="153">
        <f>IF(W275&lt;=_noechmaxi1t,ROUND(AA275*'Données Projet 1 (2)'!H284,_nbdeci1t1),0)</f>
        <v>0</v>
      </c>
      <c r="AC275" s="152">
        <f>IF(OR(W275&lt;=_differe1t1t,W275&gt;_noechmaxi1t),IF(_difftotal1t1t,-AB275,0),IF(W275&gt;=_noechremb12,AA275,IF('Données Projet 1 (2)'!I284-(AB275*_echfixe12)&gt;AA275-2,AA275,'Données Projet 1 (2)'!I284-(AB275*_echfixe12))))+R275</f>
        <v>0</v>
      </c>
      <c r="AD275" s="154">
        <f t="shared" si="59"/>
        <v>0</v>
      </c>
      <c r="AE275" s="157">
        <f t="shared" si="51"/>
        <v>0</v>
      </c>
    </row>
    <row r="276" spans="1:31" x14ac:dyDescent="0.2">
      <c r="A276" s="3"/>
      <c r="B276" s="164"/>
      <c r="C276" s="22"/>
      <c r="D276" s="21"/>
      <c r="E276" s="23"/>
      <c r="F276" s="10"/>
      <c r="G276" s="5">
        <f t="shared" si="52"/>
        <v>270</v>
      </c>
      <c r="H276" s="7">
        <f t="shared" si="53"/>
        <v>151</v>
      </c>
      <c r="I276" s="8">
        <f t="shared" si="48"/>
        <v>2031</v>
      </c>
      <c r="J276" s="31">
        <f>IF(K276=0,"",IF(_ijour12=0,MIN(DATE(YEAR(_debamort12),MONTH(_debamort12)+_MoisD+(G276-1)*_imois12,_jour212),DATE(YEAR(_debamort12),MONTH(_debamort12)+_MoisD+1+(G276-1)*_imois12,0)),DATE(YEAR(_debamort12),MONTH(_debamort12),_jour12+(G276-1)*_ijour12)))</f>
        <v>48000</v>
      </c>
      <c r="K276" s="156">
        <f t="shared" si="54"/>
        <v>81654.490000000034</v>
      </c>
      <c r="L276" s="153">
        <f>IF(G276&lt;=_noeechmaxi1,ROUND(K276*'Données Projet 1 (2)'!A285,_nbdeci1t),0)</f>
        <v>126.56</v>
      </c>
      <c r="M276" s="152">
        <f>IF(OR(G276&lt;=_differe1t,G276&gt;_noeechmaxi1),IF(_difftotal1t,-L276,0),IF(G276&gt;=_noechremb1t,K276,IF('Données Projet 1 (2)'!B285-(L276*_echfixe1t)&gt;K276-2,K276,'Données Projet 1 (2)'!B285-(L276*_echfixe1t))))+B276</f>
        <v>480.35999999999996</v>
      </c>
      <c r="N276" s="154">
        <f t="shared" si="55"/>
        <v>15.6</v>
      </c>
      <c r="O276" s="157">
        <f t="shared" si="49"/>
        <v>622.52</v>
      </c>
      <c r="Q276" s="3"/>
      <c r="R276" s="164"/>
      <c r="S276" s="22"/>
      <c r="T276" s="21"/>
      <c r="U276" s="23"/>
      <c r="V276" s="10"/>
      <c r="W276" s="5" t="str">
        <f t="shared" si="56"/>
        <v/>
      </c>
      <c r="X276" s="7" t="str">
        <f t="shared" si="57"/>
        <v/>
      </c>
      <c r="Y276" s="8" t="str">
        <f t="shared" si="50"/>
        <v/>
      </c>
      <c r="Z276" s="31" t="str">
        <f>IF(AA276=0,"",IF(_ijour122=0,MIN(DATE(YEAR(_debamort122),MONTH(_debamort122)+_moisd12+(W276-1)*_imois122,__jou21),DATE(YEAR(_debamort122),MONTH(_debamort122)+_moisd12+1+(W276-1)*_imois122,0)),DATE(YEAR(_debamort122),MONTH(_debamort122),__jou123+(W276-1)*_ijour122)))</f>
        <v/>
      </c>
      <c r="AA276" s="156">
        <f t="shared" si="58"/>
        <v>0</v>
      </c>
      <c r="AB276" s="153">
        <f>IF(W276&lt;=_noechmaxi1t,ROUND(AA276*'Données Projet 1 (2)'!H285,_nbdeci1t1),0)</f>
        <v>0</v>
      </c>
      <c r="AC276" s="152">
        <f>IF(OR(W276&lt;=_differe1t1t,W276&gt;_noechmaxi1t),IF(_difftotal1t1t,-AB276,0),IF(W276&gt;=_noechremb12,AA276,IF('Données Projet 1 (2)'!I285-(AB276*_echfixe12)&gt;AA276-2,AA276,'Données Projet 1 (2)'!I285-(AB276*_echfixe12))))+R276</f>
        <v>0</v>
      </c>
      <c r="AD276" s="154">
        <f t="shared" si="59"/>
        <v>0</v>
      </c>
      <c r="AE276" s="157">
        <f t="shared" si="51"/>
        <v>0</v>
      </c>
    </row>
    <row r="277" spans="1:31" x14ac:dyDescent="0.2">
      <c r="A277" s="3"/>
      <c r="B277" s="164"/>
      <c r="C277" s="22"/>
      <c r="D277" s="21"/>
      <c r="E277" s="23"/>
      <c r="F277" s="10"/>
      <c r="G277" s="5">
        <f t="shared" si="52"/>
        <v>271</v>
      </c>
      <c r="H277" s="7">
        <f t="shared" si="53"/>
        <v>150</v>
      </c>
      <c r="I277" s="8">
        <f t="shared" si="48"/>
        <v>2031</v>
      </c>
      <c r="J277" s="31">
        <f>IF(K277=0,"",IF(_ijour12=0,MIN(DATE(YEAR(_debamort12),MONTH(_debamort12)+(G277-1)*_imois12,_jour12),DATE(YEAR(_debamort12),MONTH(_debamort12)+1+(G277-1)*_imois12,0)),DATE(YEAR(_debamort12),MONTH(_debamort12),_jour12+(G277-1)*_ijour12)))</f>
        <v>48030</v>
      </c>
      <c r="K277" s="156">
        <f t="shared" si="54"/>
        <v>81174.130000000034</v>
      </c>
      <c r="L277" s="153">
        <f>IF(G277&lt;=_noeechmaxi1,ROUND(K277*'Données Projet 1 (2)'!A286,_nbdeci1t),0)</f>
        <v>125.82</v>
      </c>
      <c r="M277" s="152">
        <f>IF(OR(G277&lt;=_differe1t,G277&gt;_noeechmaxi1),IF(_difftotal1t,-L277,0),IF(G277&gt;=_noechremb1t,K277,IF('Données Projet 1 (2)'!B286-(L277*_echfixe1t)&gt;K277-2,K277,'Données Projet 1 (2)'!B286-(L277*_echfixe1t))))+B277</f>
        <v>481.09999999999997</v>
      </c>
      <c r="N277" s="154">
        <f t="shared" si="55"/>
        <v>15.6</v>
      </c>
      <c r="O277" s="157">
        <f t="shared" si="49"/>
        <v>622.52</v>
      </c>
      <c r="Q277" s="3"/>
      <c r="R277" s="164"/>
      <c r="S277" s="22"/>
      <c r="T277" s="21"/>
      <c r="U277" s="23"/>
      <c r="V277" s="10"/>
      <c r="W277" s="5" t="str">
        <f t="shared" si="56"/>
        <v/>
      </c>
      <c r="X277" s="7" t="str">
        <f t="shared" si="57"/>
        <v/>
      </c>
      <c r="Y277" s="8" t="str">
        <f t="shared" si="50"/>
        <v/>
      </c>
      <c r="Z277" s="31" t="str">
        <f>IF(AA277=0,"",IF(_ijour122=0,MIN(DATE(YEAR(_debamort122),MONTH(_debamort122)+(W277-1)*_imois122,__jou123),DATE(YEAR(_debamort122),MONTH(_debamort122)+1+(W277-1)*_imois122,0)),DATE(YEAR(_debamort122),MONTH(_debamort122),__jou123+(W277-1)*_ijour122)))</f>
        <v/>
      </c>
      <c r="AA277" s="156">
        <f t="shared" si="58"/>
        <v>0</v>
      </c>
      <c r="AB277" s="153">
        <f>IF(W277&lt;=_noechmaxi1t,ROUND(AA277*'Données Projet 1 (2)'!H286,_nbdeci1t1),0)</f>
        <v>0</v>
      </c>
      <c r="AC277" s="152">
        <f>IF(OR(W277&lt;=_differe1t1t,W277&gt;_noechmaxi1t),IF(_difftotal1t1t,-AB277,0),IF(W277&gt;=_noechremb12,AA277,IF('Données Projet 1 (2)'!I286-(AB277*_echfixe12)&gt;AA277-2,AA277,'Données Projet 1 (2)'!I286-(AB277*_echfixe12))))+R277</f>
        <v>0</v>
      </c>
      <c r="AD277" s="154">
        <f t="shared" si="59"/>
        <v>0</v>
      </c>
      <c r="AE277" s="157">
        <f t="shared" si="51"/>
        <v>0</v>
      </c>
    </row>
    <row r="278" spans="1:31" x14ac:dyDescent="0.2">
      <c r="A278" s="3"/>
      <c r="B278" s="164"/>
      <c r="C278" s="22"/>
      <c r="D278" s="21"/>
      <c r="E278" s="23"/>
      <c r="F278" s="10"/>
      <c r="G278" s="5">
        <f t="shared" si="52"/>
        <v>272</v>
      </c>
      <c r="H278" s="7">
        <f t="shared" si="53"/>
        <v>149</v>
      </c>
      <c r="I278" s="8">
        <f t="shared" si="48"/>
        <v>2031</v>
      </c>
      <c r="J278" s="31">
        <f>IF(K278=0,"",IF(_ijour12=0,MIN(DATE(YEAR(_debamort12),MONTH(_debamort12)+_MoisD+(G278-1)*_imois12,_jour212),DATE(YEAR(_debamort12),MONTH(_debamort12)+_MoisD+1+(G278-1)*_imois12,0)),DATE(YEAR(_debamort12),MONTH(_debamort12),_jour12+(G278-1)*_ijour12)))</f>
        <v>48061</v>
      </c>
      <c r="K278" s="156">
        <f t="shared" si="54"/>
        <v>80693.030000000028</v>
      </c>
      <c r="L278" s="153">
        <f>IF(G278&lt;=_noeechmaxi1,ROUND(K278*'Données Projet 1 (2)'!A287,_nbdeci1t),0)</f>
        <v>125.07</v>
      </c>
      <c r="M278" s="152">
        <f>IF(OR(G278&lt;=_differe1t,G278&gt;_noeechmaxi1),IF(_difftotal1t,-L278,0),IF(G278&gt;=_noechremb1t,K278,IF('Données Projet 1 (2)'!B287-(L278*_echfixe1t)&gt;K278-2,K278,'Données Projet 1 (2)'!B287-(L278*_echfixe1t))))+B278</f>
        <v>481.84999999999997</v>
      </c>
      <c r="N278" s="154">
        <f t="shared" si="55"/>
        <v>15.6</v>
      </c>
      <c r="O278" s="157">
        <f t="shared" si="49"/>
        <v>622.52</v>
      </c>
      <c r="Q278" s="3"/>
      <c r="R278" s="164"/>
      <c r="S278" s="22"/>
      <c r="T278" s="21"/>
      <c r="U278" s="23"/>
      <c r="V278" s="10"/>
      <c r="W278" s="5" t="str">
        <f t="shared" si="56"/>
        <v/>
      </c>
      <c r="X278" s="7" t="str">
        <f t="shared" si="57"/>
        <v/>
      </c>
      <c r="Y278" s="8" t="str">
        <f t="shared" si="50"/>
        <v/>
      </c>
      <c r="Z278" s="31" t="str">
        <f>IF(AA278=0,"",IF(_ijour122=0,MIN(DATE(YEAR(_debamort122),MONTH(_debamort122)+_moisd12+(W278-1)*_imois122,__jou21),DATE(YEAR(_debamort122),MONTH(_debamort122)+_moisd12+1+(W278-1)*_imois122,0)),DATE(YEAR(_debamort122),MONTH(_debamort122),__jou123+(W278-1)*_ijour122)))</f>
        <v/>
      </c>
      <c r="AA278" s="156">
        <f t="shared" si="58"/>
        <v>0</v>
      </c>
      <c r="AB278" s="153">
        <f>IF(W278&lt;=_noechmaxi1t,ROUND(AA278*'Données Projet 1 (2)'!H287,_nbdeci1t1),0)</f>
        <v>0</v>
      </c>
      <c r="AC278" s="152">
        <f>IF(OR(W278&lt;=_differe1t1t,W278&gt;_noechmaxi1t),IF(_difftotal1t1t,-AB278,0),IF(W278&gt;=_noechremb12,AA278,IF('Données Projet 1 (2)'!I287-(AB278*_echfixe12)&gt;AA278-2,AA278,'Données Projet 1 (2)'!I287-(AB278*_echfixe12))))+R278</f>
        <v>0</v>
      </c>
      <c r="AD278" s="154">
        <f t="shared" si="59"/>
        <v>0</v>
      </c>
      <c r="AE278" s="157">
        <f t="shared" si="51"/>
        <v>0</v>
      </c>
    </row>
    <row r="279" spans="1:31" x14ac:dyDescent="0.2">
      <c r="A279" s="3"/>
      <c r="B279" s="164"/>
      <c r="C279" s="22"/>
      <c r="D279" s="21"/>
      <c r="E279" s="23"/>
      <c r="F279" s="10"/>
      <c r="G279" s="5">
        <f t="shared" si="52"/>
        <v>273</v>
      </c>
      <c r="H279" s="7">
        <f t="shared" si="53"/>
        <v>148</v>
      </c>
      <c r="I279" s="8">
        <f t="shared" si="48"/>
        <v>2031</v>
      </c>
      <c r="J279" s="31">
        <f>IF(K279=0,"",IF(_ijour12=0,MIN(DATE(YEAR(_debamort12),MONTH(_debamort12)+(G279-1)*_imois12,_jour12),DATE(YEAR(_debamort12),MONTH(_debamort12)+1+(G279-1)*_imois12,0)),DATE(YEAR(_debamort12),MONTH(_debamort12),_jour12+(G279-1)*_ijour12)))</f>
        <v>48092</v>
      </c>
      <c r="K279" s="156">
        <f t="shared" si="54"/>
        <v>80211.180000000022</v>
      </c>
      <c r="L279" s="153">
        <f>IF(G279&lt;=_noeechmaxi1,ROUND(K279*'Données Projet 1 (2)'!A288,_nbdeci1t),0)</f>
        <v>124.33</v>
      </c>
      <c r="M279" s="152">
        <f>IF(OR(G279&lt;=_differe1t,G279&gt;_noeechmaxi1),IF(_difftotal1t,-L279,0),IF(G279&gt;=_noechremb1t,K279,IF('Données Projet 1 (2)'!B288-(L279*_echfixe1t)&gt;K279-2,K279,'Données Projet 1 (2)'!B288-(L279*_echfixe1t))))+B279</f>
        <v>482.59</v>
      </c>
      <c r="N279" s="154">
        <f t="shared" si="55"/>
        <v>15.6</v>
      </c>
      <c r="O279" s="157">
        <f t="shared" si="49"/>
        <v>622.52</v>
      </c>
      <c r="Q279" s="3"/>
      <c r="R279" s="164"/>
      <c r="S279" s="22"/>
      <c r="T279" s="21"/>
      <c r="U279" s="23"/>
      <c r="V279" s="10"/>
      <c r="W279" s="5" t="str">
        <f t="shared" si="56"/>
        <v/>
      </c>
      <c r="X279" s="7" t="str">
        <f t="shared" si="57"/>
        <v/>
      </c>
      <c r="Y279" s="8" t="str">
        <f t="shared" si="50"/>
        <v/>
      </c>
      <c r="Z279" s="31" t="str">
        <f>IF(AA279=0,"",IF(_ijour122=0,MIN(DATE(YEAR(_debamort122),MONTH(_debamort122)+(W279-1)*_imois122,__jou123),DATE(YEAR(_debamort122),MONTH(_debamort122)+1+(W279-1)*_imois122,0)),DATE(YEAR(_debamort122),MONTH(_debamort122),__jou123+(W279-1)*_ijour122)))</f>
        <v/>
      </c>
      <c r="AA279" s="156">
        <f t="shared" si="58"/>
        <v>0</v>
      </c>
      <c r="AB279" s="153">
        <f>IF(W279&lt;=_noechmaxi1t,ROUND(AA279*'Données Projet 1 (2)'!H288,_nbdeci1t1),0)</f>
        <v>0</v>
      </c>
      <c r="AC279" s="152">
        <f>IF(OR(W279&lt;=_differe1t1t,W279&gt;_noechmaxi1t),IF(_difftotal1t1t,-AB279,0),IF(W279&gt;=_noechremb12,AA279,IF('Données Projet 1 (2)'!I288-(AB279*_echfixe12)&gt;AA279-2,AA279,'Données Projet 1 (2)'!I288-(AB279*_echfixe12))))+R279</f>
        <v>0</v>
      </c>
      <c r="AD279" s="154">
        <f t="shared" si="59"/>
        <v>0</v>
      </c>
      <c r="AE279" s="157">
        <f t="shared" si="51"/>
        <v>0</v>
      </c>
    </row>
    <row r="280" spans="1:31" x14ac:dyDescent="0.2">
      <c r="A280" s="3"/>
      <c r="B280" s="164"/>
      <c r="C280" s="22"/>
      <c r="D280" s="21"/>
      <c r="E280" s="23"/>
      <c r="F280" s="10"/>
      <c r="G280" s="5">
        <f t="shared" si="52"/>
        <v>274</v>
      </c>
      <c r="H280" s="7">
        <f t="shared" si="53"/>
        <v>147</v>
      </c>
      <c r="I280" s="8">
        <f t="shared" si="48"/>
        <v>2031</v>
      </c>
      <c r="J280" s="31">
        <f>IF(K280=0,"",IF(_ijour12=0,MIN(DATE(YEAR(_debamort12),MONTH(_debamort12)+_MoisD+(G280-1)*_imois12,_jour212),DATE(YEAR(_debamort12),MONTH(_debamort12)+_MoisD+1+(G280-1)*_imois12,0)),DATE(YEAR(_debamort12),MONTH(_debamort12),_jour12+(G280-1)*_ijour12)))</f>
        <v>48122</v>
      </c>
      <c r="K280" s="156">
        <f t="shared" si="54"/>
        <v>79728.590000000026</v>
      </c>
      <c r="L280" s="153">
        <f>IF(G280&lt;=_noeechmaxi1,ROUND(K280*'Données Projet 1 (2)'!A289,_nbdeci1t),0)</f>
        <v>123.58</v>
      </c>
      <c r="M280" s="152">
        <f>IF(OR(G280&lt;=_differe1t,G280&gt;_noeechmaxi1),IF(_difftotal1t,-L280,0),IF(G280&gt;=_noechremb1t,K280,IF('Données Projet 1 (2)'!B289-(L280*_echfixe1t)&gt;K280-2,K280,'Données Projet 1 (2)'!B289-(L280*_echfixe1t))))+B280</f>
        <v>483.34</v>
      </c>
      <c r="N280" s="154">
        <f t="shared" si="55"/>
        <v>15.6</v>
      </c>
      <c r="O280" s="157">
        <f t="shared" si="49"/>
        <v>622.52</v>
      </c>
      <c r="Q280" s="3"/>
      <c r="R280" s="164"/>
      <c r="S280" s="22"/>
      <c r="T280" s="21"/>
      <c r="U280" s="23"/>
      <c r="V280" s="10"/>
      <c r="W280" s="5" t="str">
        <f t="shared" si="56"/>
        <v/>
      </c>
      <c r="X280" s="7" t="str">
        <f t="shared" si="57"/>
        <v/>
      </c>
      <c r="Y280" s="8" t="str">
        <f t="shared" si="50"/>
        <v/>
      </c>
      <c r="Z280" s="31" t="str">
        <f>IF(AA280=0,"",IF(_ijour122=0,MIN(DATE(YEAR(_debamort122),MONTH(_debamort122)+_moisd12+(W280-1)*_imois122,__jou21),DATE(YEAR(_debamort122),MONTH(_debamort122)+_moisd12+1+(W280-1)*_imois122,0)),DATE(YEAR(_debamort122),MONTH(_debamort122),__jou123+(W280-1)*_ijour122)))</f>
        <v/>
      </c>
      <c r="AA280" s="156">
        <f t="shared" si="58"/>
        <v>0</v>
      </c>
      <c r="AB280" s="153">
        <f>IF(W280&lt;=_noechmaxi1t,ROUND(AA280*'Données Projet 1 (2)'!H289,_nbdeci1t1),0)</f>
        <v>0</v>
      </c>
      <c r="AC280" s="152">
        <f>IF(OR(W280&lt;=_differe1t1t,W280&gt;_noechmaxi1t),IF(_difftotal1t1t,-AB280,0),IF(W280&gt;=_noechremb12,AA280,IF('Données Projet 1 (2)'!I289-(AB280*_echfixe12)&gt;AA280-2,AA280,'Données Projet 1 (2)'!I289-(AB280*_echfixe12))))+R280</f>
        <v>0</v>
      </c>
      <c r="AD280" s="154">
        <f t="shared" si="59"/>
        <v>0</v>
      </c>
      <c r="AE280" s="157">
        <f t="shared" si="51"/>
        <v>0</v>
      </c>
    </row>
    <row r="281" spans="1:31" x14ac:dyDescent="0.2">
      <c r="A281" s="3"/>
      <c r="B281" s="164"/>
      <c r="C281" s="22"/>
      <c r="D281" s="21"/>
      <c r="E281" s="23"/>
      <c r="F281" s="10"/>
      <c r="G281" s="5">
        <f t="shared" si="52"/>
        <v>275</v>
      </c>
      <c r="H281" s="7">
        <f t="shared" si="53"/>
        <v>146</v>
      </c>
      <c r="I281" s="8">
        <f t="shared" si="48"/>
        <v>2031</v>
      </c>
      <c r="J281" s="31">
        <f>IF(K281=0,"",IF(_ijour12=0,MIN(DATE(YEAR(_debamort12),MONTH(_debamort12)+(G281-1)*_imois12,_jour12),DATE(YEAR(_debamort12),MONTH(_debamort12)+1+(G281-1)*_imois12,0)),DATE(YEAR(_debamort12),MONTH(_debamort12),_jour12+(G281-1)*_ijour12)))</f>
        <v>48153</v>
      </c>
      <c r="K281" s="156">
        <f t="shared" si="54"/>
        <v>79245.250000000029</v>
      </c>
      <c r="L281" s="153">
        <f>IF(G281&lt;=_noeechmaxi1,ROUND(K281*'Données Projet 1 (2)'!A290,_nbdeci1t),0)</f>
        <v>122.83</v>
      </c>
      <c r="M281" s="152">
        <f>IF(OR(G281&lt;=_differe1t,G281&gt;_noeechmaxi1),IF(_difftotal1t,-L281,0),IF(G281&gt;=_noechremb1t,K281,IF('Données Projet 1 (2)'!B290-(L281*_echfixe1t)&gt;K281-2,K281,'Données Projet 1 (2)'!B290-(L281*_echfixe1t))))+B281</f>
        <v>484.09</v>
      </c>
      <c r="N281" s="154">
        <f t="shared" si="55"/>
        <v>15.6</v>
      </c>
      <c r="O281" s="157">
        <f t="shared" si="49"/>
        <v>622.52</v>
      </c>
      <c r="Q281" s="3"/>
      <c r="R281" s="164"/>
      <c r="S281" s="22"/>
      <c r="T281" s="21"/>
      <c r="U281" s="23"/>
      <c r="V281" s="10"/>
      <c r="W281" s="5" t="str">
        <f t="shared" si="56"/>
        <v/>
      </c>
      <c r="X281" s="7" t="str">
        <f t="shared" si="57"/>
        <v/>
      </c>
      <c r="Y281" s="8" t="str">
        <f t="shared" si="50"/>
        <v/>
      </c>
      <c r="Z281" s="31" t="str">
        <f>IF(AA281=0,"",IF(_ijour122=0,MIN(DATE(YEAR(_debamort122),MONTH(_debamort122)+(W281-1)*_imois122,__jou123),DATE(YEAR(_debamort122),MONTH(_debamort122)+1+(W281-1)*_imois122,0)),DATE(YEAR(_debamort122),MONTH(_debamort122),__jou123+(W281-1)*_ijour122)))</f>
        <v/>
      </c>
      <c r="AA281" s="156">
        <f t="shared" si="58"/>
        <v>0</v>
      </c>
      <c r="AB281" s="153">
        <f>IF(W281&lt;=_noechmaxi1t,ROUND(AA281*'Données Projet 1 (2)'!H290,_nbdeci1t1),0)</f>
        <v>0</v>
      </c>
      <c r="AC281" s="152">
        <f>IF(OR(W281&lt;=_differe1t1t,W281&gt;_noechmaxi1t),IF(_difftotal1t1t,-AB281,0),IF(W281&gt;=_noechremb12,AA281,IF('Données Projet 1 (2)'!I290-(AB281*_echfixe12)&gt;AA281-2,AA281,'Données Projet 1 (2)'!I290-(AB281*_echfixe12))))+R281</f>
        <v>0</v>
      </c>
      <c r="AD281" s="154">
        <f t="shared" si="59"/>
        <v>0</v>
      </c>
      <c r="AE281" s="157">
        <f t="shared" si="51"/>
        <v>0</v>
      </c>
    </row>
    <row r="282" spans="1:31" x14ac:dyDescent="0.2">
      <c r="A282" s="3"/>
      <c r="B282" s="164"/>
      <c r="C282" s="22"/>
      <c r="D282" s="21"/>
      <c r="E282" s="23"/>
      <c r="F282" s="10"/>
      <c r="G282" s="5">
        <f t="shared" si="52"/>
        <v>276</v>
      </c>
      <c r="H282" s="7">
        <f t="shared" si="53"/>
        <v>145</v>
      </c>
      <c r="I282" s="8">
        <f t="shared" si="48"/>
        <v>2031</v>
      </c>
      <c r="J282" s="31">
        <f>IF(K282=0,"",IF(_ijour12=0,MIN(DATE(YEAR(_debamort12),MONTH(_debamort12)+_MoisD+(G282-1)*_imois12,_jour212),DATE(YEAR(_debamort12),MONTH(_debamort12)+_MoisD+1+(G282-1)*_imois12,0)),DATE(YEAR(_debamort12),MONTH(_debamort12),_jour12+(G282-1)*_ijour12)))</f>
        <v>48183</v>
      </c>
      <c r="K282" s="156">
        <f t="shared" si="54"/>
        <v>78761.160000000033</v>
      </c>
      <c r="L282" s="153">
        <f>IF(G282&lt;=_noeechmaxi1,ROUND(K282*'Données Projet 1 (2)'!A291,_nbdeci1t),0)</f>
        <v>122.08</v>
      </c>
      <c r="M282" s="152">
        <f>IF(OR(G282&lt;=_differe1t,G282&gt;_noeechmaxi1),IF(_difftotal1t,-L282,0),IF(G282&gt;=_noechremb1t,K282,IF('Données Projet 1 (2)'!B291-(L282*_echfixe1t)&gt;K282-2,K282,'Données Projet 1 (2)'!B291-(L282*_echfixe1t))))+B282</f>
        <v>484.84</v>
      </c>
      <c r="N282" s="154">
        <f t="shared" si="55"/>
        <v>15.6</v>
      </c>
      <c r="O282" s="157">
        <f t="shared" si="49"/>
        <v>622.52</v>
      </c>
      <c r="Q282" s="3"/>
      <c r="R282" s="164"/>
      <c r="S282" s="22"/>
      <c r="T282" s="21"/>
      <c r="U282" s="23"/>
      <c r="V282" s="10"/>
      <c r="W282" s="5" t="str">
        <f t="shared" si="56"/>
        <v/>
      </c>
      <c r="X282" s="7" t="str">
        <f t="shared" si="57"/>
        <v/>
      </c>
      <c r="Y282" s="8" t="str">
        <f t="shared" si="50"/>
        <v/>
      </c>
      <c r="Z282" s="31" t="str">
        <f>IF(AA282=0,"",IF(_ijour122=0,MIN(DATE(YEAR(_debamort122),MONTH(_debamort122)+_moisd12+(W282-1)*_imois122,__jou21),DATE(YEAR(_debamort122),MONTH(_debamort122)+_moisd12+1+(W282-1)*_imois122,0)),DATE(YEAR(_debamort122),MONTH(_debamort122),__jou123+(W282-1)*_ijour122)))</f>
        <v/>
      </c>
      <c r="AA282" s="156">
        <f t="shared" si="58"/>
        <v>0</v>
      </c>
      <c r="AB282" s="153">
        <f>IF(W282&lt;=_noechmaxi1t,ROUND(AA282*'Données Projet 1 (2)'!H291,_nbdeci1t1),0)</f>
        <v>0</v>
      </c>
      <c r="AC282" s="152">
        <f>IF(OR(W282&lt;=_differe1t1t,W282&gt;_noechmaxi1t),IF(_difftotal1t1t,-AB282,0),IF(W282&gt;=_noechremb12,AA282,IF('Données Projet 1 (2)'!I291-(AB282*_echfixe12)&gt;AA282-2,AA282,'Données Projet 1 (2)'!I291-(AB282*_echfixe12))))+R282</f>
        <v>0</v>
      </c>
      <c r="AD282" s="154">
        <f t="shared" si="59"/>
        <v>0</v>
      </c>
      <c r="AE282" s="157">
        <f t="shared" si="51"/>
        <v>0</v>
      </c>
    </row>
    <row r="283" spans="1:31" x14ac:dyDescent="0.2">
      <c r="A283" s="3"/>
      <c r="B283" s="164"/>
      <c r="C283" s="22"/>
      <c r="D283" s="21"/>
      <c r="E283" s="23"/>
      <c r="F283" s="10"/>
      <c r="G283" s="5">
        <f t="shared" si="52"/>
        <v>277</v>
      </c>
      <c r="H283" s="7">
        <f t="shared" si="53"/>
        <v>144</v>
      </c>
      <c r="I283" s="8">
        <f t="shared" si="48"/>
        <v>2032</v>
      </c>
      <c r="J283" s="31">
        <f>IF(K283=0,"",IF(_ijour12=0,MIN(DATE(YEAR(_debamort12),MONTH(_debamort12)+(G283-1)*_imois12,_jour12),DATE(YEAR(_debamort12),MONTH(_debamort12)+1+(G283-1)*_imois12,0)),DATE(YEAR(_debamort12),MONTH(_debamort12),_jour12+(G283-1)*_ijour12)))</f>
        <v>48214</v>
      </c>
      <c r="K283" s="156">
        <f t="shared" si="54"/>
        <v>78276.320000000036</v>
      </c>
      <c r="L283" s="153">
        <f>IF(G283&lt;=_noeechmaxi1,ROUND(K283*'Données Projet 1 (2)'!A292,_nbdeci1t),0)</f>
        <v>121.33</v>
      </c>
      <c r="M283" s="152">
        <f>IF(OR(G283&lt;=_differe1t,G283&gt;_noeechmaxi1),IF(_difftotal1t,-L283,0),IF(G283&gt;=_noechremb1t,K283,IF('Données Projet 1 (2)'!B292-(L283*_echfixe1t)&gt;K283-2,K283,'Données Projet 1 (2)'!B292-(L283*_echfixe1t))))+B283</f>
        <v>485.59</v>
      </c>
      <c r="N283" s="154">
        <f t="shared" si="55"/>
        <v>15.6</v>
      </c>
      <c r="O283" s="157">
        <f t="shared" si="49"/>
        <v>622.52</v>
      </c>
      <c r="Q283" s="3"/>
      <c r="R283" s="164"/>
      <c r="S283" s="22"/>
      <c r="T283" s="21"/>
      <c r="U283" s="23"/>
      <c r="V283" s="10"/>
      <c r="W283" s="5" t="str">
        <f t="shared" si="56"/>
        <v/>
      </c>
      <c r="X283" s="7" t="str">
        <f t="shared" si="57"/>
        <v/>
      </c>
      <c r="Y283" s="8" t="str">
        <f t="shared" si="50"/>
        <v/>
      </c>
      <c r="Z283" s="31" t="str">
        <f>IF(AA283=0,"",IF(_ijour122=0,MIN(DATE(YEAR(_debamort122),MONTH(_debamort122)+(W283-1)*_imois122,__jou123),DATE(YEAR(_debamort122),MONTH(_debamort122)+1+(W283-1)*_imois122,0)),DATE(YEAR(_debamort122),MONTH(_debamort122),__jou123+(W283-1)*_ijour122)))</f>
        <v/>
      </c>
      <c r="AA283" s="156">
        <f t="shared" si="58"/>
        <v>0</v>
      </c>
      <c r="AB283" s="153">
        <f>IF(W283&lt;=_noechmaxi1t,ROUND(AA283*'Données Projet 1 (2)'!H292,_nbdeci1t1),0)</f>
        <v>0</v>
      </c>
      <c r="AC283" s="152">
        <f>IF(OR(W283&lt;=_differe1t1t,W283&gt;_noechmaxi1t),IF(_difftotal1t1t,-AB283,0),IF(W283&gt;=_noechremb12,AA283,IF('Données Projet 1 (2)'!I292-(AB283*_echfixe12)&gt;AA283-2,AA283,'Données Projet 1 (2)'!I292-(AB283*_echfixe12))))+R283</f>
        <v>0</v>
      </c>
      <c r="AD283" s="154">
        <f t="shared" si="59"/>
        <v>0</v>
      </c>
      <c r="AE283" s="157">
        <f t="shared" si="51"/>
        <v>0</v>
      </c>
    </row>
    <row r="284" spans="1:31" x14ac:dyDescent="0.2">
      <c r="A284" s="3"/>
      <c r="B284" s="164"/>
      <c r="C284" s="22"/>
      <c r="D284" s="21"/>
      <c r="E284" s="23"/>
      <c r="F284" s="10"/>
      <c r="G284" s="5">
        <f t="shared" si="52"/>
        <v>278</v>
      </c>
      <c r="H284" s="7">
        <f t="shared" si="53"/>
        <v>143</v>
      </c>
      <c r="I284" s="8">
        <f t="shared" si="48"/>
        <v>2032</v>
      </c>
      <c r="J284" s="31">
        <f>IF(K284=0,"",IF(_ijour12=0,MIN(DATE(YEAR(_debamort12),MONTH(_debamort12)+_MoisD+(G284-1)*_imois12,_jour212),DATE(YEAR(_debamort12),MONTH(_debamort12)+_MoisD+1+(G284-1)*_imois12,0)),DATE(YEAR(_debamort12),MONTH(_debamort12),_jour12+(G284-1)*_ijour12)))</f>
        <v>48245</v>
      </c>
      <c r="K284" s="156">
        <f t="shared" si="54"/>
        <v>77790.73000000004</v>
      </c>
      <c r="L284" s="153">
        <f>IF(G284&lt;=_noeechmaxi1,ROUND(K284*'Données Projet 1 (2)'!A293,_nbdeci1t),0)</f>
        <v>120.58</v>
      </c>
      <c r="M284" s="152">
        <f>IF(OR(G284&lt;=_differe1t,G284&gt;_noeechmaxi1),IF(_difftotal1t,-L284,0),IF(G284&gt;=_noechremb1t,K284,IF('Données Projet 1 (2)'!B293-(L284*_echfixe1t)&gt;K284-2,K284,'Données Projet 1 (2)'!B293-(L284*_echfixe1t))))+B284</f>
        <v>486.34</v>
      </c>
      <c r="N284" s="154">
        <f t="shared" si="55"/>
        <v>15.6</v>
      </c>
      <c r="O284" s="157">
        <f t="shared" si="49"/>
        <v>622.52</v>
      </c>
      <c r="Q284" s="3"/>
      <c r="R284" s="164"/>
      <c r="S284" s="22"/>
      <c r="T284" s="21"/>
      <c r="U284" s="23"/>
      <c r="V284" s="10"/>
      <c r="W284" s="5" t="str">
        <f t="shared" si="56"/>
        <v/>
      </c>
      <c r="X284" s="7" t="str">
        <f t="shared" si="57"/>
        <v/>
      </c>
      <c r="Y284" s="8" t="str">
        <f t="shared" si="50"/>
        <v/>
      </c>
      <c r="Z284" s="31" t="str">
        <f>IF(AA284=0,"",IF(_ijour122=0,MIN(DATE(YEAR(_debamort122),MONTH(_debamort122)+_moisd12+(W284-1)*_imois122,__jou21),DATE(YEAR(_debamort122),MONTH(_debamort122)+_moisd12+1+(W284-1)*_imois122,0)),DATE(YEAR(_debamort122),MONTH(_debamort122),__jou123+(W284-1)*_ijour122)))</f>
        <v/>
      </c>
      <c r="AA284" s="156">
        <f t="shared" si="58"/>
        <v>0</v>
      </c>
      <c r="AB284" s="153">
        <f>IF(W284&lt;=_noechmaxi1t,ROUND(AA284*'Données Projet 1 (2)'!H293,_nbdeci1t1),0)</f>
        <v>0</v>
      </c>
      <c r="AC284" s="152">
        <f>IF(OR(W284&lt;=_differe1t1t,W284&gt;_noechmaxi1t),IF(_difftotal1t1t,-AB284,0),IF(W284&gt;=_noechremb12,AA284,IF('Données Projet 1 (2)'!I293-(AB284*_echfixe12)&gt;AA284-2,AA284,'Données Projet 1 (2)'!I293-(AB284*_echfixe12))))+R284</f>
        <v>0</v>
      </c>
      <c r="AD284" s="154">
        <f t="shared" si="59"/>
        <v>0</v>
      </c>
      <c r="AE284" s="157">
        <f t="shared" si="51"/>
        <v>0</v>
      </c>
    </row>
    <row r="285" spans="1:31" x14ac:dyDescent="0.2">
      <c r="A285" s="3"/>
      <c r="B285" s="164"/>
      <c r="C285" s="22"/>
      <c r="D285" s="21"/>
      <c r="E285" s="23"/>
      <c r="F285" s="10"/>
      <c r="G285" s="5">
        <f t="shared" si="52"/>
        <v>279</v>
      </c>
      <c r="H285" s="7">
        <f t="shared" si="53"/>
        <v>142</v>
      </c>
      <c r="I285" s="8">
        <f t="shared" si="48"/>
        <v>2032</v>
      </c>
      <c r="J285" s="31">
        <f>IF(K285=0,"",IF(_ijour12=0,MIN(DATE(YEAR(_debamort12),MONTH(_debamort12)+(G285-1)*_imois12,_jour12),DATE(YEAR(_debamort12),MONTH(_debamort12)+1+(G285-1)*_imois12,0)),DATE(YEAR(_debamort12),MONTH(_debamort12),_jour12+(G285-1)*_ijour12)))</f>
        <v>48274</v>
      </c>
      <c r="K285" s="156">
        <f t="shared" si="54"/>
        <v>77304.390000000043</v>
      </c>
      <c r="L285" s="153">
        <f>IF(G285&lt;=_noeechmaxi1,ROUND(K285*'Données Projet 1 (2)'!A294,_nbdeci1t),0)</f>
        <v>119.82</v>
      </c>
      <c r="M285" s="152">
        <f>IF(OR(G285&lt;=_differe1t,G285&gt;_noeechmaxi1),IF(_difftotal1t,-L285,0),IF(G285&gt;=_noechremb1t,K285,IF('Données Projet 1 (2)'!B294-(L285*_echfixe1t)&gt;K285-2,K285,'Données Projet 1 (2)'!B294-(L285*_echfixe1t))))+B285</f>
        <v>487.09999999999997</v>
      </c>
      <c r="N285" s="154">
        <f t="shared" si="55"/>
        <v>15.6</v>
      </c>
      <c r="O285" s="157">
        <f t="shared" si="49"/>
        <v>622.52</v>
      </c>
      <c r="Q285" s="3"/>
      <c r="R285" s="164"/>
      <c r="S285" s="22"/>
      <c r="T285" s="21"/>
      <c r="U285" s="23"/>
      <c r="V285" s="10"/>
      <c r="W285" s="5" t="str">
        <f t="shared" si="56"/>
        <v/>
      </c>
      <c r="X285" s="7" t="str">
        <f t="shared" si="57"/>
        <v/>
      </c>
      <c r="Y285" s="8" t="str">
        <f t="shared" si="50"/>
        <v/>
      </c>
      <c r="Z285" s="31" t="str">
        <f>IF(AA285=0,"",IF(_ijour122=0,MIN(DATE(YEAR(_debamort122),MONTH(_debamort122)+(W285-1)*_imois122,__jou123),DATE(YEAR(_debamort122),MONTH(_debamort122)+1+(W285-1)*_imois122,0)),DATE(YEAR(_debamort122),MONTH(_debamort122),__jou123+(W285-1)*_ijour122)))</f>
        <v/>
      </c>
      <c r="AA285" s="156">
        <f t="shared" si="58"/>
        <v>0</v>
      </c>
      <c r="AB285" s="153">
        <f>IF(W285&lt;=_noechmaxi1t,ROUND(AA285*'Données Projet 1 (2)'!H294,_nbdeci1t1),0)</f>
        <v>0</v>
      </c>
      <c r="AC285" s="152">
        <f>IF(OR(W285&lt;=_differe1t1t,W285&gt;_noechmaxi1t),IF(_difftotal1t1t,-AB285,0),IF(W285&gt;=_noechremb12,AA285,IF('Données Projet 1 (2)'!I294-(AB285*_echfixe12)&gt;AA285-2,AA285,'Données Projet 1 (2)'!I294-(AB285*_echfixe12))))+R285</f>
        <v>0</v>
      </c>
      <c r="AD285" s="154">
        <f t="shared" si="59"/>
        <v>0</v>
      </c>
      <c r="AE285" s="157">
        <f t="shared" si="51"/>
        <v>0</v>
      </c>
    </row>
    <row r="286" spans="1:31" x14ac:dyDescent="0.2">
      <c r="A286" s="3"/>
      <c r="B286" s="164"/>
      <c r="C286" s="22"/>
      <c r="D286" s="21"/>
      <c r="E286" s="23"/>
      <c r="F286" s="10"/>
      <c r="G286" s="5">
        <f t="shared" si="52"/>
        <v>280</v>
      </c>
      <c r="H286" s="7">
        <f t="shared" si="53"/>
        <v>141</v>
      </c>
      <c r="I286" s="8">
        <f t="shared" si="48"/>
        <v>2032</v>
      </c>
      <c r="J286" s="31">
        <f>IF(K286=0,"",IF(_ijour12=0,MIN(DATE(YEAR(_debamort12),MONTH(_debamort12)+_MoisD+(G286-1)*_imois12,_jour212),DATE(YEAR(_debamort12),MONTH(_debamort12)+_MoisD+1+(G286-1)*_imois12,0)),DATE(YEAR(_debamort12),MONTH(_debamort12),_jour12+(G286-1)*_ijour12)))</f>
        <v>48305</v>
      </c>
      <c r="K286" s="156">
        <f t="shared" si="54"/>
        <v>76817.290000000037</v>
      </c>
      <c r="L286" s="153">
        <f>IF(G286&lt;=_noeechmaxi1,ROUND(K286*'Données Projet 1 (2)'!A295,_nbdeci1t),0)</f>
        <v>119.07</v>
      </c>
      <c r="M286" s="152">
        <f>IF(OR(G286&lt;=_differe1t,G286&gt;_noeechmaxi1),IF(_difftotal1t,-L286,0),IF(G286&gt;=_noechremb1t,K286,IF('Données Projet 1 (2)'!B295-(L286*_echfixe1t)&gt;K286-2,K286,'Données Projet 1 (2)'!B295-(L286*_echfixe1t))))+B286</f>
        <v>487.84999999999997</v>
      </c>
      <c r="N286" s="154">
        <f t="shared" si="55"/>
        <v>15.6</v>
      </c>
      <c r="O286" s="157">
        <f t="shared" si="49"/>
        <v>622.52</v>
      </c>
      <c r="Q286" s="3"/>
      <c r="R286" s="164"/>
      <c r="S286" s="22"/>
      <c r="T286" s="21"/>
      <c r="U286" s="23"/>
      <c r="V286" s="10"/>
      <c r="W286" s="5" t="str">
        <f t="shared" si="56"/>
        <v/>
      </c>
      <c r="X286" s="7" t="str">
        <f t="shared" si="57"/>
        <v/>
      </c>
      <c r="Y286" s="8" t="str">
        <f t="shared" si="50"/>
        <v/>
      </c>
      <c r="Z286" s="31" t="str">
        <f>IF(AA286=0,"",IF(_ijour122=0,MIN(DATE(YEAR(_debamort122),MONTH(_debamort122)+_moisd12+(W286-1)*_imois122,__jou21),DATE(YEAR(_debamort122),MONTH(_debamort122)+_moisd12+1+(W286-1)*_imois122,0)),DATE(YEAR(_debamort122),MONTH(_debamort122),__jou123+(W286-1)*_ijour122)))</f>
        <v/>
      </c>
      <c r="AA286" s="156">
        <f t="shared" si="58"/>
        <v>0</v>
      </c>
      <c r="AB286" s="153">
        <f>IF(W286&lt;=_noechmaxi1t,ROUND(AA286*'Données Projet 1 (2)'!H295,_nbdeci1t1),0)</f>
        <v>0</v>
      </c>
      <c r="AC286" s="152">
        <f>IF(OR(W286&lt;=_differe1t1t,W286&gt;_noechmaxi1t),IF(_difftotal1t1t,-AB286,0),IF(W286&gt;=_noechremb12,AA286,IF('Données Projet 1 (2)'!I295-(AB286*_echfixe12)&gt;AA286-2,AA286,'Données Projet 1 (2)'!I295-(AB286*_echfixe12))))+R286</f>
        <v>0</v>
      </c>
      <c r="AD286" s="154">
        <f t="shared" si="59"/>
        <v>0</v>
      </c>
      <c r="AE286" s="157">
        <f t="shared" si="51"/>
        <v>0</v>
      </c>
    </row>
    <row r="287" spans="1:31" x14ac:dyDescent="0.2">
      <c r="A287" s="3"/>
      <c r="B287" s="164"/>
      <c r="C287" s="22"/>
      <c r="D287" s="21"/>
      <c r="E287" s="23"/>
      <c r="F287" s="10"/>
      <c r="G287" s="5">
        <f t="shared" si="52"/>
        <v>281</v>
      </c>
      <c r="H287" s="7">
        <f t="shared" si="53"/>
        <v>140</v>
      </c>
      <c r="I287" s="8">
        <f t="shared" si="48"/>
        <v>2032</v>
      </c>
      <c r="J287" s="31">
        <f>IF(K287=0,"",IF(_ijour12=0,MIN(DATE(YEAR(_debamort12),MONTH(_debamort12)+(G287-1)*_imois12,_jour12),DATE(YEAR(_debamort12),MONTH(_debamort12)+1+(G287-1)*_imois12,0)),DATE(YEAR(_debamort12),MONTH(_debamort12),_jour12+(G287-1)*_ijour12)))</f>
        <v>48335</v>
      </c>
      <c r="K287" s="156">
        <f t="shared" si="54"/>
        <v>76329.440000000031</v>
      </c>
      <c r="L287" s="153">
        <f>IF(G287&lt;=_noeechmaxi1,ROUND(K287*'Données Projet 1 (2)'!A296,_nbdeci1t),0)</f>
        <v>118.31</v>
      </c>
      <c r="M287" s="152">
        <f>IF(OR(G287&lt;=_differe1t,G287&gt;_noeechmaxi1),IF(_difftotal1t,-L287,0),IF(G287&gt;=_noechremb1t,K287,IF('Données Projet 1 (2)'!B296-(L287*_echfixe1t)&gt;K287-2,K287,'Données Projet 1 (2)'!B296-(L287*_echfixe1t))))+B287</f>
        <v>488.60999999999996</v>
      </c>
      <c r="N287" s="154">
        <f t="shared" si="55"/>
        <v>15.6</v>
      </c>
      <c r="O287" s="157">
        <f t="shared" si="49"/>
        <v>622.52</v>
      </c>
      <c r="Q287" s="3"/>
      <c r="R287" s="164"/>
      <c r="S287" s="22"/>
      <c r="T287" s="21"/>
      <c r="U287" s="23"/>
      <c r="V287" s="10"/>
      <c r="W287" s="5" t="str">
        <f t="shared" si="56"/>
        <v/>
      </c>
      <c r="X287" s="7" t="str">
        <f t="shared" si="57"/>
        <v/>
      </c>
      <c r="Y287" s="8" t="str">
        <f t="shared" si="50"/>
        <v/>
      </c>
      <c r="Z287" s="31" t="str">
        <f>IF(AA287=0,"",IF(_ijour122=0,MIN(DATE(YEAR(_debamort122),MONTH(_debamort122)+(W287-1)*_imois122,__jou123),DATE(YEAR(_debamort122),MONTH(_debamort122)+1+(W287-1)*_imois122,0)),DATE(YEAR(_debamort122),MONTH(_debamort122),__jou123+(W287-1)*_ijour122)))</f>
        <v/>
      </c>
      <c r="AA287" s="156">
        <f t="shared" si="58"/>
        <v>0</v>
      </c>
      <c r="AB287" s="153">
        <f>IF(W287&lt;=_noechmaxi1t,ROUND(AA287*'Données Projet 1 (2)'!H296,_nbdeci1t1),0)</f>
        <v>0</v>
      </c>
      <c r="AC287" s="152">
        <f>IF(OR(W287&lt;=_differe1t1t,W287&gt;_noechmaxi1t),IF(_difftotal1t1t,-AB287,0),IF(W287&gt;=_noechremb12,AA287,IF('Données Projet 1 (2)'!I296-(AB287*_echfixe12)&gt;AA287-2,AA287,'Données Projet 1 (2)'!I296-(AB287*_echfixe12))))+R287</f>
        <v>0</v>
      </c>
      <c r="AD287" s="154">
        <f t="shared" si="59"/>
        <v>0</v>
      </c>
      <c r="AE287" s="157">
        <f t="shared" si="51"/>
        <v>0</v>
      </c>
    </row>
    <row r="288" spans="1:31" x14ac:dyDescent="0.2">
      <c r="A288" s="3"/>
      <c r="B288" s="164"/>
      <c r="C288" s="22"/>
      <c r="D288" s="21"/>
      <c r="E288" s="23"/>
      <c r="F288" s="10"/>
      <c r="G288" s="5">
        <f t="shared" si="52"/>
        <v>282</v>
      </c>
      <c r="H288" s="7">
        <f t="shared" si="53"/>
        <v>139</v>
      </c>
      <c r="I288" s="8">
        <f t="shared" si="48"/>
        <v>2032</v>
      </c>
      <c r="J288" s="31">
        <f>IF(K288=0,"",IF(_ijour12=0,MIN(DATE(YEAR(_debamort12),MONTH(_debamort12)+_MoisD+(G288-1)*_imois12,_jour212),DATE(YEAR(_debamort12),MONTH(_debamort12)+_MoisD+1+(G288-1)*_imois12,0)),DATE(YEAR(_debamort12),MONTH(_debamort12),_jour12+(G288-1)*_ijour12)))</f>
        <v>48366</v>
      </c>
      <c r="K288" s="156">
        <f t="shared" si="54"/>
        <v>75840.830000000031</v>
      </c>
      <c r="L288" s="153">
        <f>IF(G288&lt;=_noeechmaxi1,ROUND(K288*'Données Projet 1 (2)'!A297,_nbdeci1t),0)</f>
        <v>117.55</v>
      </c>
      <c r="M288" s="152">
        <f>IF(OR(G288&lt;=_differe1t,G288&gt;_noeechmaxi1),IF(_difftotal1t,-L288,0),IF(G288&gt;=_noechremb1t,K288,IF('Données Projet 1 (2)'!B297-(L288*_echfixe1t)&gt;K288-2,K288,'Données Projet 1 (2)'!B297-(L288*_echfixe1t))))+B288</f>
        <v>489.36999999999995</v>
      </c>
      <c r="N288" s="154">
        <f t="shared" si="55"/>
        <v>15.6</v>
      </c>
      <c r="O288" s="157">
        <f t="shared" si="49"/>
        <v>622.52</v>
      </c>
      <c r="Q288" s="3"/>
      <c r="R288" s="164"/>
      <c r="S288" s="22"/>
      <c r="T288" s="21"/>
      <c r="U288" s="23"/>
      <c r="V288" s="10"/>
      <c r="W288" s="5" t="str">
        <f t="shared" si="56"/>
        <v/>
      </c>
      <c r="X288" s="7" t="str">
        <f t="shared" si="57"/>
        <v/>
      </c>
      <c r="Y288" s="8" t="str">
        <f t="shared" si="50"/>
        <v/>
      </c>
      <c r="Z288" s="31" t="str">
        <f>IF(AA288=0,"",IF(_ijour122=0,MIN(DATE(YEAR(_debamort122),MONTH(_debamort122)+_moisd12+(W288-1)*_imois122,__jou21),DATE(YEAR(_debamort122),MONTH(_debamort122)+_moisd12+1+(W288-1)*_imois122,0)),DATE(YEAR(_debamort122),MONTH(_debamort122),__jou123+(W288-1)*_ijour122)))</f>
        <v/>
      </c>
      <c r="AA288" s="156">
        <f t="shared" si="58"/>
        <v>0</v>
      </c>
      <c r="AB288" s="153">
        <f>IF(W288&lt;=_noechmaxi1t,ROUND(AA288*'Données Projet 1 (2)'!H297,_nbdeci1t1),0)</f>
        <v>0</v>
      </c>
      <c r="AC288" s="152">
        <f>IF(OR(W288&lt;=_differe1t1t,W288&gt;_noechmaxi1t),IF(_difftotal1t1t,-AB288,0),IF(W288&gt;=_noechremb12,AA288,IF('Données Projet 1 (2)'!I297-(AB288*_echfixe12)&gt;AA288-2,AA288,'Données Projet 1 (2)'!I297-(AB288*_echfixe12))))+R288</f>
        <v>0</v>
      </c>
      <c r="AD288" s="154">
        <f t="shared" si="59"/>
        <v>0</v>
      </c>
      <c r="AE288" s="157">
        <f t="shared" si="51"/>
        <v>0</v>
      </c>
    </row>
    <row r="289" spans="1:31" x14ac:dyDescent="0.2">
      <c r="A289" s="3"/>
      <c r="B289" s="164"/>
      <c r="C289" s="22"/>
      <c r="D289" s="21"/>
      <c r="E289" s="23"/>
      <c r="F289" s="10"/>
      <c r="G289" s="5">
        <f t="shared" si="52"/>
        <v>283</v>
      </c>
      <c r="H289" s="7">
        <f t="shared" si="53"/>
        <v>138</v>
      </c>
      <c r="I289" s="8">
        <f t="shared" si="48"/>
        <v>2032</v>
      </c>
      <c r="J289" s="31">
        <f>IF(K289=0,"",IF(_ijour12=0,MIN(DATE(YEAR(_debamort12),MONTH(_debamort12)+(G289-1)*_imois12,_jour12),DATE(YEAR(_debamort12),MONTH(_debamort12)+1+(G289-1)*_imois12,0)),DATE(YEAR(_debamort12),MONTH(_debamort12),_jour12+(G289-1)*_ijour12)))</f>
        <v>48396</v>
      </c>
      <c r="K289" s="156">
        <f t="shared" si="54"/>
        <v>75351.460000000036</v>
      </c>
      <c r="L289" s="153">
        <f>IF(G289&lt;=_noeechmaxi1,ROUND(K289*'Données Projet 1 (2)'!A298,_nbdeci1t),0)</f>
        <v>116.79</v>
      </c>
      <c r="M289" s="152">
        <f>IF(OR(G289&lt;=_differe1t,G289&gt;_noeechmaxi1),IF(_difftotal1t,-L289,0),IF(G289&gt;=_noechremb1t,K289,IF('Données Projet 1 (2)'!B298-(L289*_echfixe1t)&gt;K289-2,K289,'Données Projet 1 (2)'!B298-(L289*_echfixe1t))))+B289</f>
        <v>490.12999999999994</v>
      </c>
      <c r="N289" s="154">
        <f t="shared" si="55"/>
        <v>15.6</v>
      </c>
      <c r="O289" s="157">
        <f t="shared" si="49"/>
        <v>622.52</v>
      </c>
      <c r="Q289" s="3"/>
      <c r="R289" s="164"/>
      <c r="S289" s="22"/>
      <c r="T289" s="21"/>
      <c r="U289" s="23"/>
      <c r="V289" s="10"/>
      <c r="W289" s="5" t="str">
        <f t="shared" si="56"/>
        <v/>
      </c>
      <c r="X289" s="7" t="str">
        <f t="shared" si="57"/>
        <v/>
      </c>
      <c r="Y289" s="8" t="str">
        <f t="shared" si="50"/>
        <v/>
      </c>
      <c r="Z289" s="31" t="str">
        <f>IF(AA289=0,"",IF(_ijour122=0,MIN(DATE(YEAR(_debamort122),MONTH(_debamort122)+(W289-1)*_imois122,__jou123),DATE(YEAR(_debamort122),MONTH(_debamort122)+1+(W289-1)*_imois122,0)),DATE(YEAR(_debamort122),MONTH(_debamort122),__jou123+(W289-1)*_ijour122)))</f>
        <v/>
      </c>
      <c r="AA289" s="156">
        <f t="shared" si="58"/>
        <v>0</v>
      </c>
      <c r="AB289" s="153">
        <f>IF(W289&lt;=_noechmaxi1t,ROUND(AA289*'Données Projet 1 (2)'!H298,_nbdeci1t1),0)</f>
        <v>0</v>
      </c>
      <c r="AC289" s="152">
        <f>IF(OR(W289&lt;=_differe1t1t,W289&gt;_noechmaxi1t),IF(_difftotal1t1t,-AB289,0),IF(W289&gt;=_noechremb12,AA289,IF('Données Projet 1 (2)'!I298-(AB289*_echfixe12)&gt;AA289-2,AA289,'Données Projet 1 (2)'!I298-(AB289*_echfixe12))))+R289</f>
        <v>0</v>
      </c>
      <c r="AD289" s="154">
        <f t="shared" si="59"/>
        <v>0</v>
      </c>
      <c r="AE289" s="157">
        <f t="shared" si="51"/>
        <v>0</v>
      </c>
    </row>
    <row r="290" spans="1:31" x14ac:dyDescent="0.2">
      <c r="A290" s="3"/>
      <c r="B290" s="164"/>
      <c r="C290" s="22"/>
      <c r="D290" s="21"/>
      <c r="E290" s="23"/>
      <c r="F290" s="10"/>
      <c r="G290" s="5">
        <f t="shared" si="52"/>
        <v>284</v>
      </c>
      <c r="H290" s="7">
        <f t="shared" si="53"/>
        <v>137</v>
      </c>
      <c r="I290" s="8">
        <f t="shared" si="48"/>
        <v>2032</v>
      </c>
      <c r="J290" s="31">
        <f>IF(K290=0,"",IF(_ijour12=0,MIN(DATE(YEAR(_debamort12),MONTH(_debamort12)+_MoisD+(G290-1)*_imois12,_jour212),DATE(YEAR(_debamort12),MONTH(_debamort12)+_MoisD+1+(G290-1)*_imois12,0)),DATE(YEAR(_debamort12),MONTH(_debamort12),_jour12+(G290-1)*_ijour12)))</f>
        <v>48427</v>
      </c>
      <c r="K290" s="156">
        <f t="shared" si="54"/>
        <v>74861.330000000031</v>
      </c>
      <c r="L290" s="153">
        <f>IF(G290&lt;=_noeechmaxi1,ROUND(K290*'Données Projet 1 (2)'!A299,_nbdeci1t),0)</f>
        <v>116.04</v>
      </c>
      <c r="M290" s="152">
        <f>IF(OR(G290&lt;=_differe1t,G290&gt;_noeechmaxi1),IF(_difftotal1t,-L290,0),IF(G290&gt;=_noechremb1t,K290,IF('Données Projet 1 (2)'!B299-(L290*_echfixe1t)&gt;K290-2,K290,'Données Projet 1 (2)'!B299-(L290*_echfixe1t))))+B290</f>
        <v>490.87999999999994</v>
      </c>
      <c r="N290" s="154">
        <f t="shared" si="55"/>
        <v>15.6</v>
      </c>
      <c r="O290" s="157">
        <f t="shared" si="49"/>
        <v>622.52</v>
      </c>
      <c r="Q290" s="3"/>
      <c r="R290" s="164"/>
      <c r="S290" s="22"/>
      <c r="T290" s="21"/>
      <c r="U290" s="23"/>
      <c r="V290" s="10"/>
      <c r="W290" s="5" t="str">
        <f t="shared" si="56"/>
        <v/>
      </c>
      <c r="X290" s="7" t="str">
        <f t="shared" si="57"/>
        <v/>
      </c>
      <c r="Y290" s="8" t="str">
        <f t="shared" si="50"/>
        <v/>
      </c>
      <c r="Z290" s="31" t="str">
        <f>IF(AA290=0,"",IF(_ijour122=0,MIN(DATE(YEAR(_debamort122),MONTH(_debamort122)+_moisd12+(W290-1)*_imois122,__jou21),DATE(YEAR(_debamort122),MONTH(_debamort122)+_moisd12+1+(W290-1)*_imois122,0)),DATE(YEAR(_debamort122),MONTH(_debamort122),__jou123+(W290-1)*_ijour122)))</f>
        <v/>
      </c>
      <c r="AA290" s="156">
        <f t="shared" si="58"/>
        <v>0</v>
      </c>
      <c r="AB290" s="153">
        <f>IF(W290&lt;=_noechmaxi1t,ROUND(AA290*'Données Projet 1 (2)'!H299,_nbdeci1t1),0)</f>
        <v>0</v>
      </c>
      <c r="AC290" s="152">
        <f>IF(OR(W290&lt;=_differe1t1t,W290&gt;_noechmaxi1t),IF(_difftotal1t1t,-AB290,0),IF(W290&gt;=_noechremb12,AA290,IF('Données Projet 1 (2)'!I299-(AB290*_echfixe12)&gt;AA290-2,AA290,'Données Projet 1 (2)'!I299-(AB290*_echfixe12))))+R290</f>
        <v>0</v>
      </c>
      <c r="AD290" s="154">
        <f t="shared" si="59"/>
        <v>0</v>
      </c>
      <c r="AE290" s="157">
        <f t="shared" si="51"/>
        <v>0</v>
      </c>
    </row>
    <row r="291" spans="1:31" x14ac:dyDescent="0.2">
      <c r="A291" s="3"/>
      <c r="B291" s="164"/>
      <c r="C291" s="22"/>
      <c r="D291" s="21"/>
      <c r="E291" s="23"/>
      <c r="F291" s="10"/>
      <c r="G291" s="5">
        <f t="shared" si="52"/>
        <v>285</v>
      </c>
      <c r="H291" s="7">
        <f t="shared" si="53"/>
        <v>136</v>
      </c>
      <c r="I291" s="8">
        <f t="shared" si="48"/>
        <v>2032</v>
      </c>
      <c r="J291" s="31">
        <f>IF(K291=0,"",IF(_ijour12=0,MIN(DATE(YEAR(_debamort12),MONTH(_debamort12)+(G291-1)*_imois12,_jour12),DATE(YEAR(_debamort12),MONTH(_debamort12)+1+(G291-1)*_imois12,0)),DATE(YEAR(_debamort12),MONTH(_debamort12),_jour12+(G291-1)*_ijour12)))</f>
        <v>48458</v>
      </c>
      <c r="K291" s="156">
        <f t="shared" si="54"/>
        <v>74370.450000000026</v>
      </c>
      <c r="L291" s="153">
        <f>IF(G291&lt;=_noeechmaxi1,ROUND(K291*'Données Projet 1 (2)'!A300,_nbdeci1t),0)</f>
        <v>115.27</v>
      </c>
      <c r="M291" s="152">
        <f>IF(OR(G291&lt;=_differe1t,G291&gt;_noeechmaxi1),IF(_difftotal1t,-L291,0),IF(G291&gt;=_noechremb1t,K291,IF('Données Projet 1 (2)'!B300-(L291*_echfixe1t)&gt;K291-2,K291,'Données Projet 1 (2)'!B300-(L291*_echfixe1t))))+B291</f>
        <v>491.65</v>
      </c>
      <c r="N291" s="154">
        <f t="shared" si="55"/>
        <v>15.6</v>
      </c>
      <c r="O291" s="157">
        <f t="shared" si="49"/>
        <v>622.52</v>
      </c>
      <c r="Q291" s="3"/>
      <c r="R291" s="164"/>
      <c r="S291" s="22"/>
      <c r="T291" s="21"/>
      <c r="U291" s="23"/>
      <c r="V291" s="10"/>
      <c r="W291" s="5" t="str">
        <f t="shared" si="56"/>
        <v/>
      </c>
      <c r="X291" s="7" t="str">
        <f t="shared" si="57"/>
        <v/>
      </c>
      <c r="Y291" s="8" t="str">
        <f t="shared" si="50"/>
        <v/>
      </c>
      <c r="Z291" s="31" t="str">
        <f>IF(AA291=0,"",IF(_ijour122=0,MIN(DATE(YEAR(_debamort122),MONTH(_debamort122)+(W291-1)*_imois122,__jou123),DATE(YEAR(_debamort122),MONTH(_debamort122)+1+(W291-1)*_imois122,0)),DATE(YEAR(_debamort122),MONTH(_debamort122),__jou123+(W291-1)*_ijour122)))</f>
        <v/>
      </c>
      <c r="AA291" s="156">
        <f t="shared" si="58"/>
        <v>0</v>
      </c>
      <c r="AB291" s="153">
        <f>IF(W291&lt;=_noechmaxi1t,ROUND(AA291*'Données Projet 1 (2)'!H300,_nbdeci1t1),0)</f>
        <v>0</v>
      </c>
      <c r="AC291" s="152">
        <f>IF(OR(W291&lt;=_differe1t1t,W291&gt;_noechmaxi1t),IF(_difftotal1t1t,-AB291,0),IF(W291&gt;=_noechremb12,AA291,IF('Données Projet 1 (2)'!I300-(AB291*_echfixe12)&gt;AA291-2,AA291,'Données Projet 1 (2)'!I300-(AB291*_echfixe12))))+R291</f>
        <v>0</v>
      </c>
      <c r="AD291" s="154">
        <f t="shared" si="59"/>
        <v>0</v>
      </c>
      <c r="AE291" s="157">
        <f t="shared" si="51"/>
        <v>0</v>
      </c>
    </row>
    <row r="292" spans="1:31" x14ac:dyDescent="0.2">
      <c r="A292" s="3"/>
      <c r="B292" s="164"/>
      <c r="C292" s="22"/>
      <c r="D292" s="21"/>
      <c r="E292" s="23"/>
      <c r="F292" s="10"/>
      <c r="G292" s="5">
        <f t="shared" si="52"/>
        <v>286</v>
      </c>
      <c r="H292" s="7">
        <f t="shared" si="53"/>
        <v>135</v>
      </c>
      <c r="I292" s="8">
        <f t="shared" si="48"/>
        <v>2032</v>
      </c>
      <c r="J292" s="31">
        <f>IF(K292=0,"",IF(_ijour12=0,MIN(DATE(YEAR(_debamort12),MONTH(_debamort12)+_MoisD+(G292-1)*_imois12,_jour212),DATE(YEAR(_debamort12),MONTH(_debamort12)+_MoisD+1+(G292-1)*_imois12,0)),DATE(YEAR(_debamort12),MONTH(_debamort12),_jour12+(G292-1)*_ijour12)))</f>
        <v>48488</v>
      </c>
      <c r="K292" s="156">
        <f t="shared" si="54"/>
        <v>73878.800000000032</v>
      </c>
      <c r="L292" s="153">
        <f>IF(G292&lt;=_noeechmaxi1,ROUND(K292*'Données Projet 1 (2)'!A301,_nbdeci1t),0)</f>
        <v>114.51</v>
      </c>
      <c r="M292" s="152">
        <f>IF(OR(G292&lt;=_differe1t,G292&gt;_noeechmaxi1),IF(_difftotal1t,-L292,0),IF(G292&gt;=_noechremb1t,K292,IF('Données Projet 1 (2)'!B301-(L292*_echfixe1t)&gt;K292-2,K292,'Données Projet 1 (2)'!B301-(L292*_echfixe1t))))+B292</f>
        <v>492.40999999999997</v>
      </c>
      <c r="N292" s="154">
        <f t="shared" si="55"/>
        <v>15.6</v>
      </c>
      <c r="O292" s="157">
        <f t="shared" si="49"/>
        <v>622.52</v>
      </c>
      <c r="Q292" s="3"/>
      <c r="R292" s="164"/>
      <c r="S292" s="22"/>
      <c r="T292" s="21"/>
      <c r="U292" s="23"/>
      <c r="V292" s="10"/>
      <c r="W292" s="5" t="str">
        <f t="shared" si="56"/>
        <v/>
      </c>
      <c r="X292" s="7" t="str">
        <f t="shared" si="57"/>
        <v/>
      </c>
      <c r="Y292" s="8" t="str">
        <f t="shared" si="50"/>
        <v/>
      </c>
      <c r="Z292" s="31" t="str">
        <f>IF(AA292=0,"",IF(_ijour122=0,MIN(DATE(YEAR(_debamort122),MONTH(_debamort122)+_moisd12+(W292-1)*_imois122,__jou21),DATE(YEAR(_debamort122),MONTH(_debamort122)+_moisd12+1+(W292-1)*_imois122,0)),DATE(YEAR(_debamort122),MONTH(_debamort122),__jou123+(W292-1)*_ijour122)))</f>
        <v/>
      </c>
      <c r="AA292" s="156">
        <f t="shared" si="58"/>
        <v>0</v>
      </c>
      <c r="AB292" s="153">
        <f>IF(W292&lt;=_noechmaxi1t,ROUND(AA292*'Données Projet 1 (2)'!H301,_nbdeci1t1),0)</f>
        <v>0</v>
      </c>
      <c r="AC292" s="152">
        <f>IF(OR(W292&lt;=_differe1t1t,W292&gt;_noechmaxi1t),IF(_difftotal1t1t,-AB292,0),IF(W292&gt;=_noechremb12,AA292,IF('Données Projet 1 (2)'!I301-(AB292*_echfixe12)&gt;AA292-2,AA292,'Données Projet 1 (2)'!I301-(AB292*_echfixe12))))+R292</f>
        <v>0</v>
      </c>
      <c r="AD292" s="154">
        <f t="shared" si="59"/>
        <v>0</v>
      </c>
      <c r="AE292" s="157">
        <f t="shared" si="51"/>
        <v>0</v>
      </c>
    </row>
    <row r="293" spans="1:31" x14ac:dyDescent="0.2">
      <c r="A293" s="3"/>
      <c r="B293" s="164"/>
      <c r="C293" s="22"/>
      <c r="D293" s="21"/>
      <c r="E293" s="23"/>
      <c r="F293" s="10"/>
      <c r="G293" s="5">
        <f t="shared" si="52"/>
        <v>287</v>
      </c>
      <c r="H293" s="7">
        <f t="shared" si="53"/>
        <v>134</v>
      </c>
      <c r="I293" s="8">
        <f t="shared" si="48"/>
        <v>2032</v>
      </c>
      <c r="J293" s="31">
        <f>IF(K293=0,"",IF(_ijour12=0,MIN(DATE(YEAR(_debamort12),MONTH(_debamort12)+(G293-1)*_imois12,_jour12),DATE(YEAR(_debamort12),MONTH(_debamort12)+1+(G293-1)*_imois12,0)),DATE(YEAR(_debamort12),MONTH(_debamort12),_jour12+(G293-1)*_ijour12)))</f>
        <v>48519</v>
      </c>
      <c r="K293" s="156">
        <f t="shared" si="54"/>
        <v>73386.390000000029</v>
      </c>
      <c r="L293" s="153">
        <f>IF(G293&lt;=_noeechmaxi1,ROUND(K293*'Données Projet 1 (2)'!A302,_nbdeci1t),0)</f>
        <v>113.75</v>
      </c>
      <c r="M293" s="152">
        <f>IF(OR(G293&lt;=_differe1t,G293&gt;_noeechmaxi1),IF(_difftotal1t,-L293,0),IF(G293&gt;=_noechremb1t,K293,IF('Données Projet 1 (2)'!B302-(L293*_echfixe1t)&gt;K293-2,K293,'Données Projet 1 (2)'!B302-(L293*_echfixe1t))))+B293</f>
        <v>493.16999999999996</v>
      </c>
      <c r="N293" s="154">
        <f t="shared" si="55"/>
        <v>15.6</v>
      </c>
      <c r="O293" s="157">
        <f t="shared" si="49"/>
        <v>622.52</v>
      </c>
      <c r="Q293" s="3"/>
      <c r="R293" s="164"/>
      <c r="S293" s="22"/>
      <c r="T293" s="21"/>
      <c r="U293" s="23"/>
      <c r="V293" s="10"/>
      <c r="W293" s="5" t="str">
        <f t="shared" si="56"/>
        <v/>
      </c>
      <c r="X293" s="7" t="str">
        <f t="shared" si="57"/>
        <v/>
      </c>
      <c r="Y293" s="8" t="str">
        <f t="shared" si="50"/>
        <v/>
      </c>
      <c r="Z293" s="31" t="str">
        <f>IF(AA293=0,"",IF(_ijour122=0,MIN(DATE(YEAR(_debamort122),MONTH(_debamort122)+(W293-1)*_imois122,__jou123),DATE(YEAR(_debamort122),MONTH(_debamort122)+1+(W293-1)*_imois122,0)),DATE(YEAR(_debamort122),MONTH(_debamort122),__jou123+(W293-1)*_ijour122)))</f>
        <v/>
      </c>
      <c r="AA293" s="156">
        <f t="shared" si="58"/>
        <v>0</v>
      </c>
      <c r="AB293" s="153">
        <f>IF(W293&lt;=_noechmaxi1t,ROUND(AA293*'Données Projet 1 (2)'!H302,_nbdeci1t1),0)</f>
        <v>0</v>
      </c>
      <c r="AC293" s="152">
        <f>IF(OR(W293&lt;=_differe1t1t,W293&gt;_noechmaxi1t),IF(_difftotal1t1t,-AB293,0),IF(W293&gt;=_noechremb12,AA293,IF('Données Projet 1 (2)'!I302-(AB293*_echfixe12)&gt;AA293-2,AA293,'Données Projet 1 (2)'!I302-(AB293*_echfixe12))))+R293</f>
        <v>0</v>
      </c>
      <c r="AD293" s="154">
        <f t="shared" si="59"/>
        <v>0</v>
      </c>
      <c r="AE293" s="157">
        <f t="shared" si="51"/>
        <v>0</v>
      </c>
    </row>
    <row r="294" spans="1:31" x14ac:dyDescent="0.2">
      <c r="A294" s="3"/>
      <c r="B294" s="164"/>
      <c r="C294" s="22"/>
      <c r="D294" s="21"/>
      <c r="E294" s="23"/>
      <c r="F294" s="10"/>
      <c r="G294" s="5">
        <f t="shared" si="52"/>
        <v>288</v>
      </c>
      <c r="H294" s="7">
        <f t="shared" si="53"/>
        <v>133</v>
      </c>
      <c r="I294" s="8">
        <f t="shared" si="48"/>
        <v>2032</v>
      </c>
      <c r="J294" s="31">
        <f>IF(K294=0,"",IF(_ijour12=0,MIN(DATE(YEAR(_debamort12),MONTH(_debamort12)+_MoisD+(G294-1)*_imois12,_jour212),DATE(YEAR(_debamort12),MONTH(_debamort12)+_MoisD+1+(G294-1)*_imois12,0)),DATE(YEAR(_debamort12),MONTH(_debamort12),_jour12+(G294-1)*_ijour12)))</f>
        <v>48549</v>
      </c>
      <c r="K294" s="156">
        <f t="shared" si="54"/>
        <v>72893.22000000003</v>
      </c>
      <c r="L294" s="153">
        <f>IF(G294&lt;=_noeechmaxi1,ROUND(K294*'Données Projet 1 (2)'!A303,_nbdeci1t),0)</f>
        <v>112.98</v>
      </c>
      <c r="M294" s="152">
        <f>IF(OR(G294&lt;=_differe1t,G294&gt;_noeechmaxi1),IF(_difftotal1t,-L294,0),IF(G294&gt;=_noechremb1t,K294,IF('Données Projet 1 (2)'!B303-(L294*_echfixe1t)&gt;K294-2,K294,'Données Projet 1 (2)'!B303-(L294*_echfixe1t))))+B294</f>
        <v>493.93999999999994</v>
      </c>
      <c r="N294" s="154">
        <f t="shared" si="55"/>
        <v>15.6</v>
      </c>
      <c r="O294" s="157">
        <f t="shared" si="49"/>
        <v>622.52</v>
      </c>
      <c r="Q294" s="3"/>
      <c r="R294" s="164"/>
      <c r="S294" s="22"/>
      <c r="T294" s="21"/>
      <c r="U294" s="23"/>
      <c r="V294" s="10"/>
      <c r="W294" s="5" t="str">
        <f t="shared" si="56"/>
        <v/>
      </c>
      <c r="X294" s="7" t="str">
        <f t="shared" si="57"/>
        <v/>
      </c>
      <c r="Y294" s="8" t="str">
        <f t="shared" si="50"/>
        <v/>
      </c>
      <c r="Z294" s="31" t="str">
        <f>IF(AA294=0,"",IF(_ijour122=0,MIN(DATE(YEAR(_debamort122),MONTH(_debamort122)+_moisd12+(W294-1)*_imois122,__jou21),DATE(YEAR(_debamort122),MONTH(_debamort122)+_moisd12+1+(W294-1)*_imois122,0)),DATE(YEAR(_debamort122),MONTH(_debamort122),__jou123+(W294-1)*_ijour122)))</f>
        <v/>
      </c>
      <c r="AA294" s="156">
        <f t="shared" si="58"/>
        <v>0</v>
      </c>
      <c r="AB294" s="153">
        <f>IF(W294&lt;=_noechmaxi1t,ROUND(AA294*'Données Projet 1 (2)'!H303,_nbdeci1t1),0)</f>
        <v>0</v>
      </c>
      <c r="AC294" s="152">
        <f>IF(OR(W294&lt;=_differe1t1t,W294&gt;_noechmaxi1t),IF(_difftotal1t1t,-AB294,0),IF(W294&gt;=_noechremb12,AA294,IF('Données Projet 1 (2)'!I303-(AB294*_echfixe12)&gt;AA294-2,AA294,'Données Projet 1 (2)'!I303-(AB294*_echfixe12))))+R294</f>
        <v>0</v>
      </c>
      <c r="AD294" s="154">
        <f t="shared" si="59"/>
        <v>0</v>
      </c>
      <c r="AE294" s="157">
        <f t="shared" si="51"/>
        <v>0</v>
      </c>
    </row>
    <row r="295" spans="1:31" x14ac:dyDescent="0.2">
      <c r="A295" s="3"/>
      <c r="B295" s="164"/>
      <c r="C295" s="22"/>
      <c r="D295" s="21"/>
      <c r="E295" s="23"/>
      <c r="F295" s="10"/>
      <c r="G295" s="5">
        <f t="shared" si="52"/>
        <v>289</v>
      </c>
      <c r="H295" s="7">
        <f t="shared" si="53"/>
        <v>132</v>
      </c>
      <c r="I295" s="8">
        <f t="shared" si="48"/>
        <v>2033</v>
      </c>
      <c r="J295" s="31">
        <f>IF(K295=0,"",IF(_ijour12=0,MIN(DATE(YEAR(_debamort12),MONTH(_debamort12)+(G295-1)*_imois12,_jour12),DATE(YEAR(_debamort12),MONTH(_debamort12)+1+(G295-1)*_imois12,0)),DATE(YEAR(_debamort12),MONTH(_debamort12),_jour12+(G295-1)*_ijour12)))</f>
        <v>48580</v>
      </c>
      <c r="K295" s="156">
        <f t="shared" si="54"/>
        <v>72399.280000000028</v>
      </c>
      <c r="L295" s="153">
        <f>IF(G295&lt;=_noeechmaxi1,ROUND(K295*'Données Projet 1 (2)'!A304,_nbdeci1t),0)</f>
        <v>112.22</v>
      </c>
      <c r="M295" s="152">
        <f>IF(OR(G295&lt;=_differe1t,G295&gt;_noeechmaxi1),IF(_difftotal1t,-L295,0),IF(G295&gt;=_noechremb1t,K295,IF('Données Projet 1 (2)'!B304-(L295*_echfixe1t)&gt;K295-2,K295,'Données Projet 1 (2)'!B304-(L295*_echfixe1t))))+B295</f>
        <v>494.69999999999993</v>
      </c>
      <c r="N295" s="154">
        <f t="shared" si="55"/>
        <v>15.6</v>
      </c>
      <c r="O295" s="157">
        <f t="shared" si="49"/>
        <v>622.52</v>
      </c>
      <c r="Q295" s="3"/>
      <c r="R295" s="164"/>
      <c r="S295" s="22"/>
      <c r="T295" s="21"/>
      <c r="U295" s="23"/>
      <c r="V295" s="10"/>
      <c r="W295" s="5" t="str">
        <f t="shared" si="56"/>
        <v/>
      </c>
      <c r="X295" s="7" t="str">
        <f t="shared" si="57"/>
        <v/>
      </c>
      <c r="Y295" s="8" t="str">
        <f t="shared" si="50"/>
        <v/>
      </c>
      <c r="Z295" s="31" t="str">
        <f>IF(AA295=0,"",IF(_ijour122=0,MIN(DATE(YEAR(_debamort122),MONTH(_debamort122)+(W295-1)*_imois122,__jou123),DATE(YEAR(_debamort122),MONTH(_debamort122)+1+(W295-1)*_imois122,0)),DATE(YEAR(_debamort122),MONTH(_debamort122),__jou123+(W295-1)*_ijour122)))</f>
        <v/>
      </c>
      <c r="AA295" s="156">
        <f t="shared" si="58"/>
        <v>0</v>
      </c>
      <c r="AB295" s="153">
        <f>IF(W295&lt;=_noechmaxi1t,ROUND(AA295*'Données Projet 1 (2)'!H304,_nbdeci1t1),0)</f>
        <v>0</v>
      </c>
      <c r="AC295" s="152">
        <f>IF(OR(W295&lt;=_differe1t1t,W295&gt;_noechmaxi1t),IF(_difftotal1t1t,-AB295,0),IF(W295&gt;=_noechremb12,AA295,IF('Données Projet 1 (2)'!I304-(AB295*_echfixe12)&gt;AA295-2,AA295,'Données Projet 1 (2)'!I304-(AB295*_echfixe12))))+R295</f>
        <v>0</v>
      </c>
      <c r="AD295" s="154">
        <f t="shared" si="59"/>
        <v>0</v>
      </c>
      <c r="AE295" s="157">
        <f t="shared" si="51"/>
        <v>0</v>
      </c>
    </row>
    <row r="296" spans="1:31" x14ac:dyDescent="0.2">
      <c r="A296" s="3"/>
      <c r="B296" s="164"/>
      <c r="C296" s="22"/>
      <c r="D296" s="21"/>
      <c r="E296" s="23"/>
      <c r="F296" s="10"/>
      <c r="G296" s="5">
        <f t="shared" si="52"/>
        <v>290</v>
      </c>
      <c r="H296" s="7">
        <f t="shared" si="53"/>
        <v>131</v>
      </c>
      <c r="I296" s="8">
        <f t="shared" si="48"/>
        <v>2033</v>
      </c>
      <c r="J296" s="31">
        <f>IF(K296=0,"",IF(_ijour12=0,MIN(DATE(YEAR(_debamort12),MONTH(_debamort12)+_MoisD+(G296-1)*_imois12,_jour212),DATE(YEAR(_debamort12),MONTH(_debamort12)+_MoisD+1+(G296-1)*_imois12,0)),DATE(YEAR(_debamort12),MONTH(_debamort12),_jour12+(G296-1)*_ijour12)))</f>
        <v>48611</v>
      </c>
      <c r="K296" s="156">
        <f t="shared" si="54"/>
        <v>71904.580000000031</v>
      </c>
      <c r="L296" s="153">
        <f>IF(G296&lt;=_noeechmaxi1,ROUND(K296*'Données Projet 1 (2)'!A305,_nbdeci1t),0)</f>
        <v>111.45</v>
      </c>
      <c r="M296" s="152">
        <f>IF(OR(G296&lt;=_differe1t,G296&gt;_noeechmaxi1),IF(_difftotal1t,-L296,0),IF(G296&gt;=_noechremb1t,K296,IF('Données Projet 1 (2)'!B305-(L296*_echfixe1t)&gt;K296-2,K296,'Données Projet 1 (2)'!B305-(L296*_echfixe1t))))+B296</f>
        <v>495.46999999999997</v>
      </c>
      <c r="N296" s="154">
        <f t="shared" si="55"/>
        <v>15.6</v>
      </c>
      <c r="O296" s="157">
        <f t="shared" si="49"/>
        <v>622.52</v>
      </c>
      <c r="Q296" s="3"/>
      <c r="R296" s="164"/>
      <c r="S296" s="22"/>
      <c r="T296" s="21"/>
      <c r="U296" s="23"/>
      <c r="V296" s="10"/>
      <c r="W296" s="5" t="str">
        <f t="shared" si="56"/>
        <v/>
      </c>
      <c r="X296" s="7" t="str">
        <f t="shared" si="57"/>
        <v/>
      </c>
      <c r="Y296" s="8" t="str">
        <f t="shared" si="50"/>
        <v/>
      </c>
      <c r="Z296" s="31" t="str">
        <f>IF(AA296=0,"",IF(_ijour122=0,MIN(DATE(YEAR(_debamort122),MONTH(_debamort122)+_moisd12+(W296-1)*_imois122,__jou21),DATE(YEAR(_debamort122),MONTH(_debamort122)+_moisd12+1+(W296-1)*_imois122,0)),DATE(YEAR(_debamort122),MONTH(_debamort122),__jou123+(W296-1)*_ijour122)))</f>
        <v/>
      </c>
      <c r="AA296" s="156">
        <f t="shared" si="58"/>
        <v>0</v>
      </c>
      <c r="AB296" s="153">
        <f>IF(W296&lt;=_noechmaxi1t,ROUND(AA296*'Données Projet 1 (2)'!H305,_nbdeci1t1),0)</f>
        <v>0</v>
      </c>
      <c r="AC296" s="152">
        <f>IF(OR(W296&lt;=_differe1t1t,W296&gt;_noechmaxi1t),IF(_difftotal1t1t,-AB296,0),IF(W296&gt;=_noechremb12,AA296,IF('Données Projet 1 (2)'!I305-(AB296*_echfixe12)&gt;AA296-2,AA296,'Données Projet 1 (2)'!I305-(AB296*_echfixe12))))+R296</f>
        <v>0</v>
      </c>
      <c r="AD296" s="154">
        <f t="shared" si="59"/>
        <v>0</v>
      </c>
      <c r="AE296" s="157">
        <f t="shared" si="51"/>
        <v>0</v>
      </c>
    </row>
    <row r="297" spans="1:31" x14ac:dyDescent="0.2">
      <c r="A297" s="3"/>
      <c r="B297" s="164"/>
      <c r="C297" s="22"/>
      <c r="D297" s="21"/>
      <c r="E297" s="23"/>
      <c r="F297" s="10"/>
      <c r="G297" s="5">
        <f t="shared" si="52"/>
        <v>291</v>
      </c>
      <c r="H297" s="7">
        <f t="shared" si="53"/>
        <v>130</v>
      </c>
      <c r="I297" s="8">
        <f t="shared" si="48"/>
        <v>2033</v>
      </c>
      <c r="J297" s="31">
        <f>IF(K297=0,"",IF(_ijour12=0,MIN(DATE(YEAR(_debamort12),MONTH(_debamort12)+(G297-1)*_imois12,_jour12),DATE(YEAR(_debamort12),MONTH(_debamort12)+1+(G297-1)*_imois12,0)),DATE(YEAR(_debamort12),MONTH(_debamort12),_jour12+(G297-1)*_ijour12)))</f>
        <v>48639</v>
      </c>
      <c r="K297" s="156">
        <f t="shared" si="54"/>
        <v>71409.11000000003</v>
      </c>
      <c r="L297" s="153">
        <f>IF(G297&lt;=_noeechmaxi1,ROUND(K297*'Données Projet 1 (2)'!A306,_nbdeci1t),0)</f>
        <v>110.68</v>
      </c>
      <c r="M297" s="152">
        <f>IF(OR(G297&lt;=_differe1t,G297&gt;_noeechmaxi1),IF(_difftotal1t,-L297,0),IF(G297&gt;=_noechremb1t,K297,IF('Données Projet 1 (2)'!B306-(L297*_echfixe1t)&gt;K297-2,K297,'Données Projet 1 (2)'!B306-(L297*_echfixe1t))))+B297</f>
        <v>496.23999999999995</v>
      </c>
      <c r="N297" s="154">
        <f t="shared" si="55"/>
        <v>15.6</v>
      </c>
      <c r="O297" s="157">
        <f t="shared" si="49"/>
        <v>622.52</v>
      </c>
      <c r="Q297" s="3"/>
      <c r="R297" s="164"/>
      <c r="S297" s="22"/>
      <c r="T297" s="21"/>
      <c r="U297" s="23"/>
      <c r="V297" s="10"/>
      <c r="W297" s="5" t="str">
        <f t="shared" si="56"/>
        <v/>
      </c>
      <c r="X297" s="7" t="str">
        <f t="shared" si="57"/>
        <v/>
      </c>
      <c r="Y297" s="8" t="str">
        <f t="shared" si="50"/>
        <v/>
      </c>
      <c r="Z297" s="31" t="str">
        <f>IF(AA297=0,"",IF(_ijour122=0,MIN(DATE(YEAR(_debamort122),MONTH(_debamort122)+(W297-1)*_imois122,__jou123),DATE(YEAR(_debamort122),MONTH(_debamort122)+1+(W297-1)*_imois122,0)),DATE(YEAR(_debamort122),MONTH(_debamort122),__jou123+(W297-1)*_ijour122)))</f>
        <v/>
      </c>
      <c r="AA297" s="156">
        <f t="shared" si="58"/>
        <v>0</v>
      </c>
      <c r="AB297" s="153">
        <f>IF(W297&lt;=_noechmaxi1t,ROUND(AA297*'Données Projet 1 (2)'!H306,_nbdeci1t1),0)</f>
        <v>0</v>
      </c>
      <c r="AC297" s="152">
        <f>IF(OR(W297&lt;=_differe1t1t,W297&gt;_noechmaxi1t),IF(_difftotal1t1t,-AB297,0),IF(W297&gt;=_noechremb12,AA297,IF('Données Projet 1 (2)'!I306-(AB297*_echfixe12)&gt;AA297-2,AA297,'Données Projet 1 (2)'!I306-(AB297*_echfixe12))))+R297</f>
        <v>0</v>
      </c>
      <c r="AD297" s="154">
        <f t="shared" si="59"/>
        <v>0</v>
      </c>
      <c r="AE297" s="157">
        <f t="shared" si="51"/>
        <v>0</v>
      </c>
    </row>
    <row r="298" spans="1:31" x14ac:dyDescent="0.2">
      <c r="A298" s="3"/>
      <c r="B298" s="164"/>
      <c r="C298" s="22"/>
      <c r="D298" s="21"/>
      <c r="E298" s="23"/>
      <c r="F298" s="10"/>
      <c r="G298" s="5">
        <f t="shared" si="52"/>
        <v>292</v>
      </c>
      <c r="H298" s="7">
        <f t="shared" si="53"/>
        <v>129</v>
      </c>
      <c r="I298" s="8">
        <f t="shared" si="48"/>
        <v>2033</v>
      </c>
      <c r="J298" s="31">
        <f>IF(K298=0,"",IF(_ijour12=0,MIN(DATE(YEAR(_debamort12),MONTH(_debamort12)+_MoisD+(G298-1)*_imois12,_jour212),DATE(YEAR(_debamort12),MONTH(_debamort12)+_MoisD+1+(G298-1)*_imois12,0)),DATE(YEAR(_debamort12),MONTH(_debamort12),_jour12+(G298-1)*_ijour12)))</f>
        <v>48670</v>
      </c>
      <c r="K298" s="156">
        <f t="shared" si="54"/>
        <v>70912.870000000024</v>
      </c>
      <c r="L298" s="153">
        <f>IF(G298&lt;=_noeechmaxi1,ROUND(K298*'Données Projet 1 (2)'!A307,_nbdeci1t),0)</f>
        <v>109.91</v>
      </c>
      <c r="M298" s="152">
        <f>IF(OR(G298&lt;=_differe1t,G298&gt;_noeechmaxi1),IF(_difftotal1t,-L298,0),IF(G298&gt;=_noechremb1t,K298,IF('Données Projet 1 (2)'!B307-(L298*_echfixe1t)&gt;K298-2,K298,'Données Projet 1 (2)'!B307-(L298*_echfixe1t))))+B298</f>
        <v>497.01</v>
      </c>
      <c r="N298" s="154">
        <f t="shared" si="55"/>
        <v>15.6</v>
      </c>
      <c r="O298" s="157">
        <f t="shared" si="49"/>
        <v>622.52</v>
      </c>
      <c r="Q298" s="3"/>
      <c r="R298" s="164"/>
      <c r="S298" s="22"/>
      <c r="T298" s="21"/>
      <c r="U298" s="23"/>
      <c r="V298" s="10"/>
      <c r="W298" s="5" t="str">
        <f t="shared" si="56"/>
        <v/>
      </c>
      <c r="X298" s="7" t="str">
        <f t="shared" si="57"/>
        <v/>
      </c>
      <c r="Y298" s="8" t="str">
        <f t="shared" si="50"/>
        <v/>
      </c>
      <c r="Z298" s="31" t="str">
        <f>IF(AA298=0,"",IF(_ijour122=0,MIN(DATE(YEAR(_debamort122),MONTH(_debamort122)+_moisd12+(W298-1)*_imois122,__jou21),DATE(YEAR(_debamort122),MONTH(_debamort122)+_moisd12+1+(W298-1)*_imois122,0)),DATE(YEAR(_debamort122),MONTH(_debamort122),__jou123+(W298-1)*_ijour122)))</f>
        <v/>
      </c>
      <c r="AA298" s="156">
        <f t="shared" si="58"/>
        <v>0</v>
      </c>
      <c r="AB298" s="153">
        <f>IF(W298&lt;=_noechmaxi1t,ROUND(AA298*'Données Projet 1 (2)'!H307,_nbdeci1t1),0)</f>
        <v>0</v>
      </c>
      <c r="AC298" s="152">
        <f>IF(OR(W298&lt;=_differe1t1t,W298&gt;_noechmaxi1t),IF(_difftotal1t1t,-AB298,0),IF(W298&gt;=_noechremb12,AA298,IF('Données Projet 1 (2)'!I307-(AB298*_echfixe12)&gt;AA298-2,AA298,'Données Projet 1 (2)'!I307-(AB298*_echfixe12))))+R298</f>
        <v>0</v>
      </c>
      <c r="AD298" s="154">
        <f t="shared" si="59"/>
        <v>0</v>
      </c>
      <c r="AE298" s="157">
        <f t="shared" si="51"/>
        <v>0</v>
      </c>
    </row>
    <row r="299" spans="1:31" x14ac:dyDescent="0.2">
      <c r="A299" s="3"/>
      <c r="B299" s="164"/>
      <c r="C299" s="22"/>
      <c r="D299" s="21"/>
      <c r="E299" s="23"/>
      <c r="F299" s="10"/>
      <c r="G299" s="5">
        <f t="shared" si="52"/>
        <v>293</v>
      </c>
      <c r="H299" s="7">
        <f t="shared" si="53"/>
        <v>128</v>
      </c>
      <c r="I299" s="8">
        <f t="shared" si="48"/>
        <v>2033</v>
      </c>
      <c r="J299" s="31">
        <f>IF(K299=0,"",IF(_ijour12=0,MIN(DATE(YEAR(_debamort12),MONTH(_debamort12)+(G299-1)*_imois12,_jour12),DATE(YEAR(_debamort12),MONTH(_debamort12)+1+(G299-1)*_imois12,0)),DATE(YEAR(_debamort12),MONTH(_debamort12),_jour12+(G299-1)*_ijour12)))</f>
        <v>48700</v>
      </c>
      <c r="K299" s="156">
        <f t="shared" si="54"/>
        <v>70415.86000000003</v>
      </c>
      <c r="L299" s="153">
        <f>IF(G299&lt;=_noeechmaxi1,ROUND(K299*'Données Projet 1 (2)'!A308,_nbdeci1t),0)</f>
        <v>109.14</v>
      </c>
      <c r="M299" s="152">
        <f>IF(OR(G299&lt;=_differe1t,G299&gt;_noeechmaxi1),IF(_difftotal1t,-L299,0),IF(G299&gt;=_noechremb1t,K299,IF('Données Projet 1 (2)'!B308-(L299*_echfixe1t)&gt;K299-2,K299,'Données Projet 1 (2)'!B308-(L299*_echfixe1t))))+B299</f>
        <v>497.78</v>
      </c>
      <c r="N299" s="154">
        <f t="shared" si="55"/>
        <v>15.6</v>
      </c>
      <c r="O299" s="157">
        <f t="shared" si="49"/>
        <v>622.52</v>
      </c>
      <c r="Q299" s="3"/>
      <c r="R299" s="164"/>
      <c r="S299" s="22"/>
      <c r="T299" s="21"/>
      <c r="U299" s="23"/>
      <c r="V299" s="10"/>
      <c r="W299" s="5" t="str">
        <f t="shared" si="56"/>
        <v/>
      </c>
      <c r="X299" s="7" t="str">
        <f t="shared" si="57"/>
        <v/>
      </c>
      <c r="Y299" s="8" t="str">
        <f t="shared" si="50"/>
        <v/>
      </c>
      <c r="Z299" s="31" t="str">
        <f>IF(AA299=0,"",IF(_ijour122=0,MIN(DATE(YEAR(_debamort122),MONTH(_debamort122)+(W299-1)*_imois122,__jou123),DATE(YEAR(_debamort122),MONTH(_debamort122)+1+(W299-1)*_imois122,0)),DATE(YEAR(_debamort122),MONTH(_debamort122),__jou123+(W299-1)*_ijour122)))</f>
        <v/>
      </c>
      <c r="AA299" s="156">
        <f t="shared" si="58"/>
        <v>0</v>
      </c>
      <c r="AB299" s="153">
        <f>IF(W299&lt;=_noechmaxi1t,ROUND(AA299*'Données Projet 1 (2)'!H308,_nbdeci1t1),0)</f>
        <v>0</v>
      </c>
      <c r="AC299" s="152">
        <f>IF(OR(W299&lt;=_differe1t1t,W299&gt;_noechmaxi1t),IF(_difftotal1t1t,-AB299,0),IF(W299&gt;=_noechremb12,AA299,IF('Données Projet 1 (2)'!I308-(AB299*_echfixe12)&gt;AA299-2,AA299,'Données Projet 1 (2)'!I308-(AB299*_echfixe12))))+R299</f>
        <v>0</v>
      </c>
      <c r="AD299" s="154">
        <f t="shared" si="59"/>
        <v>0</v>
      </c>
      <c r="AE299" s="157">
        <f t="shared" si="51"/>
        <v>0</v>
      </c>
    </row>
    <row r="300" spans="1:31" x14ac:dyDescent="0.2">
      <c r="A300" s="3"/>
      <c r="B300" s="164"/>
      <c r="C300" s="22"/>
      <c r="D300" s="21"/>
      <c r="E300" s="23"/>
      <c r="F300" s="10"/>
      <c r="G300" s="5">
        <f t="shared" si="52"/>
        <v>294</v>
      </c>
      <c r="H300" s="7">
        <f t="shared" si="53"/>
        <v>127</v>
      </c>
      <c r="I300" s="8">
        <f t="shared" si="48"/>
        <v>2033</v>
      </c>
      <c r="J300" s="31">
        <f>IF(K300=0,"",IF(_ijour12=0,MIN(DATE(YEAR(_debamort12),MONTH(_debamort12)+_MoisD+(G300-1)*_imois12,_jour212),DATE(YEAR(_debamort12),MONTH(_debamort12)+_MoisD+1+(G300-1)*_imois12,0)),DATE(YEAR(_debamort12),MONTH(_debamort12),_jour12+(G300-1)*_ijour12)))</f>
        <v>48731</v>
      </c>
      <c r="K300" s="156">
        <f t="shared" si="54"/>
        <v>69918.080000000031</v>
      </c>
      <c r="L300" s="153">
        <f>IF(G300&lt;=_noeechmaxi1,ROUND(K300*'Données Projet 1 (2)'!A309,_nbdeci1t),0)</f>
        <v>108.37</v>
      </c>
      <c r="M300" s="152">
        <f>IF(OR(G300&lt;=_differe1t,G300&gt;_noeechmaxi1),IF(_difftotal1t,-L300,0),IF(G300&gt;=_noechremb1t,K300,IF('Données Projet 1 (2)'!B309-(L300*_echfixe1t)&gt;K300-2,K300,'Données Projet 1 (2)'!B309-(L300*_echfixe1t))))+B300</f>
        <v>498.54999999999995</v>
      </c>
      <c r="N300" s="154">
        <f t="shared" si="55"/>
        <v>15.6</v>
      </c>
      <c r="O300" s="157">
        <f t="shared" si="49"/>
        <v>622.52</v>
      </c>
      <c r="Q300" s="3"/>
      <c r="R300" s="164"/>
      <c r="S300" s="22"/>
      <c r="T300" s="21"/>
      <c r="U300" s="23"/>
      <c r="V300" s="10"/>
      <c r="W300" s="5" t="str">
        <f t="shared" si="56"/>
        <v/>
      </c>
      <c r="X300" s="7" t="str">
        <f t="shared" si="57"/>
        <v/>
      </c>
      <c r="Y300" s="8" t="str">
        <f t="shared" si="50"/>
        <v/>
      </c>
      <c r="Z300" s="31" t="str">
        <f>IF(AA300=0,"",IF(_ijour122=0,MIN(DATE(YEAR(_debamort122),MONTH(_debamort122)+_moisd12+(W300-1)*_imois122,__jou21),DATE(YEAR(_debamort122),MONTH(_debamort122)+_moisd12+1+(W300-1)*_imois122,0)),DATE(YEAR(_debamort122),MONTH(_debamort122),__jou123+(W300-1)*_ijour122)))</f>
        <v/>
      </c>
      <c r="AA300" s="156">
        <f t="shared" si="58"/>
        <v>0</v>
      </c>
      <c r="AB300" s="153">
        <f>IF(W300&lt;=_noechmaxi1t,ROUND(AA300*'Données Projet 1 (2)'!H309,_nbdeci1t1),0)</f>
        <v>0</v>
      </c>
      <c r="AC300" s="152">
        <f>IF(OR(W300&lt;=_differe1t1t,W300&gt;_noechmaxi1t),IF(_difftotal1t1t,-AB300,0),IF(W300&gt;=_noechremb12,AA300,IF('Données Projet 1 (2)'!I309-(AB300*_echfixe12)&gt;AA300-2,AA300,'Données Projet 1 (2)'!I309-(AB300*_echfixe12))))+R300</f>
        <v>0</v>
      </c>
      <c r="AD300" s="154">
        <f t="shared" si="59"/>
        <v>0</v>
      </c>
      <c r="AE300" s="157">
        <f t="shared" si="51"/>
        <v>0</v>
      </c>
    </row>
    <row r="301" spans="1:31" x14ac:dyDescent="0.2">
      <c r="A301" s="3"/>
      <c r="B301" s="164"/>
      <c r="C301" s="22"/>
      <c r="D301" s="21"/>
      <c r="E301" s="23"/>
      <c r="F301" s="10"/>
      <c r="G301" s="5">
        <f t="shared" si="52"/>
        <v>295</v>
      </c>
      <c r="H301" s="7">
        <f t="shared" si="53"/>
        <v>126</v>
      </c>
      <c r="I301" s="8">
        <f t="shared" si="48"/>
        <v>2033</v>
      </c>
      <c r="J301" s="31">
        <f>IF(K301=0,"",IF(_ijour12=0,MIN(DATE(YEAR(_debamort12),MONTH(_debamort12)+(G301-1)*_imois12,_jour12),DATE(YEAR(_debamort12),MONTH(_debamort12)+1+(G301-1)*_imois12,0)),DATE(YEAR(_debamort12),MONTH(_debamort12),_jour12+(G301-1)*_ijour12)))</f>
        <v>48761</v>
      </c>
      <c r="K301" s="156">
        <f t="shared" si="54"/>
        <v>69419.530000000028</v>
      </c>
      <c r="L301" s="153">
        <f>IF(G301&lt;=_noeechmaxi1,ROUND(K301*'Données Projet 1 (2)'!A310,_nbdeci1t),0)</f>
        <v>107.6</v>
      </c>
      <c r="M301" s="152">
        <f>IF(OR(G301&lt;=_differe1t,G301&gt;_noeechmaxi1),IF(_difftotal1t,-L301,0),IF(G301&gt;=_noechremb1t,K301,IF('Données Projet 1 (2)'!B310-(L301*_echfixe1t)&gt;K301-2,K301,'Données Projet 1 (2)'!B310-(L301*_echfixe1t))))+B301</f>
        <v>499.31999999999994</v>
      </c>
      <c r="N301" s="154">
        <f t="shared" si="55"/>
        <v>15.6</v>
      </c>
      <c r="O301" s="157">
        <f t="shared" si="49"/>
        <v>622.52</v>
      </c>
      <c r="Q301" s="3"/>
      <c r="R301" s="164"/>
      <c r="S301" s="22"/>
      <c r="T301" s="21"/>
      <c r="U301" s="23"/>
      <c r="V301" s="10"/>
      <c r="W301" s="5" t="str">
        <f t="shared" si="56"/>
        <v/>
      </c>
      <c r="X301" s="7" t="str">
        <f t="shared" si="57"/>
        <v/>
      </c>
      <c r="Y301" s="8" t="str">
        <f t="shared" si="50"/>
        <v/>
      </c>
      <c r="Z301" s="31" t="str">
        <f>IF(AA301=0,"",IF(_ijour122=0,MIN(DATE(YEAR(_debamort122),MONTH(_debamort122)+(W301-1)*_imois122,__jou123),DATE(YEAR(_debamort122),MONTH(_debamort122)+1+(W301-1)*_imois122,0)),DATE(YEAR(_debamort122),MONTH(_debamort122),__jou123+(W301-1)*_ijour122)))</f>
        <v/>
      </c>
      <c r="AA301" s="156">
        <f t="shared" si="58"/>
        <v>0</v>
      </c>
      <c r="AB301" s="153">
        <f>IF(W301&lt;=_noechmaxi1t,ROUND(AA301*'Données Projet 1 (2)'!H310,_nbdeci1t1),0)</f>
        <v>0</v>
      </c>
      <c r="AC301" s="152">
        <f>IF(OR(W301&lt;=_differe1t1t,W301&gt;_noechmaxi1t),IF(_difftotal1t1t,-AB301,0),IF(W301&gt;=_noechremb12,AA301,IF('Données Projet 1 (2)'!I310-(AB301*_echfixe12)&gt;AA301-2,AA301,'Données Projet 1 (2)'!I310-(AB301*_echfixe12))))+R301</f>
        <v>0</v>
      </c>
      <c r="AD301" s="154">
        <f t="shared" si="59"/>
        <v>0</v>
      </c>
      <c r="AE301" s="157">
        <f t="shared" si="51"/>
        <v>0</v>
      </c>
    </row>
    <row r="302" spans="1:31" x14ac:dyDescent="0.2">
      <c r="A302" s="3"/>
      <c r="B302" s="164"/>
      <c r="C302" s="22"/>
      <c r="D302" s="21"/>
      <c r="E302" s="23"/>
      <c r="F302" s="10"/>
      <c r="G302" s="5">
        <f t="shared" si="52"/>
        <v>296</v>
      </c>
      <c r="H302" s="7">
        <f t="shared" si="53"/>
        <v>125</v>
      </c>
      <c r="I302" s="8">
        <f t="shared" si="48"/>
        <v>2033</v>
      </c>
      <c r="J302" s="31">
        <f>IF(K302=0,"",IF(_ijour12=0,MIN(DATE(YEAR(_debamort12),MONTH(_debamort12)+_MoisD+(G302-1)*_imois12,_jour212),DATE(YEAR(_debamort12),MONTH(_debamort12)+_MoisD+1+(G302-1)*_imois12,0)),DATE(YEAR(_debamort12),MONTH(_debamort12),_jour12+(G302-1)*_ijour12)))</f>
        <v>48792</v>
      </c>
      <c r="K302" s="156">
        <f t="shared" si="54"/>
        <v>68920.210000000021</v>
      </c>
      <c r="L302" s="153">
        <f>IF(G302&lt;=_noeechmaxi1,ROUND(K302*'Données Projet 1 (2)'!A311,_nbdeci1t),0)</f>
        <v>106.83</v>
      </c>
      <c r="M302" s="152">
        <f>IF(OR(G302&lt;=_differe1t,G302&gt;_noeechmaxi1),IF(_difftotal1t,-L302,0),IF(G302&gt;=_noechremb1t,K302,IF('Données Projet 1 (2)'!B311-(L302*_echfixe1t)&gt;K302-2,K302,'Données Projet 1 (2)'!B311-(L302*_echfixe1t))))+B302</f>
        <v>500.09</v>
      </c>
      <c r="N302" s="154">
        <f t="shared" si="55"/>
        <v>15.6</v>
      </c>
      <c r="O302" s="157">
        <f t="shared" si="49"/>
        <v>622.52</v>
      </c>
      <c r="Q302" s="3"/>
      <c r="R302" s="164"/>
      <c r="S302" s="22"/>
      <c r="T302" s="21"/>
      <c r="U302" s="23"/>
      <c r="V302" s="10"/>
      <c r="W302" s="5" t="str">
        <f t="shared" si="56"/>
        <v/>
      </c>
      <c r="X302" s="7" t="str">
        <f t="shared" si="57"/>
        <v/>
      </c>
      <c r="Y302" s="8" t="str">
        <f t="shared" si="50"/>
        <v/>
      </c>
      <c r="Z302" s="31" t="str">
        <f>IF(AA302=0,"",IF(_ijour122=0,MIN(DATE(YEAR(_debamort122),MONTH(_debamort122)+_moisd12+(W302-1)*_imois122,__jou21),DATE(YEAR(_debamort122),MONTH(_debamort122)+_moisd12+1+(W302-1)*_imois122,0)),DATE(YEAR(_debamort122),MONTH(_debamort122),__jou123+(W302-1)*_ijour122)))</f>
        <v/>
      </c>
      <c r="AA302" s="156">
        <f t="shared" si="58"/>
        <v>0</v>
      </c>
      <c r="AB302" s="153">
        <f>IF(W302&lt;=_noechmaxi1t,ROUND(AA302*'Données Projet 1 (2)'!H311,_nbdeci1t1),0)</f>
        <v>0</v>
      </c>
      <c r="AC302" s="152">
        <f>IF(OR(W302&lt;=_differe1t1t,W302&gt;_noechmaxi1t),IF(_difftotal1t1t,-AB302,0),IF(W302&gt;=_noechremb12,AA302,IF('Données Projet 1 (2)'!I311-(AB302*_echfixe12)&gt;AA302-2,AA302,'Données Projet 1 (2)'!I311-(AB302*_echfixe12))))+R302</f>
        <v>0</v>
      </c>
      <c r="AD302" s="154">
        <f t="shared" si="59"/>
        <v>0</v>
      </c>
      <c r="AE302" s="157">
        <f t="shared" si="51"/>
        <v>0</v>
      </c>
    </row>
    <row r="303" spans="1:31" x14ac:dyDescent="0.2">
      <c r="A303" s="3"/>
      <c r="B303" s="164"/>
      <c r="C303" s="22"/>
      <c r="D303" s="21"/>
      <c r="E303" s="23"/>
      <c r="F303" s="10"/>
      <c r="G303" s="5">
        <f t="shared" si="52"/>
        <v>297</v>
      </c>
      <c r="H303" s="7">
        <f t="shared" si="53"/>
        <v>124</v>
      </c>
      <c r="I303" s="8">
        <f t="shared" si="48"/>
        <v>2033</v>
      </c>
      <c r="J303" s="31">
        <f>IF(K303=0,"",IF(_ijour12=0,MIN(DATE(YEAR(_debamort12),MONTH(_debamort12)+(G303-1)*_imois12,_jour12),DATE(YEAR(_debamort12),MONTH(_debamort12)+1+(G303-1)*_imois12,0)),DATE(YEAR(_debamort12),MONTH(_debamort12),_jour12+(G303-1)*_ijour12)))</f>
        <v>48823</v>
      </c>
      <c r="K303" s="156">
        <f t="shared" si="54"/>
        <v>68420.120000000024</v>
      </c>
      <c r="L303" s="153">
        <f>IF(G303&lt;=_noeechmaxi1,ROUND(K303*'Données Projet 1 (2)'!A312,_nbdeci1t),0)</f>
        <v>106.05</v>
      </c>
      <c r="M303" s="152">
        <f>IF(OR(G303&lt;=_differe1t,G303&gt;_noeechmaxi1),IF(_difftotal1t,-L303,0),IF(G303&gt;=_noechremb1t,K303,IF('Données Projet 1 (2)'!B312-(L303*_echfixe1t)&gt;K303-2,K303,'Données Projet 1 (2)'!B312-(L303*_echfixe1t))))+B303</f>
        <v>500.86999999999995</v>
      </c>
      <c r="N303" s="154">
        <f t="shared" si="55"/>
        <v>15.6</v>
      </c>
      <c r="O303" s="157">
        <f t="shared" si="49"/>
        <v>622.52</v>
      </c>
      <c r="Q303" s="3"/>
      <c r="R303" s="164"/>
      <c r="S303" s="22"/>
      <c r="T303" s="21"/>
      <c r="U303" s="23"/>
      <c r="V303" s="10"/>
      <c r="W303" s="5" t="str">
        <f t="shared" si="56"/>
        <v/>
      </c>
      <c r="X303" s="7" t="str">
        <f t="shared" si="57"/>
        <v/>
      </c>
      <c r="Y303" s="8" t="str">
        <f t="shared" si="50"/>
        <v/>
      </c>
      <c r="Z303" s="31" t="str">
        <f>IF(AA303=0,"",IF(_ijour122=0,MIN(DATE(YEAR(_debamort122),MONTH(_debamort122)+(W303-1)*_imois122,__jou123),DATE(YEAR(_debamort122),MONTH(_debamort122)+1+(W303-1)*_imois122,0)),DATE(YEAR(_debamort122),MONTH(_debamort122),__jou123+(W303-1)*_ijour122)))</f>
        <v/>
      </c>
      <c r="AA303" s="156">
        <f t="shared" si="58"/>
        <v>0</v>
      </c>
      <c r="AB303" s="153">
        <f>IF(W303&lt;=_noechmaxi1t,ROUND(AA303*'Données Projet 1 (2)'!H312,_nbdeci1t1),0)</f>
        <v>0</v>
      </c>
      <c r="AC303" s="152">
        <f>IF(OR(W303&lt;=_differe1t1t,W303&gt;_noechmaxi1t),IF(_difftotal1t1t,-AB303,0),IF(W303&gt;=_noechremb12,AA303,IF('Données Projet 1 (2)'!I312-(AB303*_echfixe12)&gt;AA303-2,AA303,'Données Projet 1 (2)'!I312-(AB303*_echfixe12))))+R303</f>
        <v>0</v>
      </c>
      <c r="AD303" s="154">
        <f t="shared" si="59"/>
        <v>0</v>
      </c>
      <c r="AE303" s="157">
        <f t="shared" si="51"/>
        <v>0</v>
      </c>
    </row>
    <row r="304" spans="1:31" x14ac:dyDescent="0.2">
      <c r="A304" s="3"/>
      <c r="B304" s="164"/>
      <c r="C304" s="22"/>
      <c r="D304" s="21"/>
      <c r="E304" s="23"/>
      <c r="F304" s="10"/>
      <c r="G304" s="5">
        <f t="shared" si="52"/>
        <v>298</v>
      </c>
      <c r="H304" s="7">
        <f t="shared" si="53"/>
        <v>123</v>
      </c>
      <c r="I304" s="8">
        <f t="shared" si="48"/>
        <v>2033</v>
      </c>
      <c r="J304" s="31">
        <f>IF(K304=0,"",IF(_ijour12=0,MIN(DATE(YEAR(_debamort12),MONTH(_debamort12)+_MoisD+(G304-1)*_imois12,_jour212),DATE(YEAR(_debamort12),MONTH(_debamort12)+_MoisD+1+(G304-1)*_imois12,0)),DATE(YEAR(_debamort12),MONTH(_debamort12),_jour12+(G304-1)*_ijour12)))</f>
        <v>48853</v>
      </c>
      <c r="K304" s="156">
        <f t="shared" si="54"/>
        <v>67919.250000000029</v>
      </c>
      <c r="L304" s="153">
        <f>IF(G304&lt;=_noeechmaxi1,ROUND(K304*'Données Projet 1 (2)'!A313,_nbdeci1t),0)</f>
        <v>105.27</v>
      </c>
      <c r="M304" s="152">
        <f>IF(OR(G304&lt;=_differe1t,G304&gt;_noeechmaxi1),IF(_difftotal1t,-L304,0),IF(G304&gt;=_noechremb1t,K304,IF('Données Projet 1 (2)'!B313-(L304*_echfixe1t)&gt;K304-2,K304,'Données Projet 1 (2)'!B313-(L304*_echfixe1t))))+B304</f>
        <v>501.65</v>
      </c>
      <c r="N304" s="154">
        <f t="shared" si="55"/>
        <v>15.6</v>
      </c>
      <c r="O304" s="157">
        <f t="shared" si="49"/>
        <v>622.52</v>
      </c>
      <c r="Q304" s="3"/>
      <c r="R304" s="164"/>
      <c r="S304" s="22"/>
      <c r="T304" s="21"/>
      <c r="U304" s="23"/>
      <c r="V304" s="10"/>
      <c r="W304" s="5" t="str">
        <f t="shared" si="56"/>
        <v/>
      </c>
      <c r="X304" s="7" t="str">
        <f t="shared" si="57"/>
        <v/>
      </c>
      <c r="Y304" s="8" t="str">
        <f t="shared" si="50"/>
        <v/>
      </c>
      <c r="Z304" s="31" t="str">
        <f>IF(AA304=0,"",IF(_ijour122=0,MIN(DATE(YEAR(_debamort122),MONTH(_debamort122)+_moisd12+(W304-1)*_imois122,__jou21),DATE(YEAR(_debamort122),MONTH(_debamort122)+_moisd12+1+(W304-1)*_imois122,0)),DATE(YEAR(_debamort122),MONTH(_debamort122),__jou123+(W304-1)*_ijour122)))</f>
        <v/>
      </c>
      <c r="AA304" s="156">
        <f t="shared" si="58"/>
        <v>0</v>
      </c>
      <c r="AB304" s="153">
        <f>IF(W304&lt;=_noechmaxi1t,ROUND(AA304*'Données Projet 1 (2)'!H313,_nbdeci1t1),0)</f>
        <v>0</v>
      </c>
      <c r="AC304" s="152">
        <f>IF(OR(W304&lt;=_differe1t1t,W304&gt;_noechmaxi1t),IF(_difftotal1t1t,-AB304,0),IF(W304&gt;=_noechremb12,AA304,IF('Données Projet 1 (2)'!I313-(AB304*_echfixe12)&gt;AA304-2,AA304,'Données Projet 1 (2)'!I313-(AB304*_echfixe12))))+R304</f>
        <v>0</v>
      </c>
      <c r="AD304" s="154">
        <f t="shared" si="59"/>
        <v>0</v>
      </c>
      <c r="AE304" s="157">
        <f t="shared" si="51"/>
        <v>0</v>
      </c>
    </row>
    <row r="305" spans="1:31" x14ac:dyDescent="0.2">
      <c r="A305" s="3"/>
      <c r="B305" s="164"/>
      <c r="C305" s="22"/>
      <c r="D305" s="21"/>
      <c r="E305" s="23"/>
      <c r="F305" s="10"/>
      <c r="G305" s="5">
        <f t="shared" si="52"/>
        <v>299</v>
      </c>
      <c r="H305" s="7">
        <f t="shared" si="53"/>
        <v>122</v>
      </c>
      <c r="I305" s="8">
        <f t="shared" si="48"/>
        <v>2033</v>
      </c>
      <c r="J305" s="31">
        <f>IF(K305=0,"",IF(_ijour12=0,MIN(DATE(YEAR(_debamort12),MONTH(_debamort12)+(G305-1)*_imois12,_jour12),DATE(YEAR(_debamort12),MONTH(_debamort12)+1+(G305-1)*_imois12,0)),DATE(YEAR(_debamort12),MONTH(_debamort12),_jour12+(G305-1)*_ijour12)))</f>
        <v>48884</v>
      </c>
      <c r="K305" s="156">
        <f t="shared" si="54"/>
        <v>67417.600000000035</v>
      </c>
      <c r="L305" s="153">
        <f>IF(G305&lt;=_noeechmaxi1,ROUND(K305*'Données Projet 1 (2)'!A314,_nbdeci1t),0)</f>
        <v>104.5</v>
      </c>
      <c r="M305" s="152">
        <f>IF(OR(G305&lt;=_differe1t,G305&gt;_noeechmaxi1),IF(_difftotal1t,-L305,0),IF(G305&gt;=_noechremb1t,K305,IF('Données Projet 1 (2)'!B314-(L305*_echfixe1t)&gt;K305-2,K305,'Données Projet 1 (2)'!B314-(L305*_echfixe1t))))+B305</f>
        <v>502.41999999999996</v>
      </c>
      <c r="N305" s="154">
        <f t="shared" si="55"/>
        <v>15.6</v>
      </c>
      <c r="O305" s="157">
        <f t="shared" si="49"/>
        <v>622.52</v>
      </c>
      <c r="Q305" s="3"/>
      <c r="R305" s="164"/>
      <c r="S305" s="22"/>
      <c r="T305" s="21"/>
      <c r="U305" s="23"/>
      <c r="V305" s="10"/>
      <c r="W305" s="5" t="str">
        <f t="shared" si="56"/>
        <v/>
      </c>
      <c r="X305" s="7" t="str">
        <f t="shared" si="57"/>
        <v/>
      </c>
      <c r="Y305" s="8" t="str">
        <f t="shared" si="50"/>
        <v/>
      </c>
      <c r="Z305" s="31" t="str">
        <f>IF(AA305=0,"",IF(_ijour122=0,MIN(DATE(YEAR(_debamort122),MONTH(_debamort122)+(W305-1)*_imois122,__jou123),DATE(YEAR(_debamort122),MONTH(_debamort122)+1+(W305-1)*_imois122,0)),DATE(YEAR(_debamort122),MONTH(_debamort122),__jou123+(W305-1)*_ijour122)))</f>
        <v/>
      </c>
      <c r="AA305" s="156">
        <f t="shared" si="58"/>
        <v>0</v>
      </c>
      <c r="AB305" s="153">
        <f>IF(W305&lt;=_noechmaxi1t,ROUND(AA305*'Données Projet 1 (2)'!H314,_nbdeci1t1),0)</f>
        <v>0</v>
      </c>
      <c r="AC305" s="152">
        <f>IF(OR(W305&lt;=_differe1t1t,W305&gt;_noechmaxi1t),IF(_difftotal1t1t,-AB305,0),IF(W305&gt;=_noechremb12,AA305,IF('Données Projet 1 (2)'!I314-(AB305*_echfixe12)&gt;AA305-2,AA305,'Données Projet 1 (2)'!I314-(AB305*_echfixe12))))+R305</f>
        <v>0</v>
      </c>
      <c r="AD305" s="154">
        <f t="shared" si="59"/>
        <v>0</v>
      </c>
      <c r="AE305" s="157">
        <f t="shared" si="51"/>
        <v>0</v>
      </c>
    </row>
    <row r="306" spans="1:31" x14ac:dyDescent="0.2">
      <c r="A306" s="3"/>
      <c r="B306" s="164"/>
      <c r="C306" s="22"/>
      <c r="D306" s="21"/>
      <c r="E306" s="23"/>
      <c r="F306" s="10"/>
      <c r="G306" s="5">
        <f t="shared" si="52"/>
        <v>300</v>
      </c>
      <c r="H306" s="7">
        <f t="shared" si="53"/>
        <v>121</v>
      </c>
      <c r="I306" s="8">
        <f t="shared" si="48"/>
        <v>2033</v>
      </c>
      <c r="J306" s="31">
        <f>IF(K306=0,"",IF(_ijour12=0,MIN(DATE(YEAR(_debamort12),MONTH(_debamort12)+_MoisD+(G306-1)*_imois12,_jour212),DATE(YEAR(_debamort12),MONTH(_debamort12)+_MoisD+1+(G306-1)*_imois12,0)),DATE(YEAR(_debamort12),MONTH(_debamort12),_jour12+(G306-1)*_ijour12)))</f>
        <v>48914</v>
      </c>
      <c r="K306" s="156">
        <f t="shared" si="54"/>
        <v>66915.180000000037</v>
      </c>
      <c r="L306" s="153">
        <f>IF(G306&lt;=_noeechmaxi1,ROUND(K306*'Données Projet 1 (2)'!A315,_nbdeci1t),0)</f>
        <v>103.72</v>
      </c>
      <c r="M306" s="152">
        <f>IF(OR(G306&lt;=_differe1t,G306&gt;_noeechmaxi1),IF(_difftotal1t,-L306,0),IF(G306&gt;=_noechremb1t,K306,IF('Données Projet 1 (2)'!B315-(L306*_echfixe1t)&gt;K306-2,K306,'Données Projet 1 (2)'!B315-(L306*_echfixe1t))))+B306</f>
        <v>503.19999999999993</v>
      </c>
      <c r="N306" s="154">
        <f t="shared" si="55"/>
        <v>15.6</v>
      </c>
      <c r="O306" s="157">
        <f t="shared" si="49"/>
        <v>622.52</v>
      </c>
      <c r="Q306" s="3"/>
      <c r="R306" s="164"/>
      <c r="S306" s="22"/>
      <c r="T306" s="21"/>
      <c r="U306" s="23"/>
      <c r="V306" s="10"/>
      <c r="W306" s="5" t="str">
        <f t="shared" si="56"/>
        <v/>
      </c>
      <c r="X306" s="7" t="str">
        <f t="shared" si="57"/>
        <v/>
      </c>
      <c r="Y306" s="8" t="str">
        <f t="shared" si="50"/>
        <v/>
      </c>
      <c r="Z306" s="31" t="str">
        <f>IF(AA306=0,"",IF(_ijour122=0,MIN(DATE(YEAR(_debamort122),MONTH(_debamort122)+_moisd12+(W306-1)*_imois122,__jou21),DATE(YEAR(_debamort122),MONTH(_debamort122)+_moisd12+1+(W306-1)*_imois122,0)),DATE(YEAR(_debamort122),MONTH(_debamort122),__jou123+(W306-1)*_ijour122)))</f>
        <v/>
      </c>
      <c r="AA306" s="156">
        <f t="shared" si="58"/>
        <v>0</v>
      </c>
      <c r="AB306" s="153">
        <f>IF(W306&lt;=_noechmaxi1t,ROUND(AA306*'Données Projet 1 (2)'!H315,_nbdeci1t1),0)</f>
        <v>0</v>
      </c>
      <c r="AC306" s="152">
        <f>IF(OR(W306&lt;=_differe1t1t,W306&gt;_noechmaxi1t),IF(_difftotal1t1t,-AB306,0),IF(W306&gt;=_noechremb12,AA306,IF('Données Projet 1 (2)'!I315-(AB306*_echfixe12)&gt;AA306-2,AA306,'Données Projet 1 (2)'!I315-(AB306*_echfixe12))))+R306</f>
        <v>0</v>
      </c>
      <c r="AD306" s="154">
        <f t="shared" si="59"/>
        <v>0</v>
      </c>
      <c r="AE306" s="157">
        <f t="shared" si="51"/>
        <v>0</v>
      </c>
    </row>
    <row r="307" spans="1:31" x14ac:dyDescent="0.2">
      <c r="A307" s="3"/>
      <c r="B307" s="164"/>
      <c r="C307" s="22"/>
      <c r="D307" s="21"/>
      <c r="E307" s="23"/>
      <c r="F307" s="10"/>
      <c r="G307" s="5">
        <f t="shared" si="52"/>
        <v>301</v>
      </c>
      <c r="H307" s="7">
        <f t="shared" si="53"/>
        <v>120</v>
      </c>
      <c r="I307" s="8">
        <f t="shared" si="48"/>
        <v>2034</v>
      </c>
      <c r="J307" s="31">
        <f>IF(K307=0,"",IF(_ijour12=0,MIN(DATE(YEAR(_debamort12),MONTH(_debamort12)+(G307-1)*_imois12,_jour12),DATE(YEAR(_debamort12),MONTH(_debamort12)+1+(G307-1)*_imois12,0)),DATE(YEAR(_debamort12),MONTH(_debamort12),_jour12+(G307-1)*_ijour12)))</f>
        <v>48945</v>
      </c>
      <c r="K307" s="156">
        <f t="shared" si="54"/>
        <v>66411.98000000004</v>
      </c>
      <c r="L307" s="153">
        <f>IF(G307&lt;=_noeechmaxi1,ROUND(K307*'Données Projet 1 (2)'!A316,_nbdeci1t),0)</f>
        <v>102.94</v>
      </c>
      <c r="M307" s="152">
        <f>IF(OR(G307&lt;=_differe1t,G307&gt;_noeechmaxi1),IF(_difftotal1t,-L307,0),IF(G307&gt;=_noechremb1t,K307,IF('Données Projet 1 (2)'!B316-(L307*_echfixe1t)&gt;K307-2,K307,'Données Projet 1 (2)'!B316-(L307*_echfixe1t))))+B307</f>
        <v>503.97999999999996</v>
      </c>
      <c r="N307" s="154">
        <f t="shared" si="55"/>
        <v>15.6</v>
      </c>
      <c r="O307" s="157">
        <f t="shared" si="49"/>
        <v>622.52</v>
      </c>
      <c r="Q307" s="3"/>
      <c r="R307" s="164"/>
      <c r="S307" s="22"/>
      <c r="T307" s="21"/>
      <c r="U307" s="23"/>
      <c r="V307" s="10"/>
      <c r="W307" s="5" t="str">
        <f t="shared" si="56"/>
        <v/>
      </c>
      <c r="X307" s="7" t="str">
        <f t="shared" si="57"/>
        <v/>
      </c>
      <c r="Y307" s="8" t="str">
        <f t="shared" si="50"/>
        <v/>
      </c>
      <c r="Z307" s="31" t="str">
        <f>IF(AA307=0,"",IF(_ijour122=0,MIN(DATE(YEAR(_debamort122),MONTH(_debamort122)+(W307-1)*_imois122,__jou123),DATE(YEAR(_debamort122),MONTH(_debamort122)+1+(W307-1)*_imois122,0)),DATE(YEAR(_debamort122),MONTH(_debamort122),__jou123+(W307-1)*_ijour122)))</f>
        <v/>
      </c>
      <c r="AA307" s="156">
        <f t="shared" si="58"/>
        <v>0</v>
      </c>
      <c r="AB307" s="153">
        <f>IF(W307&lt;=_noechmaxi1t,ROUND(AA307*'Données Projet 1 (2)'!H316,_nbdeci1t1),0)</f>
        <v>0</v>
      </c>
      <c r="AC307" s="152">
        <f>IF(OR(W307&lt;=_differe1t1t,W307&gt;_noechmaxi1t),IF(_difftotal1t1t,-AB307,0),IF(W307&gt;=_noechremb12,AA307,IF('Données Projet 1 (2)'!I316-(AB307*_echfixe12)&gt;AA307-2,AA307,'Données Projet 1 (2)'!I316-(AB307*_echfixe12))))+R307</f>
        <v>0</v>
      </c>
      <c r="AD307" s="154">
        <f t="shared" si="59"/>
        <v>0</v>
      </c>
      <c r="AE307" s="157">
        <f t="shared" si="51"/>
        <v>0</v>
      </c>
    </row>
    <row r="308" spans="1:31" x14ac:dyDescent="0.2">
      <c r="A308" s="3"/>
      <c r="B308" s="164"/>
      <c r="C308" s="22"/>
      <c r="D308" s="21"/>
      <c r="E308" s="23"/>
      <c r="F308" s="10"/>
      <c r="G308" s="5">
        <f t="shared" si="52"/>
        <v>302</v>
      </c>
      <c r="H308" s="7">
        <f t="shared" si="53"/>
        <v>119</v>
      </c>
      <c r="I308" s="8">
        <f t="shared" si="48"/>
        <v>2034</v>
      </c>
      <c r="J308" s="31">
        <f>IF(K308=0,"",IF(_ijour12=0,MIN(DATE(YEAR(_debamort12),MONTH(_debamort12)+_MoisD+(G308-1)*_imois12,_jour212),DATE(YEAR(_debamort12),MONTH(_debamort12)+_MoisD+1+(G308-1)*_imois12,0)),DATE(YEAR(_debamort12),MONTH(_debamort12),_jour12+(G308-1)*_ijour12)))</f>
        <v>48976</v>
      </c>
      <c r="K308" s="156">
        <f t="shared" si="54"/>
        <v>65908.000000000044</v>
      </c>
      <c r="L308" s="153">
        <f>IF(G308&lt;=_noeechmaxi1,ROUND(K308*'Données Projet 1 (2)'!A317,_nbdeci1t),0)</f>
        <v>102.16</v>
      </c>
      <c r="M308" s="152">
        <f>IF(OR(G308&lt;=_differe1t,G308&gt;_noeechmaxi1),IF(_difftotal1t,-L308,0),IF(G308&gt;=_noechremb1t,K308,IF('Données Projet 1 (2)'!B317-(L308*_echfixe1t)&gt;K308-2,K308,'Données Projet 1 (2)'!B317-(L308*_echfixe1t))))+B308</f>
        <v>504.76</v>
      </c>
      <c r="N308" s="154">
        <f t="shared" si="55"/>
        <v>15.6</v>
      </c>
      <c r="O308" s="157">
        <f t="shared" si="49"/>
        <v>622.52</v>
      </c>
      <c r="Q308" s="3"/>
      <c r="R308" s="164"/>
      <c r="S308" s="22"/>
      <c r="T308" s="21"/>
      <c r="U308" s="23"/>
      <c r="V308" s="10"/>
      <c r="W308" s="5" t="str">
        <f t="shared" si="56"/>
        <v/>
      </c>
      <c r="X308" s="7" t="str">
        <f t="shared" si="57"/>
        <v/>
      </c>
      <c r="Y308" s="8" t="str">
        <f t="shared" si="50"/>
        <v/>
      </c>
      <c r="Z308" s="31" t="str">
        <f>IF(AA308=0,"",IF(_ijour122=0,MIN(DATE(YEAR(_debamort122),MONTH(_debamort122)+_moisd12+(W308-1)*_imois122,__jou21),DATE(YEAR(_debamort122),MONTH(_debamort122)+_moisd12+1+(W308-1)*_imois122,0)),DATE(YEAR(_debamort122),MONTH(_debamort122),__jou123+(W308-1)*_ijour122)))</f>
        <v/>
      </c>
      <c r="AA308" s="156">
        <f t="shared" si="58"/>
        <v>0</v>
      </c>
      <c r="AB308" s="153">
        <f>IF(W308&lt;=_noechmaxi1t,ROUND(AA308*'Données Projet 1 (2)'!H317,_nbdeci1t1),0)</f>
        <v>0</v>
      </c>
      <c r="AC308" s="152">
        <f>IF(OR(W308&lt;=_differe1t1t,W308&gt;_noechmaxi1t),IF(_difftotal1t1t,-AB308,0),IF(W308&gt;=_noechremb12,AA308,IF('Données Projet 1 (2)'!I317-(AB308*_echfixe12)&gt;AA308-2,AA308,'Données Projet 1 (2)'!I317-(AB308*_echfixe12))))+R308</f>
        <v>0</v>
      </c>
      <c r="AD308" s="154">
        <f t="shared" si="59"/>
        <v>0</v>
      </c>
      <c r="AE308" s="157">
        <f t="shared" si="51"/>
        <v>0</v>
      </c>
    </row>
    <row r="309" spans="1:31" x14ac:dyDescent="0.2">
      <c r="A309" s="3"/>
      <c r="B309" s="164"/>
      <c r="C309" s="22"/>
      <c r="D309" s="21"/>
      <c r="E309" s="23"/>
      <c r="F309" s="10"/>
      <c r="G309" s="5">
        <f t="shared" si="52"/>
        <v>303</v>
      </c>
      <c r="H309" s="7">
        <f t="shared" si="53"/>
        <v>118</v>
      </c>
      <c r="I309" s="8">
        <f t="shared" si="48"/>
        <v>2034</v>
      </c>
      <c r="J309" s="31">
        <f>IF(K309=0,"",IF(_ijour12=0,MIN(DATE(YEAR(_debamort12),MONTH(_debamort12)+(G309-1)*_imois12,_jour12),DATE(YEAR(_debamort12),MONTH(_debamort12)+1+(G309-1)*_imois12,0)),DATE(YEAR(_debamort12),MONTH(_debamort12),_jour12+(G309-1)*_ijour12)))</f>
        <v>49004</v>
      </c>
      <c r="K309" s="156">
        <f t="shared" si="54"/>
        <v>65403.240000000042</v>
      </c>
      <c r="L309" s="153">
        <f>IF(G309&lt;=_noeechmaxi1,ROUND(K309*'Données Projet 1 (2)'!A318,_nbdeci1t),0)</f>
        <v>101.38</v>
      </c>
      <c r="M309" s="152">
        <f>IF(OR(G309&lt;=_differe1t,G309&gt;_noeechmaxi1),IF(_difftotal1t,-L309,0),IF(G309&gt;=_noechremb1t,K309,IF('Données Projet 1 (2)'!B318-(L309*_echfixe1t)&gt;K309-2,K309,'Données Projet 1 (2)'!B318-(L309*_echfixe1t))))+B309</f>
        <v>505.53999999999996</v>
      </c>
      <c r="N309" s="154">
        <f t="shared" si="55"/>
        <v>15.6</v>
      </c>
      <c r="O309" s="157">
        <f t="shared" si="49"/>
        <v>622.52</v>
      </c>
      <c r="Q309" s="3"/>
      <c r="R309" s="164"/>
      <c r="S309" s="22"/>
      <c r="T309" s="21"/>
      <c r="U309" s="23"/>
      <c r="V309" s="10"/>
      <c r="W309" s="5" t="str">
        <f t="shared" si="56"/>
        <v/>
      </c>
      <c r="X309" s="7" t="str">
        <f t="shared" si="57"/>
        <v/>
      </c>
      <c r="Y309" s="8" t="str">
        <f t="shared" si="50"/>
        <v/>
      </c>
      <c r="Z309" s="31" t="str">
        <f>IF(AA309=0,"",IF(_ijour122=0,MIN(DATE(YEAR(_debamort122),MONTH(_debamort122)+(W309-1)*_imois122,__jou123),DATE(YEAR(_debamort122),MONTH(_debamort122)+1+(W309-1)*_imois122,0)),DATE(YEAR(_debamort122),MONTH(_debamort122),__jou123+(W309-1)*_ijour122)))</f>
        <v/>
      </c>
      <c r="AA309" s="156">
        <f t="shared" si="58"/>
        <v>0</v>
      </c>
      <c r="AB309" s="153">
        <f>IF(W309&lt;=_noechmaxi1t,ROUND(AA309*'Données Projet 1 (2)'!H318,_nbdeci1t1),0)</f>
        <v>0</v>
      </c>
      <c r="AC309" s="152">
        <f>IF(OR(W309&lt;=_differe1t1t,W309&gt;_noechmaxi1t),IF(_difftotal1t1t,-AB309,0),IF(W309&gt;=_noechremb12,AA309,IF('Données Projet 1 (2)'!I318-(AB309*_echfixe12)&gt;AA309-2,AA309,'Données Projet 1 (2)'!I318-(AB309*_echfixe12))))+R309</f>
        <v>0</v>
      </c>
      <c r="AD309" s="154">
        <f t="shared" si="59"/>
        <v>0</v>
      </c>
      <c r="AE309" s="157">
        <f t="shared" si="51"/>
        <v>0</v>
      </c>
    </row>
    <row r="310" spans="1:31" x14ac:dyDescent="0.2">
      <c r="A310" s="3"/>
      <c r="B310" s="164"/>
      <c r="C310" s="22"/>
      <c r="D310" s="21"/>
      <c r="E310" s="23"/>
      <c r="F310" s="10"/>
      <c r="G310" s="5">
        <f t="shared" si="52"/>
        <v>304</v>
      </c>
      <c r="H310" s="7">
        <f t="shared" si="53"/>
        <v>117</v>
      </c>
      <c r="I310" s="8">
        <f t="shared" si="48"/>
        <v>2034</v>
      </c>
      <c r="J310" s="31">
        <f>IF(K310=0,"",IF(_ijour12=0,MIN(DATE(YEAR(_debamort12),MONTH(_debamort12)+_MoisD+(G310-1)*_imois12,_jour212),DATE(YEAR(_debamort12),MONTH(_debamort12)+_MoisD+1+(G310-1)*_imois12,0)),DATE(YEAR(_debamort12),MONTH(_debamort12),_jour12+(G310-1)*_ijour12)))</f>
        <v>49035</v>
      </c>
      <c r="K310" s="156">
        <f t="shared" si="54"/>
        <v>64897.700000000041</v>
      </c>
      <c r="L310" s="153">
        <f>IF(G310&lt;=_noeechmaxi1,ROUND(K310*'Données Projet 1 (2)'!A319,_nbdeci1t),0)</f>
        <v>100.59</v>
      </c>
      <c r="M310" s="152">
        <f>IF(OR(G310&lt;=_differe1t,G310&gt;_noeechmaxi1),IF(_difftotal1t,-L310,0),IF(G310&gt;=_noechremb1t,K310,IF('Données Projet 1 (2)'!B319-(L310*_echfixe1t)&gt;K310-2,K310,'Données Projet 1 (2)'!B319-(L310*_echfixe1t))))+B310</f>
        <v>506.32999999999993</v>
      </c>
      <c r="N310" s="154">
        <f t="shared" si="55"/>
        <v>15.6</v>
      </c>
      <c r="O310" s="157">
        <f t="shared" si="49"/>
        <v>622.52</v>
      </c>
      <c r="Q310" s="3"/>
      <c r="R310" s="164"/>
      <c r="S310" s="22"/>
      <c r="T310" s="21"/>
      <c r="U310" s="23"/>
      <c r="V310" s="10"/>
      <c r="W310" s="5" t="str">
        <f t="shared" si="56"/>
        <v/>
      </c>
      <c r="X310" s="7" t="str">
        <f t="shared" si="57"/>
        <v/>
      </c>
      <c r="Y310" s="8" t="str">
        <f t="shared" si="50"/>
        <v/>
      </c>
      <c r="Z310" s="31" t="str">
        <f>IF(AA310=0,"",IF(_ijour122=0,MIN(DATE(YEAR(_debamort122),MONTH(_debamort122)+_moisd12+(W310-1)*_imois122,__jou21),DATE(YEAR(_debamort122),MONTH(_debamort122)+_moisd12+1+(W310-1)*_imois122,0)),DATE(YEAR(_debamort122),MONTH(_debamort122),__jou123+(W310-1)*_ijour122)))</f>
        <v/>
      </c>
      <c r="AA310" s="156">
        <f t="shared" si="58"/>
        <v>0</v>
      </c>
      <c r="AB310" s="153">
        <f>IF(W310&lt;=_noechmaxi1t,ROUND(AA310*'Données Projet 1 (2)'!H319,_nbdeci1t1),0)</f>
        <v>0</v>
      </c>
      <c r="AC310" s="152">
        <f>IF(OR(W310&lt;=_differe1t1t,W310&gt;_noechmaxi1t),IF(_difftotal1t1t,-AB310,0),IF(W310&gt;=_noechremb12,AA310,IF('Données Projet 1 (2)'!I319-(AB310*_echfixe12)&gt;AA310-2,AA310,'Données Projet 1 (2)'!I319-(AB310*_echfixe12))))+R310</f>
        <v>0</v>
      </c>
      <c r="AD310" s="154">
        <f t="shared" si="59"/>
        <v>0</v>
      </c>
      <c r="AE310" s="157">
        <f t="shared" si="51"/>
        <v>0</v>
      </c>
    </row>
    <row r="311" spans="1:31" x14ac:dyDescent="0.2">
      <c r="A311" s="3"/>
      <c r="B311" s="164"/>
      <c r="C311" s="22"/>
      <c r="D311" s="21"/>
      <c r="E311" s="23"/>
      <c r="F311" s="10"/>
      <c r="G311" s="5">
        <f t="shared" si="52"/>
        <v>305</v>
      </c>
      <c r="H311" s="7">
        <f t="shared" si="53"/>
        <v>116</v>
      </c>
      <c r="I311" s="8">
        <f t="shared" si="48"/>
        <v>2034</v>
      </c>
      <c r="J311" s="31">
        <f>IF(K311=0,"",IF(_ijour12=0,MIN(DATE(YEAR(_debamort12),MONTH(_debamort12)+(G311-1)*_imois12,_jour12),DATE(YEAR(_debamort12),MONTH(_debamort12)+1+(G311-1)*_imois12,0)),DATE(YEAR(_debamort12),MONTH(_debamort12),_jour12+(G311-1)*_ijour12)))</f>
        <v>49065</v>
      </c>
      <c r="K311" s="156">
        <f t="shared" si="54"/>
        <v>64391.370000000039</v>
      </c>
      <c r="L311" s="153">
        <f>IF(G311&lt;=_noeechmaxi1,ROUND(K311*'Données Projet 1 (2)'!A320,_nbdeci1t),0)</f>
        <v>99.81</v>
      </c>
      <c r="M311" s="152">
        <f>IF(OR(G311&lt;=_differe1t,G311&gt;_noeechmaxi1),IF(_difftotal1t,-L311,0),IF(G311&gt;=_noechremb1t,K311,IF('Données Projet 1 (2)'!B320-(L311*_echfixe1t)&gt;K311-2,K311,'Données Projet 1 (2)'!B320-(L311*_echfixe1t))))+B311</f>
        <v>507.10999999999996</v>
      </c>
      <c r="N311" s="154">
        <f t="shared" si="55"/>
        <v>15.6</v>
      </c>
      <c r="O311" s="157">
        <f t="shared" si="49"/>
        <v>622.52</v>
      </c>
      <c r="Q311" s="3"/>
      <c r="R311" s="164"/>
      <c r="S311" s="22"/>
      <c r="T311" s="21"/>
      <c r="U311" s="23"/>
      <c r="V311" s="10"/>
      <c r="W311" s="5" t="str">
        <f t="shared" si="56"/>
        <v/>
      </c>
      <c r="X311" s="7" t="str">
        <f t="shared" si="57"/>
        <v/>
      </c>
      <c r="Y311" s="8" t="str">
        <f t="shared" si="50"/>
        <v/>
      </c>
      <c r="Z311" s="31" t="str">
        <f>IF(AA311=0,"",IF(_ijour122=0,MIN(DATE(YEAR(_debamort122),MONTH(_debamort122)+(W311-1)*_imois122,__jou123),DATE(YEAR(_debamort122),MONTH(_debamort122)+1+(W311-1)*_imois122,0)),DATE(YEAR(_debamort122),MONTH(_debamort122),__jou123+(W311-1)*_ijour122)))</f>
        <v/>
      </c>
      <c r="AA311" s="156">
        <f t="shared" si="58"/>
        <v>0</v>
      </c>
      <c r="AB311" s="153">
        <f>IF(W311&lt;=_noechmaxi1t,ROUND(AA311*'Données Projet 1 (2)'!H320,_nbdeci1t1),0)</f>
        <v>0</v>
      </c>
      <c r="AC311" s="152">
        <f>IF(OR(W311&lt;=_differe1t1t,W311&gt;_noechmaxi1t),IF(_difftotal1t1t,-AB311,0),IF(W311&gt;=_noechremb12,AA311,IF('Données Projet 1 (2)'!I320-(AB311*_echfixe12)&gt;AA311-2,AA311,'Données Projet 1 (2)'!I320-(AB311*_echfixe12))))+R311</f>
        <v>0</v>
      </c>
      <c r="AD311" s="154">
        <f t="shared" si="59"/>
        <v>0</v>
      </c>
      <c r="AE311" s="157">
        <f t="shared" si="51"/>
        <v>0</v>
      </c>
    </row>
    <row r="312" spans="1:31" x14ac:dyDescent="0.2">
      <c r="A312" s="3"/>
      <c r="B312" s="164"/>
      <c r="C312" s="22"/>
      <c r="D312" s="21"/>
      <c r="E312" s="23"/>
      <c r="F312" s="10"/>
      <c r="G312" s="5">
        <f t="shared" si="52"/>
        <v>306</v>
      </c>
      <c r="H312" s="7">
        <f t="shared" si="53"/>
        <v>115</v>
      </c>
      <c r="I312" s="8">
        <f t="shared" si="48"/>
        <v>2034</v>
      </c>
      <c r="J312" s="31">
        <f>IF(K312=0,"",IF(_ijour12=0,MIN(DATE(YEAR(_debamort12),MONTH(_debamort12)+_MoisD+(G312-1)*_imois12,_jour212),DATE(YEAR(_debamort12),MONTH(_debamort12)+_MoisD+1+(G312-1)*_imois12,0)),DATE(YEAR(_debamort12),MONTH(_debamort12),_jour12+(G312-1)*_ijour12)))</f>
        <v>49096</v>
      </c>
      <c r="K312" s="156">
        <f t="shared" si="54"/>
        <v>63884.260000000038</v>
      </c>
      <c r="L312" s="153">
        <f>IF(G312&lt;=_noeechmaxi1,ROUND(K312*'Données Projet 1 (2)'!A321,_nbdeci1t),0)</f>
        <v>99.02</v>
      </c>
      <c r="M312" s="152">
        <f>IF(OR(G312&lt;=_differe1t,G312&gt;_noeechmaxi1),IF(_difftotal1t,-L312,0),IF(G312&gt;=_noechremb1t,K312,IF('Données Projet 1 (2)'!B321-(L312*_echfixe1t)&gt;K312-2,K312,'Données Projet 1 (2)'!B321-(L312*_echfixe1t))))+B312</f>
        <v>507.9</v>
      </c>
      <c r="N312" s="154">
        <f t="shared" si="55"/>
        <v>15.6</v>
      </c>
      <c r="O312" s="157">
        <f t="shared" si="49"/>
        <v>622.52</v>
      </c>
      <c r="Q312" s="3"/>
      <c r="R312" s="164"/>
      <c r="S312" s="22"/>
      <c r="T312" s="21"/>
      <c r="U312" s="23"/>
      <c r="V312" s="10"/>
      <c r="W312" s="5" t="str">
        <f t="shared" si="56"/>
        <v/>
      </c>
      <c r="X312" s="7" t="str">
        <f t="shared" si="57"/>
        <v/>
      </c>
      <c r="Y312" s="8" t="str">
        <f t="shared" si="50"/>
        <v/>
      </c>
      <c r="Z312" s="31" t="str">
        <f>IF(AA312=0,"",IF(_ijour122=0,MIN(DATE(YEAR(_debamort122),MONTH(_debamort122)+_moisd12+(W312-1)*_imois122,__jou21),DATE(YEAR(_debamort122),MONTH(_debamort122)+_moisd12+1+(W312-1)*_imois122,0)),DATE(YEAR(_debamort122),MONTH(_debamort122),__jou123+(W312-1)*_ijour122)))</f>
        <v/>
      </c>
      <c r="AA312" s="156">
        <f t="shared" si="58"/>
        <v>0</v>
      </c>
      <c r="AB312" s="153">
        <f>IF(W312&lt;=_noechmaxi1t,ROUND(AA312*'Données Projet 1 (2)'!H321,_nbdeci1t1),0)</f>
        <v>0</v>
      </c>
      <c r="AC312" s="152">
        <f>IF(OR(W312&lt;=_differe1t1t,W312&gt;_noechmaxi1t),IF(_difftotal1t1t,-AB312,0),IF(W312&gt;=_noechremb12,AA312,IF('Données Projet 1 (2)'!I321-(AB312*_echfixe12)&gt;AA312-2,AA312,'Données Projet 1 (2)'!I321-(AB312*_echfixe12))))+R312</f>
        <v>0</v>
      </c>
      <c r="AD312" s="154">
        <f t="shared" si="59"/>
        <v>0</v>
      </c>
      <c r="AE312" s="157">
        <f t="shared" si="51"/>
        <v>0</v>
      </c>
    </row>
    <row r="313" spans="1:31" x14ac:dyDescent="0.2">
      <c r="A313" s="3"/>
      <c r="B313" s="164"/>
      <c r="C313" s="22"/>
      <c r="D313" s="21"/>
      <c r="E313" s="23"/>
      <c r="F313" s="10"/>
      <c r="G313" s="5">
        <f t="shared" si="52"/>
        <v>307</v>
      </c>
      <c r="H313" s="7">
        <f t="shared" si="53"/>
        <v>114</v>
      </c>
      <c r="I313" s="8">
        <f t="shared" si="48"/>
        <v>2034</v>
      </c>
      <c r="J313" s="31">
        <f>IF(K313=0,"",IF(_ijour12=0,MIN(DATE(YEAR(_debamort12),MONTH(_debamort12)+(G313-1)*_imois12,_jour12),DATE(YEAR(_debamort12),MONTH(_debamort12)+1+(G313-1)*_imois12,0)),DATE(YEAR(_debamort12),MONTH(_debamort12),_jour12+(G313-1)*_ijour12)))</f>
        <v>49126</v>
      </c>
      <c r="K313" s="156">
        <f t="shared" si="54"/>
        <v>63376.360000000037</v>
      </c>
      <c r="L313" s="153">
        <f>IF(G313&lt;=_noeechmaxi1,ROUND(K313*'Données Projet 1 (2)'!A322,_nbdeci1t),0)</f>
        <v>98.23</v>
      </c>
      <c r="M313" s="152">
        <f>IF(OR(G313&lt;=_differe1t,G313&gt;_noeechmaxi1),IF(_difftotal1t,-L313,0),IF(G313&gt;=_noechremb1t,K313,IF('Données Projet 1 (2)'!B322-(L313*_echfixe1t)&gt;K313-2,K313,'Données Projet 1 (2)'!B322-(L313*_echfixe1t))))+B313</f>
        <v>508.68999999999994</v>
      </c>
      <c r="N313" s="154">
        <f t="shared" si="55"/>
        <v>15.6</v>
      </c>
      <c r="O313" s="157">
        <f t="shared" si="49"/>
        <v>622.52</v>
      </c>
      <c r="Q313" s="3"/>
      <c r="R313" s="164"/>
      <c r="S313" s="22"/>
      <c r="T313" s="21"/>
      <c r="U313" s="23"/>
      <c r="V313" s="10"/>
      <c r="W313" s="5" t="str">
        <f t="shared" si="56"/>
        <v/>
      </c>
      <c r="X313" s="7" t="str">
        <f t="shared" si="57"/>
        <v/>
      </c>
      <c r="Y313" s="8" t="str">
        <f t="shared" si="50"/>
        <v/>
      </c>
      <c r="Z313" s="31" t="str">
        <f>IF(AA313=0,"",IF(_ijour122=0,MIN(DATE(YEAR(_debamort122),MONTH(_debamort122)+(W313-1)*_imois122,__jou123),DATE(YEAR(_debamort122),MONTH(_debamort122)+1+(W313-1)*_imois122,0)),DATE(YEAR(_debamort122),MONTH(_debamort122),__jou123+(W313-1)*_ijour122)))</f>
        <v/>
      </c>
      <c r="AA313" s="156">
        <f t="shared" si="58"/>
        <v>0</v>
      </c>
      <c r="AB313" s="153">
        <f>IF(W313&lt;=_noechmaxi1t,ROUND(AA313*'Données Projet 1 (2)'!H322,_nbdeci1t1),0)</f>
        <v>0</v>
      </c>
      <c r="AC313" s="152">
        <f>IF(OR(W313&lt;=_differe1t1t,W313&gt;_noechmaxi1t),IF(_difftotal1t1t,-AB313,0),IF(W313&gt;=_noechremb12,AA313,IF('Données Projet 1 (2)'!I322-(AB313*_echfixe12)&gt;AA313-2,AA313,'Données Projet 1 (2)'!I322-(AB313*_echfixe12))))+R313</f>
        <v>0</v>
      </c>
      <c r="AD313" s="154">
        <f t="shared" si="59"/>
        <v>0</v>
      </c>
      <c r="AE313" s="157">
        <f t="shared" si="51"/>
        <v>0</v>
      </c>
    </row>
    <row r="314" spans="1:31" x14ac:dyDescent="0.2">
      <c r="A314" s="3"/>
      <c r="B314" s="164"/>
      <c r="C314" s="22"/>
      <c r="D314" s="21"/>
      <c r="E314" s="23"/>
      <c r="F314" s="10"/>
      <c r="G314" s="5">
        <f t="shared" si="52"/>
        <v>308</v>
      </c>
      <c r="H314" s="7">
        <f t="shared" si="53"/>
        <v>113</v>
      </c>
      <c r="I314" s="8">
        <f t="shared" si="48"/>
        <v>2034</v>
      </c>
      <c r="J314" s="31">
        <f>IF(K314=0,"",IF(_ijour12=0,MIN(DATE(YEAR(_debamort12),MONTH(_debamort12)+_MoisD+(G314-1)*_imois12,_jour212),DATE(YEAR(_debamort12),MONTH(_debamort12)+_MoisD+1+(G314-1)*_imois12,0)),DATE(YEAR(_debamort12),MONTH(_debamort12),_jour12+(G314-1)*_ijour12)))</f>
        <v>49157</v>
      </c>
      <c r="K314" s="156">
        <f t="shared" si="54"/>
        <v>62867.670000000035</v>
      </c>
      <c r="L314" s="153">
        <f>IF(G314&lt;=_noeechmaxi1,ROUND(K314*'Données Projet 1 (2)'!A323,_nbdeci1t),0)</f>
        <v>97.44</v>
      </c>
      <c r="M314" s="152">
        <f>IF(OR(G314&lt;=_differe1t,G314&gt;_noeechmaxi1),IF(_difftotal1t,-L314,0),IF(G314&gt;=_noechremb1t,K314,IF('Données Projet 1 (2)'!B323-(L314*_echfixe1t)&gt;K314-2,K314,'Données Projet 1 (2)'!B323-(L314*_echfixe1t))))+B314</f>
        <v>509.47999999999996</v>
      </c>
      <c r="N314" s="154">
        <f t="shared" si="55"/>
        <v>15.6</v>
      </c>
      <c r="O314" s="157">
        <f t="shared" si="49"/>
        <v>622.52</v>
      </c>
      <c r="Q314" s="3"/>
      <c r="R314" s="164"/>
      <c r="S314" s="22"/>
      <c r="T314" s="21"/>
      <c r="U314" s="23"/>
      <c r="V314" s="10"/>
      <c r="W314" s="5" t="str">
        <f t="shared" si="56"/>
        <v/>
      </c>
      <c r="X314" s="7" t="str">
        <f t="shared" si="57"/>
        <v/>
      </c>
      <c r="Y314" s="8" t="str">
        <f t="shared" si="50"/>
        <v/>
      </c>
      <c r="Z314" s="31" t="str">
        <f>IF(AA314=0,"",IF(_ijour122=0,MIN(DATE(YEAR(_debamort122),MONTH(_debamort122)+_moisd12+(W314-1)*_imois122,__jou21),DATE(YEAR(_debamort122),MONTH(_debamort122)+_moisd12+1+(W314-1)*_imois122,0)),DATE(YEAR(_debamort122),MONTH(_debamort122),__jou123+(W314-1)*_ijour122)))</f>
        <v/>
      </c>
      <c r="AA314" s="156">
        <f t="shared" si="58"/>
        <v>0</v>
      </c>
      <c r="AB314" s="153">
        <f>IF(W314&lt;=_noechmaxi1t,ROUND(AA314*'Données Projet 1 (2)'!H323,_nbdeci1t1),0)</f>
        <v>0</v>
      </c>
      <c r="AC314" s="152">
        <f>IF(OR(W314&lt;=_differe1t1t,W314&gt;_noechmaxi1t),IF(_difftotal1t1t,-AB314,0),IF(W314&gt;=_noechremb12,AA314,IF('Données Projet 1 (2)'!I323-(AB314*_echfixe12)&gt;AA314-2,AA314,'Données Projet 1 (2)'!I323-(AB314*_echfixe12))))+R314</f>
        <v>0</v>
      </c>
      <c r="AD314" s="154">
        <f t="shared" si="59"/>
        <v>0</v>
      </c>
      <c r="AE314" s="157">
        <f t="shared" si="51"/>
        <v>0</v>
      </c>
    </row>
    <row r="315" spans="1:31" x14ac:dyDescent="0.2">
      <c r="A315" s="3"/>
      <c r="B315" s="164"/>
      <c r="C315" s="22"/>
      <c r="D315" s="21"/>
      <c r="E315" s="23"/>
      <c r="F315" s="10"/>
      <c r="G315" s="5">
        <f t="shared" si="52"/>
        <v>309</v>
      </c>
      <c r="H315" s="7">
        <f t="shared" si="53"/>
        <v>112</v>
      </c>
      <c r="I315" s="8">
        <f t="shared" si="48"/>
        <v>2034</v>
      </c>
      <c r="J315" s="31">
        <f>IF(K315=0,"",IF(_ijour12=0,MIN(DATE(YEAR(_debamort12),MONTH(_debamort12)+(G315-1)*_imois12,_jour12),DATE(YEAR(_debamort12),MONTH(_debamort12)+1+(G315-1)*_imois12,0)),DATE(YEAR(_debamort12),MONTH(_debamort12),_jour12+(G315-1)*_ijour12)))</f>
        <v>49188</v>
      </c>
      <c r="K315" s="156">
        <f t="shared" si="54"/>
        <v>62358.190000000031</v>
      </c>
      <c r="L315" s="153">
        <f>IF(G315&lt;=_noeechmaxi1,ROUND(K315*'Données Projet 1 (2)'!A324,_nbdeci1t),0)</f>
        <v>96.66</v>
      </c>
      <c r="M315" s="152">
        <f>IF(OR(G315&lt;=_differe1t,G315&gt;_noeechmaxi1),IF(_difftotal1t,-L315,0),IF(G315&gt;=_noechremb1t,K315,IF('Données Projet 1 (2)'!B324-(L315*_echfixe1t)&gt;K315-2,K315,'Données Projet 1 (2)'!B324-(L315*_echfixe1t))))+B315</f>
        <v>510.26</v>
      </c>
      <c r="N315" s="154">
        <f t="shared" si="55"/>
        <v>15.6</v>
      </c>
      <c r="O315" s="157">
        <f t="shared" si="49"/>
        <v>622.52</v>
      </c>
      <c r="Q315" s="3"/>
      <c r="R315" s="164"/>
      <c r="S315" s="22"/>
      <c r="T315" s="21"/>
      <c r="U315" s="23"/>
      <c r="V315" s="10"/>
      <c r="W315" s="5" t="str">
        <f t="shared" si="56"/>
        <v/>
      </c>
      <c r="X315" s="7" t="str">
        <f t="shared" si="57"/>
        <v/>
      </c>
      <c r="Y315" s="8" t="str">
        <f t="shared" si="50"/>
        <v/>
      </c>
      <c r="Z315" s="31" t="str">
        <f>IF(AA315=0,"",IF(_ijour122=0,MIN(DATE(YEAR(_debamort122),MONTH(_debamort122)+(W315-1)*_imois122,__jou123),DATE(YEAR(_debamort122),MONTH(_debamort122)+1+(W315-1)*_imois122,0)),DATE(YEAR(_debamort122),MONTH(_debamort122),__jou123+(W315-1)*_ijour122)))</f>
        <v/>
      </c>
      <c r="AA315" s="156">
        <f t="shared" si="58"/>
        <v>0</v>
      </c>
      <c r="AB315" s="153">
        <f>IF(W315&lt;=_noechmaxi1t,ROUND(AA315*'Données Projet 1 (2)'!H324,_nbdeci1t1),0)</f>
        <v>0</v>
      </c>
      <c r="AC315" s="152">
        <f>IF(OR(W315&lt;=_differe1t1t,W315&gt;_noechmaxi1t),IF(_difftotal1t1t,-AB315,0),IF(W315&gt;=_noechremb12,AA315,IF('Données Projet 1 (2)'!I324-(AB315*_echfixe12)&gt;AA315-2,AA315,'Données Projet 1 (2)'!I324-(AB315*_echfixe12))))+R315</f>
        <v>0</v>
      </c>
      <c r="AD315" s="154">
        <f t="shared" si="59"/>
        <v>0</v>
      </c>
      <c r="AE315" s="157">
        <f t="shared" si="51"/>
        <v>0</v>
      </c>
    </row>
    <row r="316" spans="1:31" x14ac:dyDescent="0.2">
      <c r="A316" s="3"/>
      <c r="B316" s="164"/>
      <c r="C316" s="22"/>
      <c r="D316" s="21"/>
      <c r="E316" s="23"/>
      <c r="F316" s="10"/>
      <c r="G316" s="5">
        <f t="shared" si="52"/>
        <v>310</v>
      </c>
      <c r="H316" s="7">
        <f t="shared" si="53"/>
        <v>111</v>
      </c>
      <c r="I316" s="8">
        <f t="shared" si="48"/>
        <v>2034</v>
      </c>
      <c r="J316" s="31">
        <f>IF(K316=0,"",IF(_ijour12=0,MIN(DATE(YEAR(_debamort12),MONTH(_debamort12)+_MoisD+(G316-1)*_imois12,_jour212),DATE(YEAR(_debamort12),MONTH(_debamort12)+_MoisD+1+(G316-1)*_imois12,0)),DATE(YEAR(_debamort12),MONTH(_debamort12),_jour12+(G316-1)*_ijour12)))</f>
        <v>49218</v>
      </c>
      <c r="K316" s="156">
        <f t="shared" si="54"/>
        <v>61847.930000000029</v>
      </c>
      <c r="L316" s="153">
        <f>IF(G316&lt;=_noeechmaxi1,ROUND(K316*'Données Projet 1 (2)'!A325,_nbdeci1t),0)</f>
        <v>95.86</v>
      </c>
      <c r="M316" s="152">
        <f>IF(OR(G316&lt;=_differe1t,G316&gt;_noeechmaxi1),IF(_difftotal1t,-L316,0),IF(G316&gt;=_noechremb1t,K316,IF('Données Projet 1 (2)'!B325-(L316*_echfixe1t)&gt;K316-2,K316,'Données Projet 1 (2)'!B325-(L316*_echfixe1t))))+B316</f>
        <v>511.05999999999995</v>
      </c>
      <c r="N316" s="154">
        <f t="shared" si="55"/>
        <v>15.6</v>
      </c>
      <c r="O316" s="157">
        <f t="shared" si="49"/>
        <v>622.52</v>
      </c>
      <c r="Q316" s="3"/>
      <c r="R316" s="164"/>
      <c r="S316" s="22"/>
      <c r="T316" s="21"/>
      <c r="U316" s="23"/>
      <c r="V316" s="10"/>
      <c r="W316" s="5" t="str">
        <f t="shared" si="56"/>
        <v/>
      </c>
      <c r="X316" s="7" t="str">
        <f t="shared" si="57"/>
        <v/>
      </c>
      <c r="Y316" s="8" t="str">
        <f t="shared" si="50"/>
        <v/>
      </c>
      <c r="Z316" s="31" t="str">
        <f>IF(AA316=0,"",IF(_ijour122=0,MIN(DATE(YEAR(_debamort122),MONTH(_debamort122)+_moisd12+(W316-1)*_imois122,__jou21),DATE(YEAR(_debamort122),MONTH(_debamort122)+_moisd12+1+(W316-1)*_imois122,0)),DATE(YEAR(_debamort122),MONTH(_debamort122),__jou123+(W316-1)*_ijour122)))</f>
        <v/>
      </c>
      <c r="AA316" s="156">
        <f t="shared" si="58"/>
        <v>0</v>
      </c>
      <c r="AB316" s="153">
        <f>IF(W316&lt;=_noechmaxi1t,ROUND(AA316*'Données Projet 1 (2)'!H325,_nbdeci1t1),0)</f>
        <v>0</v>
      </c>
      <c r="AC316" s="152">
        <f>IF(OR(W316&lt;=_differe1t1t,W316&gt;_noechmaxi1t),IF(_difftotal1t1t,-AB316,0),IF(W316&gt;=_noechremb12,AA316,IF('Données Projet 1 (2)'!I325-(AB316*_echfixe12)&gt;AA316-2,AA316,'Données Projet 1 (2)'!I325-(AB316*_echfixe12))))+R316</f>
        <v>0</v>
      </c>
      <c r="AD316" s="154">
        <f t="shared" si="59"/>
        <v>0</v>
      </c>
      <c r="AE316" s="157">
        <f t="shared" si="51"/>
        <v>0</v>
      </c>
    </row>
    <row r="317" spans="1:31" x14ac:dyDescent="0.2">
      <c r="A317" s="3"/>
      <c r="B317" s="164"/>
      <c r="C317" s="22"/>
      <c r="D317" s="21"/>
      <c r="E317" s="23"/>
      <c r="F317" s="10"/>
      <c r="G317" s="5">
        <f t="shared" si="52"/>
        <v>311</v>
      </c>
      <c r="H317" s="7">
        <f t="shared" si="53"/>
        <v>110</v>
      </c>
      <c r="I317" s="8">
        <f t="shared" si="48"/>
        <v>2034</v>
      </c>
      <c r="J317" s="31">
        <f>IF(K317=0,"",IF(_ijour12=0,MIN(DATE(YEAR(_debamort12),MONTH(_debamort12)+(G317-1)*_imois12,_jour12),DATE(YEAR(_debamort12),MONTH(_debamort12)+1+(G317-1)*_imois12,0)),DATE(YEAR(_debamort12),MONTH(_debamort12),_jour12+(G317-1)*_ijour12)))</f>
        <v>49249</v>
      </c>
      <c r="K317" s="156">
        <f t="shared" si="54"/>
        <v>61336.870000000032</v>
      </c>
      <c r="L317" s="153">
        <f>IF(G317&lt;=_noeechmaxi1,ROUND(K317*'Données Projet 1 (2)'!A326,_nbdeci1t),0)</f>
        <v>95.07</v>
      </c>
      <c r="M317" s="152">
        <f>IF(OR(G317&lt;=_differe1t,G317&gt;_noeechmaxi1),IF(_difftotal1t,-L317,0),IF(G317&gt;=_noechremb1t,K317,IF('Données Projet 1 (2)'!B326-(L317*_echfixe1t)&gt;K317-2,K317,'Données Projet 1 (2)'!B326-(L317*_echfixe1t))))+B317</f>
        <v>511.84999999999997</v>
      </c>
      <c r="N317" s="154">
        <f t="shared" si="55"/>
        <v>15.6</v>
      </c>
      <c r="O317" s="157">
        <f t="shared" si="49"/>
        <v>622.52</v>
      </c>
      <c r="Q317" s="3"/>
      <c r="R317" s="164"/>
      <c r="S317" s="22"/>
      <c r="T317" s="21"/>
      <c r="U317" s="23"/>
      <c r="V317" s="10"/>
      <c r="W317" s="5" t="str">
        <f t="shared" si="56"/>
        <v/>
      </c>
      <c r="X317" s="7" t="str">
        <f t="shared" si="57"/>
        <v/>
      </c>
      <c r="Y317" s="8" t="str">
        <f t="shared" si="50"/>
        <v/>
      </c>
      <c r="Z317" s="31" t="str">
        <f>IF(AA317=0,"",IF(_ijour122=0,MIN(DATE(YEAR(_debamort122),MONTH(_debamort122)+(W317-1)*_imois122,__jou123),DATE(YEAR(_debamort122),MONTH(_debamort122)+1+(W317-1)*_imois122,0)),DATE(YEAR(_debamort122),MONTH(_debamort122),__jou123+(W317-1)*_ijour122)))</f>
        <v/>
      </c>
      <c r="AA317" s="156">
        <f t="shared" si="58"/>
        <v>0</v>
      </c>
      <c r="AB317" s="153">
        <f>IF(W317&lt;=_noechmaxi1t,ROUND(AA317*'Données Projet 1 (2)'!H326,_nbdeci1t1),0)</f>
        <v>0</v>
      </c>
      <c r="AC317" s="152">
        <f>IF(OR(W317&lt;=_differe1t1t,W317&gt;_noechmaxi1t),IF(_difftotal1t1t,-AB317,0),IF(W317&gt;=_noechremb12,AA317,IF('Données Projet 1 (2)'!I326-(AB317*_echfixe12)&gt;AA317-2,AA317,'Données Projet 1 (2)'!I326-(AB317*_echfixe12))))+R317</f>
        <v>0</v>
      </c>
      <c r="AD317" s="154">
        <f t="shared" si="59"/>
        <v>0</v>
      </c>
      <c r="AE317" s="157">
        <f t="shared" si="51"/>
        <v>0</v>
      </c>
    </row>
    <row r="318" spans="1:31" x14ac:dyDescent="0.2">
      <c r="A318" s="3"/>
      <c r="B318" s="164"/>
      <c r="C318" s="22"/>
      <c r="D318" s="21"/>
      <c r="E318" s="23"/>
      <c r="F318" s="10"/>
      <c r="G318" s="5">
        <f t="shared" si="52"/>
        <v>312</v>
      </c>
      <c r="H318" s="7">
        <f t="shared" si="53"/>
        <v>109</v>
      </c>
      <c r="I318" s="8">
        <f t="shared" si="48"/>
        <v>2034</v>
      </c>
      <c r="J318" s="31">
        <f>IF(K318=0,"",IF(_ijour12=0,MIN(DATE(YEAR(_debamort12),MONTH(_debamort12)+_MoisD+(G318-1)*_imois12,_jour212),DATE(YEAR(_debamort12),MONTH(_debamort12)+_MoisD+1+(G318-1)*_imois12,0)),DATE(YEAR(_debamort12),MONTH(_debamort12),_jour12+(G318-1)*_ijour12)))</f>
        <v>49279</v>
      </c>
      <c r="K318" s="156">
        <f t="shared" si="54"/>
        <v>60825.020000000033</v>
      </c>
      <c r="L318" s="153">
        <f>IF(G318&lt;=_noeechmaxi1,ROUND(K318*'Données Projet 1 (2)'!A327,_nbdeci1t),0)</f>
        <v>94.28</v>
      </c>
      <c r="M318" s="152">
        <f>IF(OR(G318&lt;=_differe1t,G318&gt;_noeechmaxi1),IF(_difftotal1t,-L318,0),IF(G318&gt;=_noechremb1t,K318,IF('Données Projet 1 (2)'!B327-(L318*_echfixe1t)&gt;K318-2,K318,'Données Projet 1 (2)'!B327-(L318*_echfixe1t))))+B318</f>
        <v>512.64</v>
      </c>
      <c r="N318" s="154">
        <f t="shared" si="55"/>
        <v>15.6</v>
      </c>
      <c r="O318" s="157">
        <f t="shared" si="49"/>
        <v>622.52</v>
      </c>
      <c r="Q318" s="3"/>
      <c r="R318" s="164"/>
      <c r="S318" s="22"/>
      <c r="T318" s="21"/>
      <c r="U318" s="23"/>
      <c r="V318" s="10"/>
      <c r="W318" s="5" t="str">
        <f t="shared" si="56"/>
        <v/>
      </c>
      <c r="X318" s="7" t="str">
        <f t="shared" si="57"/>
        <v/>
      </c>
      <c r="Y318" s="8" t="str">
        <f t="shared" si="50"/>
        <v/>
      </c>
      <c r="Z318" s="31" t="str">
        <f>IF(AA318=0,"",IF(_ijour122=0,MIN(DATE(YEAR(_debamort122),MONTH(_debamort122)+_moisd12+(W318-1)*_imois122,__jou21),DATE(YEAR(_debamort122),MONTH(_debamort122)+_moisd12+1+(W318-1)*_imois122,0)),DATE(YEAR(_debamort122),MONTH(_debamort122),__jou123+(W318-1)*_ijour122)))</f>
        <v/>
      </c>
      <c r="AA318" s="156">
        <f t="shared" si="58"/>
        <v>0</v>
      </c>
      <c r="AB318" s="153">
        <f>IF(W318&lt;=_noechmaxi1t,ROUND(AA318*'Données Projet 1 (2)'!H327,_nbdeci1t1),0)</f>
        <v>0</v>
      </c>
      <c r="AC318" s="152">
        <f>IF(OR(W318&lt;=_differe1t1t,W318&gt;_noechmaxi1t),IF(_difftotal1t1t,-AB318,0),IF(W318&gt;=_noechremb12,AA318,IF('Données Projet 1 (2)'!I327-(AB318*_echfixe12)&gt;AA318-2,AA318,'Données Projet 1 (2)'!I327-(AB318*_echfixe12))))+R318</f>
        <v>0</v>
      </c>
      <c r="AD318" s="154">
        <f t="shared" si="59"/>
        <v>0</v>
      </c>
      <c r="AE318" s="157">
        <f t="shared" si="51"/>
        <v>0</v>
      </c>
    </row>
    <row r="319" spans="1:31" x14ac:dyDescent="0.2">
      <c r="A319" s="3"/>
      <c r="B319" s="164"/>
      <c r="C319" s="22"/>
      <c r="D319" s="21"/>
      <c r="E319" s="23"/>
      <c r="F319" s="10"/>
      <c r="G319" s="5">
        <f t="shared" si="52"/>
        <v>313</v>
      </c>
      <c r="H319" s="7">
        <f t="shared" si="53"/>
        <v>108</v>
      </c>
      <c r="I319" s="8">
        <f t="shared" si="48"/>
        <v>2035</v>
      </c>
      <c r="J319" s="31">
        <f>IF(K319=0,"",IF(_ijour12=0,MIN(DATE(YEAR(_debamort12),MONTH(_debamort12)+(G319-1)*_imois12,_jour12),DATE(YEAR(_debamort12),MONTH(_debamort12)+1+(G319-1)*_imois12,0)),DATE(YEAR(_debamort12),MONTH(_debamort12),_jour12+(G319-1)*_ijour12)))</f>
        <v>49310</v>
      </c>
      <c r="K319" s="156">
        <f t="shared" si="54"/>
        <v>60312.380000000034</v>
      </c>
      <c r="L319" s="153">
        <f>IF(G319&lt;=_noeechmaxi1,ROUND(K319*'Données Projet 1 (2)'!A328,_nbdeci1t),0)</f>
        <v>93.48</v>
      </c>
      <c r="M319" s="152">
        <f>IF(OR(G319&lt;=_differe1t,G319&gt;_noeechmaxi1),IF(_difftotal1t,-L319,0),IF(G319&gt;=_noechremb1t,K319,IF('Données Projet 1 (2)'!B328-(L319*_echfixe1t)&gt;K319-2,K319,'Données Projet 1 (2)'!B328-(L319*_echfixe1t))))+B319</f>
        <v>513.43999999999994</v>
      </c>
      <c r="N319" s="154">
        <f t="shared" si="55"/>
        <v>15.6</v>
      </c>
      <c r="O319" s="157">
        <f t="shared" si="49"/>
        <v>622.52</v>
      </c>
      <c r="Q319" s="3"/>
      <c r="R319" s="164"/>
      <c r="S319" s="22"/>
      <c r="T319" s="21"/>
      <c r="U319" s="23"/>
      <c r="V319" s="10"/>
      <c r="W319" s="5" t="str">
        <f t="shared" si="56"/>
        <v/>
      </c>
      <c r="X319" s="7" t="str">
        <f t="shared" si="57"/>
        <v/>
      </c>
      <c r="Y319" s="8" t="str">
        <f t="shared" si="50"/>
        <v/>
      </c>
      <c r="Z319" s="31" t="str">
        <f>IF(AA319=0,"",IF(_ijour122=0,MIN(DATE(YEAR(_debamort122),MONTH(_debamort122)+(W319-1)*_imois122,__jou123),DATE(YEAR(_debamort122),MONTH(_debamort122)+1+(W319-1)*_imois122,0)),DATE(YEAR(_debamort122),MONTH(_debamort122),__jou123+(W319-1)*_ijour122)))</f>
        <v/>
      </c>
      <c r="AA319" s="156">
        <f t="shared" si="58"/>
        <v>0</v>
      </c>
      <c r="AB319" s="153">
        <f>IF(W319&lt;=_noechmaxi1t,ROUND(AA319*'Données Projet 1 (2)'!H328,_nbdeci1t1),0)</f>
        <v>0</v>
      </c>
      <c r="AC319" s="152">
        <f>IF(OR(W319&lt;=_differe1t1t,W319&gt;_noechmaxi1t),IF(_difftotal1t1t,-AB319,0),IF(W319&gt;=_noechremb12,AA319,IF('Données Projet 1 (2)'!I328-(AB319*_echfixe12)&gt;AA319-2,AA319,'Données Projet 1 (2)'!I328-(AB319*_echfixe12))))+R319</f>
        <v>0</v>
      </c>
      <c r="AD319" s="154">
        <f t="shared" si="59"/>
        <v>0</v>
      </c>
      <c r="AE319" s="157">
        <f t="shared" si="51"/>
        <v>0</v>
      </c>
    </row>
    <row r="320" spans="1:31" x14ac:dyDescent="0.2">
      <c r="A320" s="3"/>
      <c r="B320" s="164"/>
      <c r="C320" s="22"/>
      <c r="D320" s="21"/>
      <c r="E320" s="23"/>
      <c r="F320" s="10"/>
      <c r="G320" s="5">
        <f t="shared" si="52"/>
        <v>314</v>
      </c>
      <c r="H320" s="7">
        <f t="shared" si="53"/>
        <v>107</v>
      </c>
      <c r="I320" s="8">
        <f t="shared" si="48"/>
        <v>2035</v>
      </c>
      <c r="J320" s="31">
        <f>IF(K320=0,"",IF(_ijour12=0,MIN(DATE(YEAR(_debamort12),MONTH(_debamort12)+_MoisD+(G320-1)*_imois12,_jour212),DATE(YEAR(_debamort12),MONTH(_debamort12)+_MoisD+1+(G320-1)*_imois12,0)),DATE(YEAR(_debamort12),MONTH(_debamort12),_jour12+(G320-1)*_ijour12)))</f>
        <v>49341</v>
      </c>
      <c r="K320" s="156">
        <f t="shared" si="54"/>
        <v>59798.940000000031</v>
      </c>
      <c r="L320" s="153">
        <f>IF(G320&lt;=_noeechmaxi1,ROUND(K320*'Données Projet 1 (2)'!A329,_nbdeci1t),0)</f>
        <v>92.69</v>
      </c>
      <c r="M320" s="152">
        <f>IF(OR(G320&lt;=_differe1t,G320&gt;_noeechmaxi1),IF(_difftotal1t,-L320,0),IF(G320&gt;=_noechremb1t,K320,IF('Données Projet 1 (2)'!B329-(L320*_echfixe1t)&gt;K320-2,K320,'Données Projet 1 (2)'!B329-(L320*_echfixe1t))))+B320</f>
        <v>514.23</v>
      </c>
      <c r="N320" s="154">
        <f t="shared" si="55"/>
        <v>15.6</v>
      </c>
      <c r="O320" s="157">
        <f t="shared" si="49"/>
        <v>622.5200000000001</v>
      </c>
      <c r="Q320" s="3"/>
      <c r="R320" s="164"/>
      <c r="S320" s="22"/>
      <c r="T320" s="21"/>
      <c r="U320" s="23"/>
      <c r="V320" s="10"/>
      <c r="W320" s="5" t="str">
        <f t="shared" si="56"/>
        <v/>
      </c>
      <c r="X320" s="7" t="str">
        <f t="shared" si="57"/>
        <v/>
      </c>
      <c r="Y320" s="8" t="str">
        <f t="shared" si="50"/>
        <v/>
      </c>
      <c r="Z320" s="31" t="str">
        <f>IF(AA320=0,"",IF(_ijour122=0,MIN(DATE(YEAR(_debamort122),MONTH(_debamort122)+_moisd12+(W320-1)*_imois122,__jou21),DATE(YEAR(_debamort122),MONTH(_debamort122)+_moisd12+1+(W320-1)*_imois122,0)),DATE(YEAR(_debamort122),MONTH(_debamort122),__jou123+(W320-1)*_ijour122)))</f>
        <v/>
      </c>
      <c r="AA320" s="156">
        <f t="shared" si="58"/>
        <v>0</v>
      </c>
      <c r="AB320" s="153">
        <f>IF(W320&lt;=_noechmaxi1t,ROUND(AA320*'Données Projet 1 (2)'!H329,_nbdeci1t1),0)</f>
        <v>0</v>
      </c>
      <c r="AC320" s="152">
        <f>IF(OR(W320&lt;=_differe1t1t,W320&gt;_noechmaxi1t),IF(_difftotal1t1t,-AB320,0),IF(W320&gt;=_noechremb12,AA320,IF('Données Projet 1 (2)'!I329-(AB320*_echfixe12)&gt;AA320-2,AA320,'Données Projet 1 (2)'!I329-(AB320*_echfixe12))))+R320</f>
        <v>0</v>
      </c>
      <c r="AD320" s="154">
        <f t="shared" si="59"/>
        <v>0</v>
      </c>
      <c r="AE320" s="157">
        <f t="shared" si="51"/>
        <v>0</v>
      </c>
    </row>
    <row r="321" spans="1:31" x14ac:dyDescent="0.2">
      <c r="A321" s="3"/>
      <c r="B321" s="164"/>
      <c r="C321" s="22"/>
      <c r="D321" s="21"/>
      <c r="E321" s="23"/>
      <c r="F321" s="10"/>
      <c r="G321" s="5">
        <f t="shared" si="52"/>
        <v>315</v>
      </c>
      <c r="H321" s="7">
        <f t="shared" si="53"/>
        <v>106</v>
      </c>
      <c r="I321" s="8">
        <f t="shared" si="48"/>
        <v>2035</v>
      </c>
      <c r="J321" s="31">
        <f>IF(K321=0,"",IF(_ijour12=0,MIN(DATE(YEAR(_debamort12),MONTH(_debamort12)+(G321-1)*_imois12,_jour12),DATE(YEAR(_debamort12),MONTH(_debamort12)+1+(G321-1)*_imois12,0)),DATE(YEAR(_debamort12),MONTH(_debamort12),_jour12+(G321-1)*_ijour12)))</f>
        <v>49369</v>
      </c>
      <c r="K321" s="156">
        <f t="shared" si="54"/>
        <v>59284.710000000028</v>
      </c>
      <c r="L321" s="153">
        <f>IF(G321&lt;=_noeechmaxi1,ROUND(K321*'Données Projet 1 (2)'!A330,_nbdeci1t),0)</f>
        <v>91.89</v>
      </c>
      <c r="M321" s="152">
        <f>IF(OR(G321&lt;=_differe1t,G321&gt;_noeechmaxi1),IF(_difftotal1t,-L321,0),IF(G321&gt;=_noechremb1t,K321,IF('Données Projet 1 (2)'!B330-(L321*_echfixe1t)&gt;K321-2,K321,'Données Projet 1 (2)'!B330-(L321*_echfixe1t))))+B321</f>
        <v>515.03</v>
      </c>
      <c r="N321" s="154">
        <f t="shared" si="55"/>
        <v>15.6</v>
      </c>
      <c r="O321" s="157">
        <f t="shared" si="49"/>
        <v>622.52</v>
      </c>
      <c r="Q321" s="3"/>
      <c r="R321" s="164"/>
      <c r="S321" s="22"/>
      <c r="T321" s="21"/>
      <c r="U321" s="23"/>
      <c r="V321" s="10"/>
      <c r="W321" s="5" t="str">
        <f t="shared" si="56"/>
        <v/>
      </c>
      <c r="X321" s="7" t="str">
        <f t="shared" si="57"/>
        <v/>
      </c>
      <c r="Y321" s="8" t="str">
        <f t="shared" si="50"/>
        <v/>
      </c>
      <c r="Z321" s="31" t="str">
        <f>IF(AA321=0,"",IF(_ijour122=0,MIN(DATE(YEAR(_debamort122),MONTH(_debamort122)+(W321-1)*_imois122,__jou123),DATE(YEAR(_debamort122),MONTH(_debamort122)+1+(W321-1)*_imois122,0)),DATE(YEAR(_debamort122),MONTH(_debamort122),__jou123+(W321-1)*_ijour122)))</f>
        <v/>
      </c>
      <c r="AA321" s="156">
        <f t="shared" si="58"/>
        <v>0</v>
      </c>
      <c r="AB321" s="153">
        <f>IF(W321&lt;=_noechmaxi1t,ROUND(AA321*'Données Projet 1 (2)'!H330,_nbdeci1t1),0)</f>
        <v>0</v>
      </c>
      <c r="AC321" s="152">
        <f>IF(OR(W321&lt;=_differe1t1t,W321&gt;_noechmaxi1t),IF(_difftotal1t1t,-AB321,0),IF(W321&gt;=_noechremb12,AA321,IF('Données Projet 1 (2)'!I330-(AB321*_echfixe12)&gt;AA321-2,AA321,'Données Projet 1 (2)'!I330-(AB321*_echfixe12))))+R321</f>
        <v>0</v>
      </c>
      <c r="AD321" s="154">
        <f t="shared" si="59"/>
        <v>0</v>
      </c>
      <c r="AE321" s="157">
        <f t="shared" si="51"/>
        <v>0</v>
      </c>
    </row>
    <row r="322" spans="1:31" x14ac:dyDescent="0.2">
      <c r="A322" s="3"/>
      <c r="B322" s="164"/>
      <c r="C322" s="22"/>
      <c r="D322" s="21"/>
      <c r="E322" s="23"/>
      <c r="F322" s="10"/>
      <c r="G322" s="5">
        <f t="shared" si="52"/>
        <v>316</v>
      </c>
      <c r="H322" s="7">
        <f t="shared" si="53"/>
        <v>105</v>
      </c>
      <c r="I322" s="8">
        <f t="shared" si="48"/>
        <v>2035</v>
      </c>
      <c r="J322" s="31">
        <f>IF(K322=0,"",IF(_ijour12=0,MIN(DATE(YEAR(_debamort12),MONTH(_debamort12)+_MoisD+(G322-1)*_imois12,_jour212),DATE(YEAR(_debamort12),MONTH(_debamort12)+_MoisD+1+(G322-1)*_imois12,0)),DATE(YEAR(_debamort12),MONTH(_debamort12),_jour12+(G322-1)*_ijour12)))</f>
        <v>49400</v>
      </c>
      <c r="K322" s="156">
        <f t="shared" si="54"/>
        <v>58769.680000000029</v>
      </c>
      <c r="L322" s="153">
        <f>IF(G322&lt;=_noeechmaxi1,ROUND(K322*'Données Projet 1 (2)'!A331,_nbdeci1t),0)</f>
        <v>91.09</v>
      </c>
      <c r="M322" s="152">
        <f>IF(OR(G322&lt;=_differe1t,G322&gt;_noeechmaxi1),IF(_difftotal1t,-L322,0),IF(G322&gt;=_noechremb1t,K322,IF('Données Projet 1 (2)'!B331-(L322*_echfixe1t)&gt;K322-2,K322,'Données Projet 1 (2)'!B331-(L322*_echfixe1t))))+B322</f>
        <v>515.82999999999993</v>
      </c>
      <c r="N322" s="154">
        <f t="shared" si="55"/>
        <v>15.6</v>
      </c>
      <c r="O322" s="157">
        <f t="shared" si="49"/>
        <v>622.52</v>
      </c>
      <c r="Q322" s="3"/>
      <c r="R322" s="164"/>
      <c r="S322" s="22"/>
      <c r="T322" s="21"/>
      <c r="U322" s="23"/>
      <c r="V322" s="10"/>
      <c r="W322" s="5" t="str">
        <f t="shared" si="56"/>
        <v/>
      </c>
      <c r="X322" s="7" t="str">
        <f t="shared" si="57"/>
        <v/>
      </c>
      <c r="Y322" s="8" t="str">
        <f t="shared" si="50"/>
        <v/>
      </c>
      <c r="Z322" s="31" t="str">
        <f>IF(AA322=0,"",IF(_ijour122=0,MIN(DATE(YEAR(_debamort122),MONTH(_debamort122)+_moisd12+(W322-1)*_imois122,__jou21),DATE(YEAR(_debamort122),MONTH(_debamort122)+_moisd12+1+(W322-1)*_imois122,0)),DATE(YEAR(_debamort122),MONTH(_debamort122),__jou123+(W322-1)*_ijour122)))</f>
        <v/>
      </c>
      <c r="AA322" s="156">
        <f t="shared" si="58"/>
        <v>0</v>
      </c>
      <c r="AB322" s="153">
        <f>IF(W322&lt;=_noechmaxi1t,ROUND(AA322*'Données Projet 1 (2)'!H331,_nbdeci1t1),0)</f>
        <v>0</v>
      </c>
      <c r="AC322" s="152">
        <f>IF(OR(W322&lt;=_differe1t1t,W322&gt;_noechmaxi1t),IF(_difftotal1t1t,-AB322,0),IF(W322&gt;=_noechremb12,AA322,IF('Données Projet 1 (2)'!I331-(AB322*_echfixe12)&gt;AA322-2,AA322,'Données Projet 1 (2)'!I331-(AB322*_echfixe12))))+R322</f>
        <v>0</v>
      </c>
      <c r="AD322" s="154">
        <f t="shared" si="59"/>
        <v>0</v>
      </c>
      <c r="AE322" s="157">
        <f t="shared" si="51"/>
        <v>0</v>
      </c>
    </row>
    <row r="323" spans="1:31" x14ac:dyDescent="0.2">
      <c r="A323" s="3"/>
      <c r="B323" s="164"/>
      <c r="C323" s="22"/>
      <c r="D323" s="21"/>
      <c r="E323" s="23"/>
      <c r="F323" s="10"/>
      <c r="G323" s="5">
        <f t="shared" si="52"/>
        <v>317</v>
      </c>
      <c r="H323" s="7">
        <f t="shared" si="53"/>
        <v>104</v>
      </c>
      <c r="I323" s="8">
        <f t="shared" si="48"/>
        <v>2035</v>
      </c>
      <c r="J323" s="31">
        <f>IF(K323=0,"",IF(_ijour12=0,MIN(DATE(YEAR(_debamort12),MONTH(_debamort12)+(G323-1)*_imois12,_jour12),DATE(YEAR(_debamort12),MONTH(_debamort12)+1+(G323-1)*_imois12,0)),DATE(YEAR(_debamort12),MONTH(_debamort12),_jour12+(G323-1)*_ijour12)))</f>
        <v>49430</v>
      </c>
      <c r="K323" s="156">
        <f t="shared" si="54"/>
        <v>58253.850000000028</v>
      </c>
      <c r="L323" s="153">
        <f>IF(G323&lt;=_noeechmaxi1,ROUND(K323*'Données Projet 1 (2)'!A332,_nbdeci1t),0)</f>
        <v>90.29</v>
      </c>
      <c r="M323" s="152">
        <f>IF(OR(G323&lt;=_differe1t,G323&gt;_noeechmaxi1),IF(_difftotal1t,-L323,0),IF(G323&gt;=_noechremb1t,K323,IF('Données Projet 1 (2)'!B332-(L323*_echfixe1t)&gt;K323-2,K323,'Données Projet 1 (2)'!B332-(L323*_echfixe1t))))+B323</f>
        <v>516.63</v>
      </c>
      <c r="N323" s="154">
        <f t="shared" si="55"/>
        <v>15.6</v>
      </c>
      <c r="O323" s="157">
        <f t="shared" si="49"/>
        <v>622.52</v>
      </c>
      <c r="Q323" s="3"/>
      <c r="R323" s="164"/>
      <c r="S323" s="22"/>
      <c r="T323" s="21"/>
      <c r="U323" s="23"/>
      <c r="V323" s="10"/>
      <c r="W323" s="5" t="str">
        <f t="shared" si="56"/>
        <v/>
      </c>
      <c r="X323" s="7" t="str">
        <f t="shared" si="57"/>
        <v/>
      </c>
      <c r="Y323" s="8" t="str">
        <f t="shared" si="50"/>
        <v/>
      </c>
      <c r="Z323" s="31" t="str">
        <f>IF(AA323=0,"",IF(_ijour122=0,MIN(DATE(YEAR(_debamort122),MONTH(_debamort122)+(W323-1)*_imois122,__jou123),DATE(YEAR(_debamort122),MONTH(_debamort122)+1+(W323-1)*_imois122,0)),DATE(YEAR(_debamort122),MONTH(_debamort122),__jou123+(W323-1)*_ijour122)))</f>
        <v/>
      </c>
      <c r="AA323" s="156">
        <f t="shared" si="58"/>
        <v>0</v>
      </c>
      <c r="AB323" s="153">
        <f>IF(W323&lt;=_noechmaxi1t,ROUND(AA323*'Données Projet 1 (2)'!H332,_nbdeci1t1),0)</f>
        <v>0</v>
      </c>
      <c r="AC323" s="152">
        <f>IF(OR(W323&lt;=_differe1t1t,W323&gt;_noechmaxi1t),IF(_difftotal1t1t,-AB323,0),IF(W323&gt;=_noechremb12,AA323,IF('Données Projet 1 (2)'!I332-(AB323*_echfixe12)&gt;AA323-2,AA323,'Données Projet 1 (2)'!I332-(AB323*_echfixe12))))+R323</f>
        <v>0</v>
      </c>
      <c r="AD323" s="154">
        <f t="shared" si="59"/>
        <v>0</v>
      </c>
      <c r="AE323" s="157">
        <f t="shared" si="51"/>
        <v>0</v>
      </c>
    </row>
    <row r="324" spans="1:31" x14ac:dyDescent="0.2">
      <c r="A324" s="3"/>
      <c r="B324" s="164"/>
      <c r="C324" s="22"/>
      <c r="D324" s="21"/>
      <c r="E324" s="23"/>
      <c r="F324" s="10"/>
      <c r="G324" s="5">
        <f t="shared" si="52"/>
        <v>318</v>
      </c>
      <c r="H324" s="7">
        <f t="shared" si="53"/>
        <v>103</v>
      </c>
      <c r="I324" s="8">
        <f t="shared" si="48"/>
        <v>2035</v>
      </c>
      <c r="J324" s="31">
        <f>IF(K324=0,"",IF(_ijour12=0,MIN(DATE(YEAR(_debamort12),MONTH(_debamort12)+_MoisD+(G324-1)*_imois12,_jour212),DATE(YEAR(_debamort12),MONTH(_debamort12)+_MoisD+1+(G324-1)*_imois12,0)),DATE(YEAR(_debamort12),MONTH(_debamort12),_jour12+(G324-1)*_ijour12)))</f>
        <v>49461</v>
      </c>
      <c r="K324" s="156">
        <f t="shared" si="54"/>
        <v>57737.22000000003</v>
      </c>
      <c r="L324" s="153">
        <f>IF(G324&lt;=_noeechmaxi1,ROUND(K324*'Données Projet 1 (2)'!A333,_nbdeci1t),0)</f>
        <v>89.49</v>
      </c>
      <c r="M324" s="152">
        <f>IF(OR(G324&lt;=_differe1t,G324&gt;_noeechmaxi1),IF(_difftotal1t,-L324,0),IF(G324&gt;=_noechremb1t,K324,IF('Données Projet 1 (2)'!B333-(L324*_echfixe1t)&gt;K324-2,K324,'Données Projet 1 (2)'!B333-(L324*_echfixe1t))))+B324</f>
        <v>517.42999999999995</v>
      </c>
      <c r="N324" s="154">
        <f t="shared" si="55"/>
        <v>15.6</v>
      </c>
      <c r="O324" s="157">
        <f t="shared" si="49"/>
        <v>622.52</v>
      </c>
      <c r="Q324" s="3"/>
      <c r="R324" s="164"/>
      <c r="S324" s="22"/>
      <c r="T324" s="21"/>
      <c r="U324" s="23"/>
      <c r="V324" s="10"/>
      <c r="W324" s="5" t="str">
        <f t="shared" si="56"/>
        <v/>
      </c>
      <c r="X324" s="7" t="str">
        <f t="shared" si="57"/>
        <v/>
      </c>
      <c r="Y324" s="8" t="str">
        <f t="shared" si="50"/>
        <v/>
      </c>
      <c r="Z324" s="31" t="str">
        <f>IF(AA324=0,"",IF(_ijour122=0,MIN(DATE(YEAR(_debamort122),MONTH(_debamort122)+_moisd12+(W324-1)*_imois122,__jou21),DATE(YEAR(_debamort122),MONTH(_debamort122)+_moisd12+1+(W324-1)*_imois122,0)),DATE(YEAR(_debamort122),MONTH(_debamort122),__jou123+(W324-1)*_ijour122)))</f>
        <v/>
      </c>
      <c r="AA324" s="156">
        <f t="shared" si="58"/>
        <v>0</v>
      </c>
      <c r="AB324" s="153">
        <f>IF(W324&lt;=_noechmaxi1t,ROUND(AA324*'Données Projet 1 (2)'!H333,_nbdeci1t1),0)</f>
        <v>0</v>
      </c>
      <c r="AC324" s="152">
        <f>IF(OR(W324&lt;=_differe1t1t,W324&gt;_noechmaxi1t),IF(_difftotal1t1t,-AB324,0),IF(W324&gt;=_noechremb12,AA324,IF('Données Projet 1 (2)'!I333-(AB324*_echfixe12)&gt;AA324-2,AA324,'Données Projet 1 (2)'!I333-(AB324*_echfixe12))))+R324</f>
        <v>0</v>
      </c>
      <c r="AD324" s="154">
        <f t="shared" si="59"/>
        <v>0</v>
      </c>
      <c r="AE324" s="157">
        <f t="shared" si="51"/>
        <v>0</v>
      </c>
    </row>
    <row r="325" spans="1:31" x14ac:dyDescent="0.2">
      <c r="A325" s="3"/>
      <c r="B325" s="164"/>
      <c r="C325" s="22"/>
      <c r="D325" s="21"/>
      <c r="E325" s="23"/>
      <c r="F325" s="10"/>
      <c r="G325" s="5">
        <f t="shared" si="52"/>
        <v>319</v>
      </c>
      <c r="H325" s="7">
        <f t="shared" si="53"/>
        <v>102</v>
      </c>
      <c r="I325" s="8">
        <f t="shared" si="48"/>
        <v>2035</v>
      </c>
      <c r="J325" s="31">
        <f>IF(K325=0,"",IF(_ijour12=0,MIN(DATE(YEAR(_debamort12),MONTH(_debamort12)+(G325-1)*_imois12,_jour12),DATE(YEAR(_debamort12),MONTH(_debamort12)+1+(G325-1)*_imois12,0)),DATE(YEAR(_debamort12),MONTH(_debamort12),_jour12+(G325-1)*_ijour12)))</f>
        <v>49491</v>
      </c>
      <c r="K325" s="156">
        <f t="shared" si="54"/>
        <v>57219.79000000003</v>
      </c>
      <c r="L325" s="153">
        <f>IF(G325&lt;=_noeechmaxi1,ROUND(K325*'Données Projet 1 (2)'!A334,_nbdeci1t),0)</f>
        <v>88.69</v>
      </c>
      <c r="M325" s="152">
        <f>IF(OR(G325&lt;=_differe1t,G325&gt;_noeechmaxi1),IF(_difftotal1t,-L325,0),IF(G325&gt;=_noechremb1t,K325,IF('Données Projet 1 (2)'!B334-(L325*_echfixe1t)&gt;K325-2,K325,'Données Projet 1 (2)'!B334-(L325*_echfixe1t))))+B325</f>
        <v>518.23</v>
      </c>
      <c r="N325" s="154">
        <f t="shared" si="55"/>
        <v>15.6</v>
      </c>
      <c r="O325" s="157">
        <f t="shared" si="49"/>
        <v>622.5200000000001</v>
      </c>
      <c r="Q325" s="3"/>
      <c r="R325" s="164"/>
      <c r="S325" s="22"/>
      <c r="T325" s="21"/>
      <c r="U325" s="23"/>
      <c r="V325" s="10"/>
      <c r="W325" s="5" t="str">
        <f t="shared" si="56"/>
        <v/>
      </c>
      <c r="X325" s="7" t="str">
        <f t="shared" si="57"/>
        <v/>
      </c>
      <c r="Y325" s="8" t="str">
        <f t="shared" si="50"/>
        <v/>
      </c>
      <c r="Z325" s="31" t="str">
        <f>IF(AA325=0,"",IF(_ijour122=0,MIN(DATE(YEAR(_debamort122),MONTH(_debamort122)+(W325-1)*_imois122,__jou123),DATE(YEAR(_debamort122),MONTH(_debamort122)+1+(W325-1)*_imois122,0)),DATE(YEAR(_debamort122),MONTH(_debamort122),__jou123+(W325-1)*_ijour122)))</f>
        <v/>
      </c>
      <c r="AA325" s="156">
        <f t="shared" si="58"/>
        <v>0</v>
      </c>
      <c r="AB325" s="153">
        <f>IF(W325&lt;=_noechmaxi1t,ROUND(AA325*'Données Projet 1 (2)'!H334,_nbdeci1t1),0)</f>
        <v>0</v>
      </c>
      <c r="AC325" s="152">
        <f>IF(OR(W325&lt;=_differe1t1t,W325&gt;_noechmaxi1t),IF(_difftotal1t1t,-AB325,0),IF(W325&gt;=_noechremb12,AA325,IF('Données Projet 1 (2)'!I334-(AB325*_echfixe12)&gt;AA325-2,AA325,'Données Projet 1 (2)'!I334-(AB325*_echfixe12))))+R325</f>
        <v>0</v>
      </c>
      <c r="AD325" s="154">
        <f t="shared" si="59"/>
        <v>0</v>
      </c>
      <c r="AE325" s="157">
        <f t="shared" si="51"/>
        <v>0</v>
      </c>
    </row>
    <row r="326" spans="1:31" x14ac:dyDescent="0.2">
      <c r="A326" s="3"/>
      <c r="B326" s="164"/>
      <c r="C326" s="22"/>
      <c r="D326" s="21"/>
      <c r="E326" s="23"/>
      <c r="F326" s="10"/>
      <c r="G326" s="5">
        <f t="shared" si="52"/>
        <v>320</v>
      </c>
      <c r="H326" s="7">
        <f t="shared" si="53"/>
        <v>101</v>
      </c>
      <c r="I326" s="8">
        <f t="shared" ref="I326:I389" si="60">IF(ISNUMBER(J326),YEAR(J326),"")</f>
        <v>2035</v>
      </c>
      <c r="J326" s="31">
        <f>IF(K326=0,"",IF(_ijour12=0,MIN(DATE(YEAR(_debamort12),MONTH(_debamort12)+_MoisD+(G326-1)*_imois12,_jour212),DATE(YEAR(_debamort12),MONTH(_debamort12)+_MoisD+1+(G326-1)*_imois12,0)),DATE(YEAR(_debamort12),MONTH(_debamort12),_jour12+(G326-1)*_ijour12)))</f>
        <v>49522</v>
      </c>
      <c r="K326" s="156">
        <f t="shared" si="54"/>
        <v>56701.560000000027</v>
      </c>
      <c r="L326" s="153">
        <f>IF(G326&lt;=_noeechmaxi1,ROUND(K326*'Données Projet 1 (2)'!A335,_nbdeci1t),0)</f>
        <v>87.89</v>
      </c>
      <c r="M326" s="152">
        <f>IF(OR(G326&lt;=_differe1t,G326&gt;_noeechmaxi1),IF(_difftotal1t,-L326,0),IF(G326&gt;=_noechremb1t,K326,IF('Données Projet 1 (2)'!B335-(L326*_echfixe1t)&gt;K326-2,K326,'Données Projet 1 (2)'!B335-(L326*_echfixe1t))))+B326</f>
        <v>519.03</v>
      </c>
      <c r="N326" s="154">
        <f t="shared" si="55"/>
        <v>15.6</v>
      </c>
      <c r="O326" s="157">
        <f t="shared" ref="O326:O389" si="61">SUM(L326:N326)</f>
        <v>622.52</v>
      </c>
      <c r="Q326" s="3"/>
      <c r="R326" s="164"/>
      <c r="S326" s="22"/>
      <c r="T326" s="21"/>
      <c r="U326" s="23"/>
      <c r="V326" s="10"/>
      <c r="W326" s="5" t="str">
        <f t="shared" si="56"/>
        <v/>
      </c>
      <c r="X326" s="7" t="str">
        <f t="shared" si="57"/>
        <v/>
      </c>
      <c r="Y326" s="8" t="str">
        <f t="shared" ref="Y326:Y389" si="62">IF(ISNUMBER(Z326),YEAR(Z326),"")</f>
        <v/>
      </c>
      <c r="Z326" s="31" t="str">
        <f>IF(AA326=0,"",IF(_ijour122=0,MIN(DATE(YEAR(_debamort122),MONTH(_debamort122)+_moisd12+(W326-1)*_imois122,__jou21),DATE(YEAR(_debamort122),MONTH(_debamort122)+_moisd12+1+(W326-1)*_imois122,0)),DATE(YEAR(_debamort122),MONTH(_debamort122),__jou123+(W326-1)*_ijour122)))</f>
        <v/>
      </c>
      <c r="AA326" s="156">
        <f t="shared" si="58"/>
        <v>0</v>
      </c>
      <c r="AB326" s="153">
        <f>IF(W326&lt;=_noechmaxi1t,ROUND(AA326*'Données Projet 1 (2)'!H335,_nbdeci1t1),0)</f>
        <v>0</v>
      </c>
      <c r="AC326" s="152">
        <f>IF(OR(W326&lt;=_differe1t1t,W326&gt;_noechmaxi1t),IF(_difftotal1t1t,-AB326,0),IF(W326&gt;=_noechremb12,AA326,IF('Données Projet 1 (2)'!I335-(AB326*_echfixe12)&gt;AA326-2,AA326,'Données Projet 1 (2)'!I335-(AB326*_echfixe12))))+R326</f>
        <v>0</v>
      </c>
      <c r="AD326" s="154">
        <f t="shared" si="59"/>
        <v>0</v>
      </c>
      <c r="AE326" s="157">
        <f t="shared" ref="AE326:AE389" si="63">SUM(AB326:AD326)</f>
        <v>0</v>
      </c>
    </row>
    <row r="327" spans="1:31" x14ac:dyDescent="0.2">
      <c r="A327" s="3"/>
      <c r="B327" s="164"/>
      <c r="C327" s="22"/>
      <c r="D327" s="21"/>
      <c r="E327" s="23"/>
      <c r="F327" s="10"/>
      <c r="G327" s="5">
        <f t="shared" ref="G327:G390" si="64">IF(K327=0,"",G326+1)</f>
        <v>321</v>
      </c>
      <c r="H327" s="7">
        <f t="shared" ref="H327:H390" si="65">IF(K327&gt;0,_nbech123+_differe1t+1-G327,"")</f>
        <v>100</v>
      </c>
      <c r="I327" s="8">
        <f t="shared" si="60"/>
        <v>2035</v>
      </c>
      <c r="J327" s="31">
        <f>IF(K327=0,"",IF(_ijour12=0,MIN(DATE(YEAR(_debamort12),MONTH(_debamort12)+(G327-1)*_imois12,_jour12),DATE(YEAR(_debamort12),MONTH(_debamort12)+1+(G327-1)*_imois12,0)),DATE(YEAR(_debamort12),MONTH(_debamort12),_jour12+(G327-1)*_ijour12)))</f>
        <v>49553</v>
      </c>
      <c r="K327" s="156">
        <f t="shared" ref="K327:K390" si="66">K326-M326</f>
        <v>56182.530000000028</v>
      </c>
      <c r="L327" s="153">
        <f>IF(G327&lt;=_noeechmaxi1,ROUND(K327*'Données Projet 1 (2)'!A336,_nbdeci1t),0)</f>
        <v>87.08</v>
      </c>
      <c r="M327" s="152">
        <f>IF(OR(G327&lt;=_differe1t,G327&gt;_noeechmaxi1),IF(_difftotal1t,-L327,0),IF(G327&gt;=_noechremb1t,K327,IF('Données Projet 1 (2)'!B336-(L327*_echfixe1t)&gt;K327-2,K327,'Données Projet 1 (2)'!B336-(L327*_echfixe1t))))+B327</f>
        <v>519.83999999999992</v>
      </c>
      <c r="N327" s="154">
        <f t="shared" ref="N327:N390" si="67">IF(OR(K327=0,G327&gt;_noeechmaxi1),0,ROUND(_fraisf12+_fraisv12*K327,_nbdeci1t))+E327</f>
        <v>15.6</v>
      </c>
      <c r="O327" s="157">
        <f t="shared" si="61"/>
        <v>622.52</v>
      </c>
      <c r="Q327" s="3"/>
      <c r="R327" s="164"/>
      <c r="S327" s="22"/>
      <c r="T327" s="21"/>
      <c r="U327" s="23"/>
      <c r="V327" s="10"/>
      <c r="W327" s="5" t="str">
        <f t="shared" ref="W327:W390" si="68">IF(AA327=0,"",W326+1)</f>
        <v/>
      </c>
      <c r="X327" s="7" t="str">
        <f t="shared" ref="X327:X390" si="69">IF(AA327&gt;0,_nbech1234+_differe1t1t+1-W327,"")</f>
        <v/>
      </c>
      <c r="Y327" s="8" t="str">
        <f t="shared" si="62"/>
        <v/>
      </c>
      <c r="Z327" s="31" t="str">
        <f>IF(AA327=0,"",IF(_ijour122=0,MIN(DATE(YEAR(_debamort122),MONTH(_debamort122)+(W327-1)*_imois122,__jou123),DATE(YEAR(_debamort122),MONTH(_debamort122)+1+(W327-1)*_imois122,0)),DATE(YEAR(_debamort122),MONTH(_debamort122),__jou123+(W327-1)*_ijour122)))</f>
        <v/>
      </c>
      <c r="AA327" s="156">
        <f t="shared" ref="AA327:AA390" si="70">AA326-AC326</f>
        <v>0</v>
      </c>
      <c r="AB327" s="153">
        <f>IF(W327&lt;=_noechmaxi1t,ROUND(AA327*'Données Projet 1 (2)'!H336,_nbdeci1t1),0)</f>
        <v>0</v>
      </c>
      <c r="AC327" s="152">
        <f>IF(OR(W327&lt;=_differe1t1t,W327&gt;_noechmaxi1t),IF(_difftotal1t1t,-AB327,0),IF(W327&gt;=_noechremb12,AA327,IF('Données Projet 1 (2)'!I336-(AB327*_echfixe12)&gt;AA327-2,AA327,'Données Projet 1 (2)'!I336-(AB327*_echfixe12))))+R327</f>
        <v>0</v>
      </c>
      <c r="AD327" s="154">
        <f t="shared" ref="AD327:AD390" si="71">IF(OR(AA327=0,W327&gt;_noechmaxi1t),0,ROUND(_fraisf123+_fraisv123*AA327,_nbdeci1t1))+U327</f>
        <v>0</v>
      </c>
      <c r="AE327" s="157">
        <f t="shared" si="63"/>
        <v>0</v>
      </c>
    </row>
    <row r="328" spans="1:31" x14ac:dyDescent="0.2">
      <c r="A328" s="3"/>
      <c r="B328" s="164"/>
      <c r="C328" s="22"/>
      <c r="D328" s="21"/>
      <c r="E328" s="23"/>
      <c r="F328" s="10"/>
      <c r="G328" s="5">
        <f t="shared" si="64"/>
        <v>322</v>
      </c>
      <c r="H328" s="7">
        <f t="shared" si="65"/>
        <v>99</v>
      </c>
      <c r="I328" s="8">
        <f t="shared" si="60"/>
        <v>2035</v>
      </c>
      <c r="J328" s="31">
        <f>IF(K328=0,"",IF(_ijour12=0,MIN(DATE(YEAR(_debamort12),MONTH(_debamort12)+_MoisD+(G328-1)*_imois12,_jour212),DATE(YEAR(_debamort12),MONTH(_debamort12)+_MoisD+1+(G328-1)*_imois12,0)),DATE(YEAR(_debamort12),MONTH(_debamort12),_jour12+(G328-1)*_ijour12)))</f>
        <v>49583</v>
      </c>
      <c r="K328" s="156">
        <f t="shared" si="66"/>
        <v>55662.690000000031</v>
      </c>
      <c r="L328" s="153">
        <f>IF(G328&lt;=_noeechmaxi1,ROUND(K328*'Données Projet 1 (2)'!A337,_nbdeci1t),0)</f>
        <v>86.28</v>
      </c>
      <c r="M328" s="152">
        <f>IF(OR(G328&lt;=_differe1t,G328&gt;_noeechmaxi1),IF(_difftotal1t,-L328,0),IF(G328&gt;=_noechremb1t,K328,IF('Données Projet 1 (2)'!B337-(L328*_echfixe1t)&gt;K328-2,K328,'Données Projet 1 (2)'!B337-(L328*_echfixe1t))))+B328</f>
        <v>520.64</v>
      </c>
      <c r="N328" s="154">
        <f t="shared" si="67"/>
        <v>15.6</v>
      </c>
      <c r="O328" s="157">
        <f t="shared" si="61"/>
        <v>622.52</v>
      </c>
      <c r="Q328" s="3"/>
      <c r="R328" s="164"/>
      <c r="S328" s="22"/>
      <c r="T328" s="21"/>
      <c r="U328" s="23"/>
      <c r="V328" s="10"/>
      <c r="W328" s="5" t="str">
        <f t="shared" si="68"/>
        <v/>
      </c>
      <c r="X328" s="7" t="str">
        <f t="shared" si="69"/>
        <v/>
      </c>
      <c r="Y328" s="8" t="str">
        <f t="shared" si="62"/>
        <v/>
      </c>
      <c r="Z328" s="31" t="str">
        <f>IF(AA328=0,"",IF(_ijour122=0,MIN(DATE(YEAR(_debamort122),MONTH(_debamort122)+_moisd12+(W328-1)*_imois122,__jou21),DATE(YEAR(_debamort122),MONTH(_debamort122)+_moisd12+1+(W328-1)*_imois122,0)),DATE(YEAR(_debamort122),MONTH(_debamort122),__jou123+(W328-1)*_ijour122)))</f>
        <v/>
      </c>
      <c r="AA328" s="156">
        <f t="shared" si="70"/>
        <v>0</v>
      </c>
      <c r="AB328" s="153">
        <f>IF(W328&lt;=_noechmaxi1t,ROUND(AA328*'Données Projet 1 (2)'!H337,_nbdeci1t1),0)</f>
        <v>0</v>
      </c>
      <c r="AC328" s="152">
        <f>IF(OR(W328&lt;=_differe1t1t,W328&gt;_noechmaxi1t),IF(_difftotal1t1t,-AB328,0),IF(W328&gt;=_noechremb12,AA328,IF('Données Projet 1 (2)'!I337-(AB328*_echfixe12)&gt;AA328-2,AA328,'Données Projet 1 (2)'!I337-(AB328*_echfixe12))))+R328</f>
        <v>0</v>
      </c>
      <c r="AD328" s="154">
        <f t="shared" si="71"/>
        <v>0</v>
      </c>
      <c r="AE328" s="157">
        <f t="shared" si="63"/>
        <v>0</v>
      </c>
    </row>
    <row r="329" spans="1:31" x14ac:dyDescent="0.2">
      <c r="A329" s="3"/>
      <c r="B329" s="164"/>
      <c r="C329" s="22"/>
      <c r="D329" s="21"/>
      <c r="E329" s="23"/>
      <c r="F329" s="10"/>
      <c r="G329" s="5">
        <f t="shared" si="64"/>
        <v>323</v>
      </c>
      <c r="H329" s="7">
        <f t="shared" si="65"/>
        <v>98</v>
      </c>
      <c r="I329" s="8">
        <f t="shared" si="60"/>
        <v>2035</v>
      </c>
      <c r="J329" s="31">
        <f>IF(K329=0,"",IF(_ijour12=0,MIN(DATE(YEAR(_debamort12),MONTH(_debamort12)+(G329-1)*_imois12,_jour12),DATE(YEAR(_debamort12),MONTH(_debamort12)+1+(G329-1)*_imois12,0)),DATE(YEAR(_debamort12),MONTH(_debamort12),_jour12+(G329-1)*_ijour12)))</f>
        <v>49614</v>
      </c>
      <c r="K329" s="156">
        <f t="shared" si="66"/>
        <v>55142.050000000032</v>
      </c>
      <c r="L329" s="153">
        <f>IF(G329&lt;=_noeechmaxi1,ROUND(K329*'Données Projet 1 (2)'!A338,_nbdeci1t),0)</f>
        <v>85.47</v>
      </c>
      <c r="M329" s="152">
        <f>IF(OR(G329&lt;=_differe1t,G329&gt;_noeechmaxi1),IF(_difftotal1t,-L329,0),IF(G329&gt;=_noechremb1t,K329,IF('Données Projet 1 (2)'!B338-(L329*_echfixe1t)&gt;K329-2,K329,'Données Projet 1 (2)'!B338-(L329*_echfixe1t))))+B329</f>
        <v>521.44999999999993</v>
      </c>
      <c r="N329" s="154">
        <f t="shared" si="67"/>
        <v>15.6</v>
      </c>
      <c r="O329" s="157">
        <f t="shared" si="61"/>
        <v>622.52</v>
      </c>
      <c r="Q329" s="3"/>
      <c r="R329" s="164"/>
      <c r="S329" s="22"/>
      <c r="T329" s="21"/>
      <c r="U329" s="23"/>
      <c r="V329" s="10"/>
      <c r="W329" s="5" t="str">
        <f t="shared" si="68"/>
        <v/>
      </c>
      <c r="X329" s="7" t="str">
        <f t="shared" si="69"/>
        <v/>
      </c>
      <c r="Y329" s="8" t="str">
        <f t="shared" si="62"/>
        <v/>
      </c>
      <c r="Z329" s="31" t="str">
        <f>IF(AA329=0,"",IF(_ijour122=0,MIN(DATE(YEAR(_debamort122),MONTH(_debamort122)+(W329-1)*_imois122,__jou123),DATE(YEAR(_debamort122),MONTH(_debamort122)+1+(W329-1)*_imois122,0)),DATE(YEAR(_debamort122),MONTH(_debamort122),__jou123+(W329-1)*_ijour122)))</f>
        <v/>
      </c>
      <c r="AA329" s="156">
        <f t="shared" si="70"/>
        <v>0</v>
      </c>
      <c r="AB329" s="153">
        <f>IF(W329&lt;=_noechmaxi1t,ROUND(AA329*'Données Projet 1 (2)'!H338,_nbdeci1t1),0)</f>
        <v>0</v>
      </c>
      <c r="AC329" s="152">
        <f>IF(OR(W329&lt;=_differe1t1t,W329&gt;_noechmaxi1t),IF(_difftotal1t1t,-AB329,0),IF(W329&gt;=_noechremb12,AA329,IF('Données Projet 1 (2)'!I338-(AB329*_echfixe12)&gt;AA329-2,AA329,'Données Projet 1 (2)'!I338-(AB329*_echfixe12))))+R329</f>
        <v>0</v>
      </c>
      <c r="AD329" s="154">
        <f t="shared" si="71"/>
        <v>0</v>
      </c>
      <c r="AE329" s="157">
        <f t="shared" si="63"/>
        <v>0</v>
      </c>
    </row>
    <row r="330" spans="1:31" x14ac:dyDescent="0.2">
      <c r="A330" s="3"/>
      <c r="B330" s="164"/>
      <c r="C330" s="22"/>
      <c r="D330" s="21"/>
      <c r="E330" s="23"/>
      <c r="F330" s="10"/>
      <c r="G330" s="5">
        <f t="shared" si="64"/>
        <v>324</v>
      </c>
      <c r="H330" s="7">
        <f t="shared" si="65"/>
        <v>97</v>
      </c>
      <c r="I330" s="8">
        <f t="shared" si="60"/>
        <v>2035</v>
      </c>
      <c r="J330" s="31">
        <f>IF(K330=0,"",IF(_ijour12=0,MIN(DATE(YEAR(_debamort12),MONTH(_debamort12)+_MoisD+(G330-1)*_imois12,_jour212),DATE(YEAR(_debamort12),MONTH(_debamort12)+_MoisD+1+(G330-1)*_imois12,0)),DATE(YEAR(_debamort12),MONTH(_debamort12),_jour12+(G330-1)*_ijour12)))</f>
        <v>49644</v>
      </c>
      <c r="K330" s="156">
        <f t="shared" si="66"/>
        <v>54620.600000000035</v>
      </c>
      <c r="L330" s="153">
        <f>IF(G330&lt;=_noeechmaxi1,ROUND(K330*'Données Projet 1 (2)'!A339,_nbdeci1t),0)</f>
        <v>84.66</v>
      </c>
      <c r="M330" s="152">
        <f>IF(OR(G330&lt;=_differe1t,G330&gt;_noeechmaxi1),IF(_difftotal1t,-L330,0),IF(G330&gt;=_noechremb1t,K330,IF('Données Projet 1 (2)'!B339-(L330*_echfixe1t)&gt;K330-2,K330,'Données Projet 1 (2)'!B339-(L330*_echfixe1t))))+B330</f>
        <v>522.26</v>
      </c>
      <c r="N330" s="154">
        <f t="shared" si="67"/>
        <v>15.6</v>
      </c>
      <c r="O330" s="157">
        <f t="shared" si="61"/>
        <v>622.52</v>
      </c>
      <c r="Q330" s="3"/>
      <c r="R330" s="164"/>
      <c r="S330" s="22"/>
      <c r="T330" s="21"/>
      <c r="U330" s="23"/>
      <c r="V330" s="10"/>
      <c r="W330" s="5" t="str">
        <f t="shared" si="68"/>
        <v/>
      </c>
      <c r="X330" s="7" t="str">
        <f t="shared" si="69"/>
        <v/>
      </c>
      <c r="Y330" s="8" t="str">
        <f t="shared" si="62"/>
        <v/>
      </c>
      <c r="Z330" s="31" t="str">
        <f>IF(AA330=0,"",IF(_ijour122=0,MIN(DATE(YEAR(_debamort122),MONTH(_debamort122)+_moisd12+(W330-1)*_imois122,__jou21),DATE(YEAR(_debamort122),MONTH(_debamort122)+_moisd12+1+(W330-1)*_imois122,0)),DATE(YEAR(_debamort122),MONTH(_debamort122),__jou123+(W330-1)*_ijour122)))</f>
        <v/>
      </c>
      <c r="AA330" s="156">
        <f t="shared" si="70"/>
        <v>0</v>
      </c>
      <c r="AB330" s="153">
        <f>IF(W330&lt;=_noechmaxi1t,ROUND(AA330*'Données Projet 1 (2)'!H339,_nbdeci1t1),0)</f>
        <v>0</v>
      </c>
      <c r="AC330" s="152">
        <f>IF(OR(W330&lt;=_differe1t1t,W330&gt;_noechmaxi1t),IF(_difftotal1t1t,-AB330,0),IF(W330&gt;=_noechremb12,AA330,IF('Données Projet 1 (2)'!I339-(AB330*_echfixe12)&gt;AA330-2,AA330,'Données Projet 1 (2)'!I339-(AB330*_echfixe12))))+R330</f>
        <v>0</v>
      </c>
      <c r="AD330" s="154">
        <f t="shared" si="71"/>
        <v>0</v>
      </c>
      <c r="AE330" s="157">
        <f t="shared" si="63"/>
        <v>0</v>
      </c>
    </row>
    <row r="331" spans="1:31" x14ac:dyDescent="0.2">
      <c r="A331" s="3"/>
      <c r="B331" s="164"/>
      <c r="C331" s="22"/>
      <c r="D331" s="21"/>
      <c r="E331" s="23"/>
      <c r="F331" s="10"/>
      <c r="G331" s="5">
        <f t="shared" si="64"/>
        <v>325</v>
      </c>
      <c r="H331" s="7">
        <f t="shared" si="65"/>
        <v>96</v>
      </c>
      <c r="I331" s="8">
        <f t="shared" si="60"/>
        <v>2036</v>
      </c>
      <c r="J331" s="31">
        <f>IF(K331=0,"",IF(_ijour12=0,MIN(DATE(YEAR(_debamort12),MONTH(_debamort12)+(G331-1)*_imois12,_jour12),DATE(YEAR(_debamort12),MONTH(_debamort12)+1+(G331-1)*_imois12,0)),DATE(YEAR(_debamort12),MONTH(_debamort12),_jour12+(G331-1)*_ijour12)))</f>
        <v>49675</v>
      </c>
      <c r="K331" s="156">
        <f t="shared" si="66"/>
        <v>54098.340000000033</v>
      </c>
      <c r="L331" s="153">
        <f>IF(G331&lt;=_noeechmaxi1,ROUND(K331*'Données Projet 1 (2)'!A340,_nbdeci1t),0)</f>
        <v>83.85</v>
      </c>
      <c r="M331" s="152">
        <f>IF(OR(G331&lt;=_differe1t,G331&gt;_noeechmaxi1),IF(_difftotal1t,-L331,0),IF(G331&gt;=_noechremb1t,K331,IF('Données Projet 1 (2)'!B340-(L331*_echfixe1t)&gt;K331-2,K331,'Données Projet 1 (2)'!B340-(L331*_echfixe1t))))+B331</f>
        <v>523.06999999999994</v>
      </c>
      <c r="N331" s="154">
        <f t="shared" si="67"/>
        <v>15.6</v>
      </c>
      <c r="O331" s="157">
        <f t="shared" si="61"/>
        <v>622.52</v>
      </c>
      <c r="Q331" s="3"/>
      <c r="R331" s="164"/>
      <c r="S331" s="22"/>
      <c r="T331" s="21"/>
      <c r="U331" s="23"/>
      <c r="V331" s="10"/>
      <c r="W331" s="5" t="str">
        <f t="shared" si="68"/>
        <v/>
      </c>
      <c r="X331" s="7" t="str">
        <f t="shared" si="69"/>
        <v/>
      </c>
      <c r="Y331" s="8" t="str">
        <f t="shared" si="62"/>
        <v/>
      </c>
      <c r="Z331" s="31" t="str">
        <f>IF(AA331=0,"",IF(_ijour122=0,MIN(DATE(YEAR(_debamort122),MONTH(_debamort122)+(W331-1)*_imois122,__jou123),DATE(YEAR(_debamort122),MONTH(_debamort122)+1+(W331-1)*_imois122,0)),DATE(YEAR(_debamort122),MONTH(_debamort122),__jou123+(W331-1)*_ijour122)))</f>
        <v/>
      </c>
      <c r="AA331" s="156">
        <f t="shared" si="70"/>
        <v>0</v>
      </c>
      <c r="AB331" s="153">
        <f>IF(W331&lt;=_noechmaxi1t,ROUND(AA331*'Données Projet 1 (2)'!H340,_nbdeci1t1),0)</f>
        <v>0</v>
      </c>
      <c r="AC331" s="152">
        <f>IF(OR(W331&lt;=_differe1t1t,W331&gt;_noechmaxi1t),IF(_difftotal1t1t,-AB331,0),IF(W331&gt;=_noechremb12,AA331,IF('Données Projet 1 (2)'!I340-(AB331*_echfixe12)&gt;AA331-2,AA331,'Données Projet 1 (2)'!I340-(AB331*_echfixe12))))+R331</f>
        <v>0</v>
      </c>
      <c r="AD331" s="154">
        <f t="shared" si="71"/>
        <v>0</v>
      </c>
      <c r="AE331" s="157">
        <f t="shared" si="63"/>
        <v>0</v>
      </c>
    </row>
    <row r="332" spans="1:31" x14ac:dyDescent="0.2">
      <c r="A332" s="3"/>
      <c r="B332" s="164"/>
      <c r="C332" s="22"/>
      <c r="D332" s="21"/>
      <c r="E332" s="23"/>
      <c r="F332" s="10"/>
      <c r="G332" s="5">
        <f t="shared" si="64"/>
        <v>326</v>
      </c>
      <c r="H332" s="7">
        <f t="shared" si="65"/>
        <v>95</v>
      </c>
      <c r="I332" s="8">
        <f t="shared" si="60"/>
        <v>2036</v>
      </c>
      <c r="J332" s="31">
        <f>IF(K332=0,"",IF(_ijour12=0,MIN(DATE(YEAR(_debamort12),MONTH(_debamort12)+_MoisD+(G332-1)*_imois12,_jour212),DATE(YEAR(_debamort12),MONTH(_debamort12)+_MoisD+1+(G332-1)*_imois12,0)),DATE(YEAR(_debamort12),MONTH(_debamort12),_jour12+(G332-1)*_ijour12)))</f>
        <v>49706</v>
      </c>
      <c r="K332" s="156">
        <f t="shared" si="66"/>
        <v>53575.270000000033</v>
      </c>
      <c r="L332" s="153">
        <f>IF(G332&lt;=_noeechmaxi1,ROUND(K332*'Données Projet 1 (2)'!A341,_nbdeci1t),0)</f>
        <v>83.04</v>
      </c>
      <c r="M332" s="152">
        <f>IF(OR(G332&lt;=_differe1t,G332&gt;_noeechmaxi1),IF(_difftotal1t,-L332,0),IF(G332&gt;=_noechremb1t,K332,IF('Données Projet 1 (2)'!B341-(L332*_echfixe1t)&gt;K332-2,K332,'Données Projet 1 (2)'!B341-(L332*_echfixe1t))))+B332</f>
        <v>523.88</v>
      </c>
      <c r="N332" s="154">
        <f t="shared" si="67"/>
        <v>15.6</v>
      </c>
      <c r="O332" s="157">
        <f t="shared" si="61"/>
        <v>622.52</v>
      </c>
      <c r="Q332" s="3"/>
      <c r="R332" s="164"/>
      <c r="S332" s="22"/>
      <c r="T332" s="21"/>
      <c r="U332" s="23"/>
      <c r="V332" s="10"/>
      <c r="W332" s="5" t="str">
        <f t="shared" si="68"/>
        <v/>
      </c>
      <c r="X332" s="7" t="str">
        <f t="shared" si="69"/>
        <v/>
      </c>
      <c r="Y332" s="8" t="str">
        <f t="shared" si="62"/>
        <v/>
      </c>
      <c r="Z332" s="31" t="str">
        <f>IF(AA332=0,"",IF(_ijour122=0,MIN(DATE(YEAR(_debamort122),MONTH(_debamort122)+_moisd12+(W332-1)*_imois122,__jou21),DATE(YEAR(_debamort122),MONTH(_debamort122)+_moisd12+1+(W332-1)*_imois122,0)),DATE(YEAR(_debamort122),MONTH(_debamort122),__jou123+(W332-1)*_ijour122)))</f>
        <v/>
      </c>
      <c r="AA332" s="156">
        <f t="shared" si="70"/>
        <v>0</v>
      </c>
      <c r="AB332" s="153">
        <f>IF(W332&lt;=_noechmaxi1t,ROUND(AA332*'Données Projet 1 (2)'!H341,_nbdeci1t1),0)</f>
        <v>0</v>
      </c>
      <c r="AC332" s="152">
        <f>IF(OR(W332&lt;=_differe1t1t,W332&gt;_noechmaxi1t),IF(_difftotal1t1t,-AB332,0),IF(W332&gt;=_noechremb12,AA332,IF('Données Projet 1 (2)'!I341-(AB332*_echfixe12)&gt;AA332-2,AA332,'Données Projet 1 (2)'!I341-(AB332*_echfixe12))))+R332</f>
        <v>0</v>
      </c>
      <c r="AD332" s="154">
        <f t="shared" si="71"/>
        <v>0</v>
      </c>
      <c r="AE332" s="157">
        <f t="shared" si="63"/>
        <v>0</v>
      </c>
    </row>
    <row r="333" spans="1:31" x14ac:dyDescent="0.2">
      <c r="A333" s="3"/>
      <c r="B333" s="164"/>
      <c r="C333" s="22"/>
      <c r="D333" s="21"/>
      <c r="E333" s="23"/>
      <c r="F333" s="10"/>
      <c r="G333" s="5">
        <f t="shared" si="64"/>
        <v>327</v>
      </c>
      <c r="H333" s="7">
        <f t="shared" si="65"/>
        <v>94</v>
      </c>
      <c r="I333" s="8">
        <f t="shared" si="60"/>
        <v>2036</v>
      </c>
      <c r="J333" s="31">
        <f>IF(K333=0,"",IF(_ijour12=0,MIN(DATE(YEAR(_debamort12),MONTH(_debamort12)+(G333-1)*_imois12,_jour12),DATE(YEAR(_debamort12),MONTH(_debamort12)+1+(G333-1)*_imois12,0)),DATE(YEAR(_debamort12),MONTH(_debamort12),_jour12+(G333-1)*_ijour12)))</f>
        <v>49735</v>
      </c>
      <c r="K333" s="156">
        <f t="shared" si="66"/>
        <v>53051.390000000036</v>
      </c>
      <c r="L333" s="153">
        <f>IF(G333&lt;=_noeechmaxi1,ROUND(K333*'Données Projet 1 (2)'!A342,_nbdeci1t),0)</f>
        <v>82.23</v>
      </c>
      <c r="M333" s="152">
        <f>IF(OR(G333&lt;=_differe1t,G333&gt;_noeechmaxi1),IF(_difftotal1t,-L333,0),IF(G333&gt;=_noechremb1t,K333,IF('Données Projet 1 (2)'!B342-(L333*_echfixe1t)&gt;K333-2,K333,'Données Projet 1 (2)'!B342-(L333*_echfixe1t))))+B333</f>
        <v>524.68999999999994</v>
      </c>
      <c r="N333" s="154">
        <f t="shared" si="67"/>
        <v>15.6</v>
      </c>
      <c r="O333" s="157">
        <f t="shared" si="61"/>
        <v>622.52</v>
      </c>
      <c r="Q333" s="3"/>
      <c r="R333" s="164"/>
      <c r="S333" s="22"/>
      <c r="T333" s="21"/>
      <c r="U333" s="23"/>
      <c r="V333" s="10"/>
      <c r="W333" s="5" t="str">
        <f t="shared" si="68"/>
        <v/>
      </c>
      <c r="X333" s="7" t="str">
        <f t="shared" si="69"/>
        <v/>
      </c>
      <c r="Y333" s="8" t="str">
        <f t="shared" si="62"/>
        <v/>
      </c>
      <c r="Z333" s="31" t="str">
        <f>IF(AA333=0,"",IF(_ijour122=0,MIN(DATE(YEAR(_debamort122),MONTH(_debamort122)+(W333-1)*_imois122,__jou123),DATE(YEAR(_debamort122),MONTH(_debamort122)+1+(W333-1)*_imois122,0)),DATE(YEAR(_debamort122),MONTH(_debamort122),__jou123+(W333-1)*_ijour122)))</f>
        <v/>
      </c>
      <c r="AA333" s="156">
        <f t="shared" si="70"/>
        <v>0</v>
      </c>
      <c r="AB333" s="153">
        <f>IF(W333&lt;=_noechmaxi1t,ROUND(AA333*'Données Projet 1 (2)'!H342,_nbdeci1t1),0)</f>
        <v>0</v>
      </c>
      <c r="AC333" s="152">
        <f>IF(OR(W333&lt;=_differe1t1t,W333&gt;_noechmaxi1t),IF(_difftotal1t1t,-AB333,0),IF(W333&gt;=_noechremb12,AA333,IF('Données Projet 1 (2)'!I342-(AB333*_echfixe12)&gt;AA333-2,AA333,'Données Projet 1 (2)'!I342-(AB333*_echfixe12))))+R333</f>
        <v>0</v>
      </c>
      <c r="AD333" s="154">
        <f t="shared" si="71"/>
        <v>0</v>
      </c>
      <c r="AE333" s="157">
        <f t="shared" si="63"/>
        <v>0</v>
      </c>
    </row>
    <row r="334" spans="1:31" x14ac:dyDescent="0.2">
      <c r="A334" s="3"/>
      <c r="B334" s="164"/>
      <c r="C334" s="22"/>
      <c r="D334" s="21"/>
      <c r="E334" s="23"/>
      <c r="F334" s="10"/>
      <c r="G334" s="5">
        <f t="shared" si="64"/>
        <v>328</v>
      </c>
      <c r="H334" s="7">
        <f t="shared" si="65"/>
        <v>93</v>
      </c>
      <c r="I334" s="8">
        <f t="shared" si="60"/>
        <v>2036</v>
      </c>
      <c r="J334" s="31">
        <f>IF(K334=0,"",IF(_ijour12=0,MIN(DATE(YEAR(_debamort12),MONTH(_debamort12)+_MoisD+(G334-1)*_imois12,_jour212),DATE(YEAR(_debamort12),MONTH(_debamort12)+_MoisD+1+(G334-1)*_imois12,0)),DATE(YEAR(_debamort12),MONTH(_debamort12),_jour12+(G334-1)*_ijour12)))</f>
        <v>49766</v>
      </c>
      <c r="K334" s="156">
        <f t="shared" si="66"/>
        <v>52526.700000000033</v>
      </c>
      <c r="L334" s="153">
        <f>IF(G334&lt;=_noeechmaxi1,ROUND(K334*'Données Projet 1 (2)'!A343,_nbdeci1t),0)</f>
        <v>81.42</v>
      </c>
      <c r="M334" s="152">
        <f>IF(OR(G334&lt;=_differe1t,G334&gt;_noeechmaxi1),IF(_difftotal1t,-L334,0),IF(G334&gt;=_noechremb1t,K334,IF('Données Projet 1 (2)'!B343-(L334*_echfixe1t)&gt;K334-2,K334,'Données Projet 1 (2)'!B343-(L334*_echfixe1t))))+B334</f>
        <v>525.5</v>
      </c>
      <c r="N334" s="154">
        <f t="shared" si="67"/>
        <v>15.6</v>
      </c>
      <c r="O334" s="157">
        <f t="shared" si="61"/>
        <v>622.52</v>
      </c>
      <c r="Q334" s="3"/>
      <c r="R334" s="164"/>
      <c r="S334" s="22"/>
      <c r="T334" s="21"/>
      <c r="U334" s="23"/>
      <c r="V334" s="10"/>
      <c r="W334" s="5" t="str">
        <f t="shared" si="68"/>
        <v/>
      </c>
      <c r="X334" s="7" t="str">
        <f t="shared" si="69"/>
        <v/>
      </c>
      <c r="Y334" s="8" t="str">
        <f t="shared" si="62"/>
        <v/>
      </c>
      <c r="Z334" s="31" t="str">
        <f>IF(AA334=0,"",IF(_ijour122=0,MIN(DATE(YEAR(_debamort122),MONTH(_debamort122)+_moisd12+(W334-1)*_imois122,__jou21),DATE(YEAR(_debamort122),MONTH(_debamort122)+_moisd12+1+(W334-1)*_imois122,0)),DATE(YEAR(_debamort122),MONTH(_debamort122),__jou123+(W334-1)*_ijour122)))</f>
        <v/>
      </c>
      <c r="AA334" s="156">
        <f t="shared" si="70"/>
        <v>0</v>
      </c>
      <c r="AB334" s="153">
        <f>IF(W334&lt;=_noechmaxi1t,ROUND(AA334*'Données Projet 1 (2)'!H343,_nbdeci1t1),0)</f>
        <v>0</v>
      </c>
      <c r="AC334" s="152">
        <f>IF(OR(W334&lt;=_differe1t1t,W334&gt;_noechmaxi1t),IF(_difftotal1t1t,-AB334,0),IF(W334&gt;=_noechremb12,AA334,IF('Données Projet 1 (2)'!I343-(AB334*_echfixe12)&gt;AA334-2,AA334,'Données Projet 1 (2)'!I343-(AB334*_echfixe12))))+R334</f>
        <v>0</v>
      </c>
      <c r="AD334" s="154">
        <f t="shared" si="71"/>
        <v>0</v>
      </c>
      <c r="AE334" s="157">
        <f t="shared" si="63"/>
        <v>0</v>
      </c>
    </row>
    <row r="335" spans="1:31" x14ac:dyDescent="0.2">
      <c r="A335" s="3"/>
      <c r="B335" s="164"/>
      <c r="C335" s="22"/>
      <c r="D335" s="21"/>
      <c r="E335" s="23"/>
      <c r="F335" s="10"/>
      <c r="G335" s="5">
        <f t="shared" si="64"/>
        <v>329</v>
      </c>
      <c r="H335" s="7">
        <f t="shared" si="65"/>
        <v>92</v>
      </c>
      <c r="I335" s="8">
        <f t="shared" si="60"/>
        <v>2036</v>
      </c>
      <c r="J335" s="31">
        <f>IF(K335=0,"",IF(_ijour12=0,MIN(DATE(YEAR(_debamort12),MONTH(_debamort12)+(G335-1)*_imois12,_jour12),DATE(YEAR(_debamort12),MONTH(_debamort12)+1+(G335-1)*_imois12,0)),DATE(YEAR(_debamort12),MONTH(_debamort12),_jour12+(G335-1)*_ijour12)))</f>
        <v>49796</v>
      </c>
      <c r="K335" s="156">
        <f t="shared" si="66"/>
        <v>52001.200000000033</v>
      </c>
      <c r="L335" s="153">
        <f>IF(G335&lt;=_noeechmaxi1,ROUND(K335*'Données Projet 1 (2)'!A344,_nbdeci1t),0)</f>
        <v>80.599999999999994</v>
      </c>
      <c r="M335" s="152">
        <f>IF(OR(G335&lt;=_differe1t,G335&gt;_noeechmaxi1),IF(_difftotal1t,-L335,0),IF(G335&gt;=_noechremb1t,K335,IF('Données Projet 1 (2)'!B344-(L335*_echfixe1t)&gt;K335-2,K335,'Données Projet 1 (2)'!B344-(L335*_echfixe1t))))+B335</f>
        <v>526.31999999999994</v>
      </c>
      <c r="N335" s="154">
        <f t="shared" si="67"/>
        <v>15.6</v>
      </c>
      <c r="O335" s="157">
        <f t="shared" si="61"/>
        <v>622.52</v>
      </c>
      <c r="Q335" s="3"/>
      <c r="R335" s="164"/>
      <c r="S335" s="22"/>
      <c r="T335" s="21"/>
      <c r="U335" s="23"/>
      <c r="V335" s="10"/>
      <c r="W335" s="5" t="str">
        <f t="shared" si="68"/>
        <v/>
      </c>
      <c r="X335" s="7" t="str">
        <f t="shared" si="69"/>
        <v/>
      </c>
      <c r="Y335" s="8" t="str">
        <f t="shared" si="62"/>
        <v/>
      </c>
      <c r="Z335" s="31" t="str">
        <f>IF(AA335=0,"",IF(_ijour122=0,MIN(DATE(YEAR(_debamort122),MONTH(_debamort122)+(W335-1)*_imois122,__jou123),DATE(YEAR(_debamort122),MONTH(_debamort122)+1+(W335-1)*_imois122,0)),DATE(YEAR(_debamort122),MONTH(_debamort122),__jou123+(W335-1)*_ijour122)))</f>
        <v/>
      </c>
      <c r="AA335" s="156">
        <f t="shared" si="70"/>
        <v>0</v>
      </c>
      <c r="AB335" s="153">
        <f>IF(W335&lt;=_noechmaxi1t,ROUND(AA335*'Données Projet 1 (2)'!H344,_nbdeci1t1),0)</f>
        <v>0</v>
      </c>
      <c r="AC335" s="152">
        <f>IF(OR(W335&lt;=_differe1t1t,W335&gt;_noechmaxi1t),IF(_difftotal1t1t,-AB335,0),IF(W335&gt;=_noechremb12,AA335,IF('Données Projet 1 (2)'!I344-(AB335*_echfixe12)&gt;AA335-2,AA335,'Données Projet 1 (2)'!I344-(AB335*_echfixe12))))+R335</f>
        <v>0</v>
      </c>
      <c r="AD335" s="154">
        <f t="shared" si="71"/>
        <v>0</v>
      </c>
      <c r="AE335" s="157">
        <f t="shared" si="63"/>
        <v>0</v>
      </c>
    </row>
    <row r="336" spans="1:31" x14ac:dyDescent="0.2">
      <c r="A336" s="3"/>
      <c r="B336" s="164"/>
      <c r="C336" s="22"/>
      <c r="D336" s="21"/>
      <c r="E336" s="23"/>
      <c r="F336" s="10"/>
      <c r="G336" s="5">
        <f t="shared" si="64"/>
        <v>330</v>
      </c>
      <c r="H336" s="7">
        <f t="shared" si="65"/>
        <v>91</v>
      </c>
      <c r="I336" s="8">
        <f t="shared" si="60"/>
        <v>2036</v>
      </c>
      <c r="J336" s="31">
        <f>IF(K336=0,"",IF(_ijour12=0,MIN(DATE(YEAR(_debamort12),MONTH(_debamort12)+_MoisD+(G336-1)*_imois12,_jour212),DATE(YEAR(_debamort12),MONTH(_debamort12)+_MoisD+1+(G336-1)*_imois12,0)),DATE(YEAR(_debamort12),MONTH(_debamort12),_jour12+(G336-1)*_ijour12)))</f>
        <v>49827</v>
      </c>
      <c r="K336" s="156">
        <f t="shared" si="66"/>
        <v>51474.880000000034</v>
      </c>
      <c r="L336" s="153">
        <f>IF(G336&lt;=_noeechmaxi1,ROUND(K336*'Données Projet 1 (2)'!A345,_nbdeci1t),0)</f>
        <v>79.790000000000006</v>
      </c>
      <c r="M336" s="152">
        <f>IF(OR(G336&lt;=_differe1t,G336&gt;_noeechmaxi1),IF(_difftotal1t,-L336,0),IF(G336&gt;=_noechremb1t,K336,IF('Données Projet 1 (2)'!B345-(L336*_echfixe1t)&gt;K336-2,K336,'Données Projet 1 (2)'!B345-(L336*_echfixe1t))))+B336</f>
        <v>527.13</v>
      </c>
      <c r="N336" s="154">
        <f t="shared" si="67"/>
        <v>15.6</v>
      </c>
      <c r="O336" s="157">
        <f t="shared" si="61"/>
        <v>622.52</v>
      </c>
      <c r="Q336" s="3"/>
      <c r="R336" s="164"/>
      <c r="S336" s="22"/>
      <c r="T336" s="21"/>
      <c r="U336" s="23"/>
      <c r="V336" s="10"/>
      <c r="W336" s="5" t="str">
        <f t="shared" si="68"/>
        <v/>
      </c>
      <c r="X336" s="7" t="str">
        <f t="shared" si="69"/>
        <v/>
      </c>
      <c r="Y336" s="8" t="str">
        <f t="shared" si="62"/>
        <v/>
      </c>
      <c r="Z336" s="31" t="str">
        <f>IF(AA336=0,"",IF(_ijour122=0,MIN(DATE(YEAR(_debamort122),MONTH(_debamort122)+_moisd12+(W336-1)*_imois122,__jou21),DATE(YEAR(_debamort122),MONTH(_debamort122)+_moisd12+1+(W336-1)*_imois122,0)),DATE(YEAR(_debamort122),MONTH(_debamort122),__jou123+(W336-1)*_ijour122)))</f>
        <v/>
      </c>
      <c r="AA336" s="156">
        <f t="shared" si="70"/>
        <v>0</v>
      </c>
      <c r="AB336" s="153">
        <f>IF(W336&lt;=_noechmaxi1t,ROUND(AA336*'Données Projet 1 (2)'!H345,_nbdeci1t1),0)</f>
        <v>0</v>
      </c>
      <c r="AC336" s="152">
        <f>IF(OR(W336&lt;=_differe1t1t,W336&gt;_noechmaxi1t),IF(_difftotal1t1t,-AB336,0),IF(W336&gt;=_noechremb12,AA336,IF('Données Projet 1 (2)'!I345-(AB336*_echfixe12)&gt;AA336-2,AA336,'Données Projet 1 (2)'!I345-(AB336*_echfixe12))))+R336</f>
        <v>0</v>
      </c>
      <c r="AD336" s="154">
        <f t="shared" si="71"/>
        <v>0</v>
      </c>
      <c r="AE336" s="157">
        <f t="shared" si="63"/>
        <v>0</v>
      </c>
    </row>
    <row r="337" spans="1:31" x14ac:dyDescent="0.2">
      <c r="A337" s="3"/>
      <c r="B337" s="164"/>
      <c r="C337" s="22"/>
      <c r="D337" s="21"/>
      <c r="E337" s="23"/>
      <c r="F337" s="10"/>
      <c r="G337" s="5">
        <f t="shared" si="64"/>
        <v>331</v>
      </c>
      <c r="H337" s="7">
        <f t="shared" si="65"/>
        <v>90</v>
      </c>
      <c r="I337" s="8">
        <f t="shared" si="60"/>
        <v>2036</v>
      </c>
      <c r="J337" s="31">
        <f>IF(K337=0,"",IF(_ijour12=0,MIN(DATE(YEAR(_debamort12),MONTH(_debamort12)+(G337-1)*_imois12,_jour12),DATE(YEAR(_debamort12),MONTH(_debamort12)+1+(G337-1)*_imois12,0)),DATE(YEAR(_debamort12),MONTH(_debamort12),_jour12+(G337-1)*_ijour12)))</f>
        <v>49857</v>
      </c>
      <c r="K337" s="156">
        <f t="shared" si="66"/>
        <v>50947.750000000036</v>
      </c>
      <c r="L337" s="153">
        <f>IF(G337&lt;=_noeechmaxi1,ROUND(K337*'Données Projet 1 (2)'!A346,_nbdeci1t),0)</f>
        <v>78.97</v>
      </c>
      <c r="M337" s="152">
        <f>IF(OR(G337&lt;=_differe1t,G337&gt;_noeechmaxi1),IF(_difftotal1t,-L337,0),IF(G337&gt;=_noechremb1t,K337,IF('Données Projet 1 (2)'!B346-(L337*_echfixe1t)&gt;K337-2,K337,'Données Projet 1 (2)'!B346-(L337*_echfixe1t))))+B337</f>
        <v>527.94999999999993</v>
      </c>
      <c r="N337" s="154">
        <f t="shared" si="67"/>
        <v>15.6</v>
      </c>
      <c r="O337" s="157">
        <f t="shared" si="61"/>
        <v>622.52</v>
      </c>
      <c r="Q337" s="3"/>
      <c r="R337" s="164"/>
      <c r="S337" s="22"/>
      <c r="T337" s="21"/>
      <c r="U337" s="23"/>
      <c r="V337" s="10"/>
      <c r="W337" s="5" t="str">
        <f t="shared" si="68"/>
        <v/>
      </c>
      <c r="X337" s="7" t="str">
        <f t="shared" si="69"/>
        <v/>
      </c>
      <c r="Y337" s="8" t="str">
        <f t="shared" si="62"/>
        <v/>
      </c>
      <c r="Z337" s="31" t="str">
        <f>IF(AA337=0,"",IF(_ijour122=0,MIN(DATE(YEAR(_debamort122),MONTH(_debamort122)+(W337-1)*_imois122,__jou123),DATE(YEAR(_debamort122),MONTH(_debamort122)+1+(W337-1)*_imois122,0)),DATE(YEAR(_debamort122),MONTH(_debamort122),__jou123+(W337-1)*_ijour122)))</f>
        <v/>
      </c>
      <c r="AA337" s="156">
        <f t="shared" si="70"/>
        <v>0</v>
      </c>
      <c r="AB337" s="153">
        <f>IF(W337&lt;=_noechmaxi1t,ROUND(AA337*'Données Projet 1 (2)'!H346,_nbdeci1t1),0)</f>
        <v>0</v>
      </c>
      <c r="AC337" s="152">
        <f>IF(OR(W337&lt;=_differe1t1t,W337&gt;_noechmaxi1t),IF(_difftotal1t1t,-AB337,0),IF(W337&gt;=_noechremb12,AA337,IF('Données Projet 1 (2)'!I346-(AB337*_echfixe12)&gt;AA337-2,AA337,'Données Projet 1 (2)'!I346-(AB337*_echfixe12))))+R337</f>
        <v>0</v>
      </c>
      <c r="AD337" s="154">
        <f t="shared" si="71"/>
        <v>0</v>
      </c>
      <c r="AE337" s="157">
        <f t="shared" si="63"/>
        <v>0</v>
      </c>
    </row>
    <row r="338" spans="1:31" x14ac:dyDescent="0.2">
      <c r="A338" s="3"/>
      <c r="B338" s="164"/>
      <c r="C338" s="22"/>
      <c r="D338" s="21"/>
      <c r="E338" s="23"/>
      <c r="F338" s="10"/>
      <c r="G338" s="5">
        <f t="shared" si="64"/>
        <v>332</v>
      </c>
      <c r="H338" s="7">
        <f t="shared" si="65"/>
        <v>89</v>
      </c>
      <c r="I338" s="8">
        <f t="shared" si="60"/>
        <v>2036</v>
      </c>
      <c r="J338" s="31">
        <f>IF(K338=0,"",IF(_ijour12=0,MIN(DATE(YEAR(_debamort12),MONTH(_debamort12)+_MoisD+(G338-1)*_imois12,_jour212),DATE(YEAR(_debamort12),MONTH(_debamort12)+_MoisD+1+(G338-1)*_imois12,0)),DATE(YEAR(_debamort12),MONTH(_debamort12),_jour12+(G338-1)*_ijour12)))</f>
        <v>49888</v>
      </c>
      <c r="K338" s="156">
        <f t="shared" si="66"/>
        <v>50419.800000000039</v>
      </c>
      <c r="L338" s="153">
        <f>IF(G338&lt;=_noeechmaxi1,ROUND(K338*'Données Projet 1 (2)'!A347,_nbdeci1t),0)</f>
        <v>78.150000000000006</v>
      </c>
      <c r="M338" s="152">
        <f>IF(OR(G338&lt;=_differe1t,G338&gt;_noeechmaxi1),IF(_difftotal1t,-L338,0),IF(G338&gt;=_noechremb1t,K338,IF('Données Projet 1 (2)'!B347-(L338*_echfixe1t)&gt;K338-2,K338,'Données Projet 1 (2)'!B347-(L338*_echfixe1t))))+B338</f>
        <v>528.77</v>
      </c>
      <c r="N338" s="154">
        <f t="shared" si="67"/>
        <v>15.6</v>
      </c>
      <c r="O338" s="157">
        <f t="shared" si="61"/>
        <v>622.52</v>
      </c>
      <c r="Q338" s="3"/>
      <c r="R338" s="164"/>
      <c r="S338" s="22"/>
      <c r="T338" s="21"/>
      <c r="U338" s="23"/>
      <c r="V338" s="10"/>
      <c r="W338" s="5" t="str">
        <f t="shared" si="68"/>
        <v/>
      </c>
      <c r="X338" s="7" t="str">
        <f t="shared" si="69"/>
        <v/>
      </c>
      <c r="Y338" s="8" t="str">
        <f t="shared" si="62"/>
        <v/>
      </c>
      <c r="Z338" s="31" t="str">
        <f>IF(AA338=0,"",IF(_ijour122=0,MIN(DATE(YEAR(_debamort122),MONTH(_debamort122)+_moisd12+(W338-1)*_imois122,__jou21),DATE(YEAR(_debamort122),MONTH(_debamort122)+_moisd12+1+(W338-1)*_imois122,0)),DATE(YEAR(_debamort122),MONTH(_debamort122),__jou123+(W338-1)*_ijour122)))</f>
        <v/>
      </c>
      <c r="AA338" s="156">
        <f t="shared" si="70"/>
        <v>0</v>
      </c>
      <c r="AB338" s="153">
        <f>IF(W338&lt;=_noechmaxi1t,ROUND(AA338*'Données Projet 1 (2)'!H347,_nbdeci1t1),0)</f>
        <v>0</v>
      </c>
      <c r="AC338" s="152">
        <f>IF(OR(W338&lt;=_differe1t1t,W338&gt;_noechmaxi1t),IF(_difftotal1t1t,-AB338,0),IF(W338&gt;=_noechremb12,AA338,IF('Données Projet 1 (2)'!I347-(AB338*_echfixe12)&gt;AA338-2,AA338,'Données Projet 1 (2)'!I347-(AB338*_echfixe12))))+R338</f>
        <v>0</v>
      </c>
      <c r="AD338" s="154">
        <f t="shared" si="71"/>
        <v>0</v>
      </c>
      <c r="AE338" s="157">
        <f t="shared" si="63"/>
        <v>0</v>
      </c>
    </row>
    <row r="339" spans="1:31" x14ac:dyDescent="0.2">
      <c r="A339" s="3"/>
      <c r="B339" s="164"/>
      <c r="C339" s="22"/>
      <c r="D339" s="21"/>
      <c r="E339" s="23"/>
      <c r="F339" s="10"/>
      <c r="G339" s="5">
        <f t="shared" si="64"/>
        <v>333</v>
      </c>
      <c r="H339" s="7">
        <f t="shared" si="65"/>
        <v>88</v>
      </c>
      <c r="I339" s="8">
        <f t="shared" si="60"/>
        <v>2036</v>
      </c>
      <c r="J339" s="31">
        <f>IF(K339=0,"",IF(_ijour12=0,MIN(DATE(YEAR(_debamort12),MONTH(_debamort12)+(G339-1)*_imois12,_jour12),DATE(YEAR(_debamort12),MONTH(_debamort12)+1+(G339-1)*_imois12,0)),DATE(YEAR(_debamort12),MONTH(_debamort12),_jour12+(G339-1)*_ijour12)))</f>
        <v>49919</v>
      </c>
      <c r="K339" s="156">
        <f t="shared" si="66"/>
        <v>49891.030000000042</v>
      </c>
      <c r="L339" s="153">
        <f>IF(G339&lt;=_noeechmaxi1,ROUND(K339*'Données Projet 1 (2)'!A348,_nbdeci1t),0)</f>
        <v>77.33</v>
      </c>
      <c r="M339" s="152">
        <f>IF(OR(G339&lt;=_differe1t,G339&gt;_noeechmaxi1),IF(_difftotal1t,-L339,0),IF(G339&gt;=_noechremb1t,K339,IF('Données Projet 1 (2)'!B348-(L339*_echfixe1t)&gt;K339-2,K339,'Données Projet 1 (2)'!B348-(L339*_echfixe1t))))+B339</f>
        <v>529.58999999999992</v>
      </c>
      <c r="N339" s="154">
        <f t="shared" si="67"/>
        <v>15.6</v>
      </c>
      <c r="O339" s="157">
        <f t="shared" si="61"/>
        <v>622.52</v>
      </c>
      <c r="Q339" s="3"/>
      <c r="R339" s="164"/>
      <c r="S339" s="22"/>
      <c r="T339" s="21"/>
      <c r="U339" s="23"/>
      <c r="V339" s="10"/>
      <c r="W339" s="5" t="str">
        <f t="shared" si="68"/>
        <v/>
      </c>
      <c r="X339" s="7" t="str">
        <f t="shared" si="69"/>
        <v/>
      </c>
      <c r="Y339" s="8" t="str">
        <f t="shared" si="62"/>
        <v/>
      </c>
      <c r="Z339" s="31" t="str">
        <f>IF(AA339=0,"",IF(_ijour122=0,MIN(DATE(YEAR(_debamort122),MONTH(_debamort122)+(W339-1)*_imois122,__jou123),DATE(YEAR(_debamort122),MONTH(_debamort122)+1+(W339-1)*_imois122,0)),DATE(YEAR(_debamort122),MONTH(_debamort122),__jou123+(W339-1)*_ijour122)))</f>
        <v/>
      </c>
      <c r="AA339" s="156">
        <f t="shared" si="70"/>
        <v>0</v>
      </c>
      <c r="AB339" s="153">
        <f>IF(W339&lt;=_noechmaxi1t,ROUND(AA339*'Données Projet 1 (2)'!H348,_nbdeci1t1),0)</f>
        <v>0</v>
      </c>
      <c r="AC339" s="152">
        <f>IF(OR(W339&lt;=_differe1t1t,W339&gt;_noechmaxi1t),IF(_difftotal1t1t,-AB339,0),IF(W339&gt;=_noechremb12,AA339,IF('Données Projet 1 (2)'!I348-(AB339*_echfixe12)&gt;AA339-2,AA339,'Données Projet 1 (2)'!I348-(AB339*_echfixe12))))+R339</f>
        <v>0</v>
      </c>
      <c r="AD339" s="154">
        <f t="shared" si="71"/>
        <v>0</v>
      </c>
      <c r="AE339" s="157">
        <f t="shared" si="63"/>
        <v>0</v>
      </c>
    </row>
    <row r="340" spans="1:31" x14ac:dyDescent="0.2">
      <c r="A340" s="3"/>
      <c r="B340" s="164"/>
      <c r="C340" s="22"/>
      <c r="D340" s="21"/>
      <c r="E340" s="23"/>
      <c r="F340" s="10"/>
      <c r="G340" s="5">
        <f t="shared" si="64"/>
        <v>334</v>
      </c>
      <c r="H340" s="7">
        <f t="shared" si="65"/>
        <v>87</v>
      </c>
      <c r="I340" s="8">
        <f t="shared" si="60"/>
        <v>2036</v>
      </c>
      <c r="J340" s="31">
        <f>IF(K340=0,"",IF(_ijour12=0,MIN(DATE(YEAR(_debamort12),MONTH(_debamort12)+_MoisD+(G340-1)*_imois12,_jour212),DATE(YEAR(_debamort12),MONTH(_debamort12)+_MoisD+1+(G340-1)*_imois12,0)),DATE(YEAR(_debamort12),MONTH(_debamort12),_jour12+(G340-1)*_ijour12)))</f>
        <v>49949</v>
      </c>
      <c r="K340" s="156">
        <f t="shared" si="66"/>
        <v>49361.440000000046</v>
      </c>
      <c r="L340" s="153">
        <f>IF(G340&lt;=_noeechmaxi1,ROUND(K340*'Données Projet 1 (2)'!A349,_nbdeci1t),0)</f>
        <v>76.510000000000005</v>
      </c>
      <c r="M340" s="152">
        <f>IF(OR(G340&lt;=_differe1t,G340&gt;_noeechmaxi1),IF(_difftotal1t,-L340,0),IF(G340&gt;=_noechremb1t,K340,IF('Données Projet 1 (2)'!B349-(L340*_echfixe1t)&gt;K340-2,K340,'Données Projet 1 (2)'!B349-(L340*_echfixe1t))))+B340</f>
        <v>530.41</v>
      </c>
      <c r="N340" s="154">
        <f t="shared" si="67"/>
        <v>15.6</v>
      </c>
      <c r="O340" s="157">
        <f t="shared" si="61"/>
        <v>622.52</v>
      </c>
      <c r="Q340" s="3"/>
      <c r="R340" s="164"/>
      <c r="S340" s="22"/>
      <c r="T340" s="21"/>
      <c r="U340" s="23"/>
      <c r="V340" s="10"/>
      <c r="W340" s="5" t="str">
        <f t="shared" si="68"/>
        <v/>
      </c>
      <c r="X340" s="7" t="str">
        <f t="shared" si="69"/>
        <v/>
      </c>
      <c r="Y340" s="8" t="str">
        <f t="shared" si="62"/>
        <v/>
      </c>
      <c r="Z340" s="31" t="str">
        <f>IF(AA340=0,"",IF(_ijour122=0,MIN(DATE(YEAR(_debamort122),MONTH(_debamort122)+_moisd12+(W340-1)*_imois122,__jou21),DATE(YEAR(_debamort122),MONTH(_debamort122)+_moisd12+1+(W340-1)*_imois122,0)),DATE(YEAR(_debamort122),MONTH(_debamort122),__jou123+(W340-1)*_ijour122)))</f>
        <v/>
      </c>
      <c r="AA340" s="156">
        <f t="shared" si="70"/>
        <v>0</v>
      </c>
      <c r="AB340" s="153">
        <f>IF(W340&lt;=_noechmaxi1t,ROUND(AA340*'Données Projet 1 (2)'!H349,_nbdeci1t1),0)</f>
        <v>0</v>
      </c>
      <c r="AC340" s="152">
        <f>IF(OR(W340&lt;=_differe1t1t,W340&gt;_noechmaxi1t),IF(_difftotal1t1t,-AB340,0),IF(W340&gt;=_noechremb12,AA340,IF('Données Projet 1 (2)'!I349-(AB340*_echfixe12)&gt;AA340-2,AA340,'Données Projet 1 (2)'!I349-(AB340*_echfixe12))))+R340</f>
        <v>0</v>
      </c>
      <c r="AD340" s="154">
        <f t="shared" si="71"/>
        <v>0</v>
      </c>
      <c r="AE340" s="157">
        <f t="shared" si="63"/>
        <v>0</v>
      </c>
    </row>
    <row r="341" spans="1:31" x14ac:dyDescent="0.2">
      <c r="A341" s="3"/>
      <c r="B341" s="164"/>
      <c r="C341" s="22"/>
      <c r="D341" s="21"/>
      <c r="E341" s="23"/>
      <c r="F341" s="10"/>
      <c r="G341" s="5">
        <f t="shared" si="64"/>
        <v>335</v>
      </c>
      <c r="H341" s="7">
        <f t="shared" si="65"/>
        <v>86</v>
      </c>
      <c r="I341" s="8">
        <f t="shared" si="60"/>
        <v>2036</v>
      </c>
      <c r="J341" s="31">
        <f>IF(K341=0,"",IF(_ijour12=0,MIN(DATE(YEAR(_debamort12),MONTH(_debamort12)+(G341-1)*_imois12,_jour12),DATE(YEAR(_debamort12),MONTH(_debamort12)+1+(G341-1)*_imois12,0)),DATE(YEAR(_debamort12),MONTH(_debamort12),_jour12+(G341-1)*_ijour12)))</f>
        <v>49980</v>
      </c>
      <c r="K341" s="156">
        <f t="shared" si="66"/>
        <v>48831.030000000042</v>
      </c>
      <c r="L341" s="153">
        <f>IF(G341&lt;=_noeechmaxi1,ROUND(K341*'Données Projet 1 (2)'!A350,_nbdeci1t),0)</f>
        <v>75.69</v>
      </c>
      <c r="M341" s="152">
        <f>IF(OR(G341&lt;=_differe1t,G341&gt;_noeechmaxi1),IF(_difftotal1t,-L341,0),IF(G341&gt;=_noechremb1t,K341,IF('Données Projet 1 (2)'!B350-(L341*_echfixe1t)&gt;K341-2,K341,'Données Projet 1 (2)'!B350-(L341*_echfixe1t))))+B341</f>
        <v>531.23</v>
      </c>
      <c r="N341" s="154">
        <f t="shared" si="67"/>
        <v>15.6</v>
      </c>
      <c r="O341" s="157">
        <f t="shared" si="61"/>
        <v>622.5200000000001</v>
      </c>
      <c r="Q341" s="3"/>
      <c r="R341" s="164"/>
      <c r="S341" s="22"/>
      <c r="T341" s="21"/>
      <c r="U341" s="23"/>
      <c r="V341" s="10"/>
      <c r="W341" s="5" t="str">
        <f t="shared" si="68"/>
        <v/>
      </c>
      <c r="X341" s="7" t="str">
        <f t="shared" si="69"/>
        <v/>
      </c>
      <c r="Y341" s="8" t="str">
        <f t="shared" si="62"/>
        <v/>
      </c>
      <c r="Z341" s="31" t="str">
        <f>IF(AA341=0,"",IF(_ijour122=0,MIN(DATE(YEAR(_debamort122),MONTH(_debamort122)+(W341-1)*_imois122,__jou123),DATE(YEAR(_debamort122),MONTH(_debamort122)+1+(W341-1)*_imois122,0)),DATE(YEAR(_debamort122),MONTH(_debamort122),__jou123+(W341-1)*_ijour122)))</f>
        <v/>
      </c>
      <c r="AA341" s="156">
        <f t="shared" si="70"/>
        <v>0</v>
      </c>
      <c r="AB341" s="153">
        <f>IF(W341&lt;=_noechmaxi1t,ROUND(AA341*'Données Projet 1 (2)'!H350,_nbdeci1t1),0)</f>
        <v>0</v>
      </c>
      <c r="AC341" s="152">
        <f>IF(OR(W341&lt;=_differe1t1t,W341&gt;_noechmaxi1t),IF(_difftotal1t1t,-AB341,0),IF(W341&gt;=_noechremb12,AA341,IF('Données Projet 1 (2)'!I350-(AB341*_echfixe12)&gt;AA341-2,AA341,'Données Projet 1 (2)'!I350-(AB341*_echfixe12))))+R341</f>
        <v>0</v>
      </c>
      <c r="AD341" s="154">
        <f t="shared" si="71"/>
        <v>0</v>
      </c>
      <c r="AE341" s="157">
        <f t="shared" si="63"/>
        <v>0</v>
      </c>
    </row>
    <row r="342" spans="1:31" x14ac:dyDescent="0.2">
      <c r="A342" s="3"/>
      <c r="B342" s="164"/>
      <c r="C342" s="22"/>
      <c r="D342" s="21"/>
      <c r="E342" s="23"/>
      <c r="F342" s="10"/>
      <c r="G342" s="5">
        <f t="shared" si="64"/>
        <v>336</v>
      </c>
      <c r="H342" s="7">
        <f t="shared" si="65"/>
        <v>85</v>
      </c>
      <c r="I342" s="8">
        <f t="shared" si="60"/>
        <v>2036</v>
      </c>
      <c r="J342" s="31">
        <f>IF(K342=0,"",IF(_ijour12=0,MIN(DATE(YEAR(_debamort12),MONTH(_debamort12)+_MoisD+(G342-1)*_imois12,_jour212),DATE(YEAR(_debamort12),MONTH(_debamort12)+_MoisD+1+(G342-1)*_imois12,0)),DATE(YEAR(_debamort12),MONTH(_debamort12),_jour12+(G342-1)*_ijour12)))</f>
        <v>50010</v>
      </c>
      <c r="K342" s="156">
        <f t="shared" si="66"/>
        <v>48299.800000000039</v>
      </c>
      <c r="L342" s="153">
        <f>IF(G342&lt;=_noeechmaxi1,ROUND(K342*'Données Projet 1 (2)'!A351,_nbdeci1t),0)</f>
        <v>74.86</v>
      </c>
      <c r="M342" s="152">
        <f>IF(OR(G342&lt;=_differe1t,G342&gt;_noeechmaxi1),IF(_difftotal1t,-L342,0),IF(G342&gt;=_noechremb1t,K342,IF('Données Projet 1 (2)'!B351-(L342*_echfixe1t)&gt;K342-2,K342,'Données Projet 1 (2)'!B351-(L342*_echfixe1t))))+B342</f>
        <v>532.05999999999995</v>
      </c>
      <c r="N342" s="154">
        <f t="shared" si="67"/>
        <v>15.6</v>
      </c>
      <c r="O342" s="157">
        <f t="shared" si="61"/>
        <v>622.52</v>
      </c>
      <c r="Q342" s="3"/>
      <c r="R342" s="164"/>
      <c r="S342" s="22"/>
      <c r="T342" s="21"/>
      <c r="U342" s="23"/>
      <c r="V342" s="10"/>
      <c r="W342" s="5" t="str">
        <f t="shared" si="68"/>
        <v/>
      </c>
      <c r="X342" s="7" t="str">
        <f t="shared" si="69"/>
        <v/>
      </c>
      <c r="Y342" s="8" t="str">
        <f t="shared" si="62"/>
        <v/>
      </c>
      <c r="Z342" s="31" t="str">
        <f>IF(AA342=0,"",IF(_ijour122=0,MIN(DATE(YEAR(_debamort122),MONTH(_debamort122)+_moisd12+(W342-1)*_imois122,__jou21),DATE(YEAR(_debamort122),MONTH(_debamort122)+_moisd12+1+(W342-1)*_imois122,0)),DATE(YEAR(_debamort122),MONTH(_debamort122),__jou123+(W342-1)*_ijour122)))</f>
        <v/>
      </c>
      <c r="AA342" s="156">
        <f t="shared" si="70"/>
        <v>0</v>
      </c>
      <c r="AB342" s="153">
        <f>IF(W342&lt;=_noechmaxi1t,ROUND(AA342*'Données Projet 1 (2)'!H351,_nbdeci1t1),0)</f>
        <v>0</v>
      </c>
      <c r="AC342" s="152">
        <f>IF(OR(W342&lt;=_differe1t1t,W342&gt;_noechmaxi1t),IF(_difftotal1t1t,-AB342,0),IF(W342&gt;=_noechremb12,AA342,IF('Données Projet 1 (2)'!I351-(AB342*_echfixe12)&gt;AA342-2,AA342,'Données Projet 1 (2)'!I351-(AB342*_echfixe12))))+R342</f>
        <v>0</v>
      </c>
      <c r="AD342" s="154">
        <f t="shared" si="71"/>
        <v>0</v>
      </c>
      <c r="AE342" s="157">
        <f t="shared" si="63"/>
        <v>0</v>
      </c>
    </row>
    <row r="343" spans="1:31" x14ac:dyDescent="0.2">
      <c r="A343" s="3"/>
      <c r="B343" s="164"/>
      <c r="C343" s="22"/>
      <c r="D343" s="21"/>
      <c r="E343" s="23"/>
      <c r="F343" s="10"/>
      <c r="G343" s="5">
        <f t="shared" si="64"/>
        <v>337</v>
      </c>
      <c r="H343" s="7">
        <f t="shared" si="65"/>
        <v>84</v>
      </c>
      <c r="I343" s="8">
        <f t="shared" si="60"/>
        <v>2037</v>
      </c>
      <c r="J343" s="31">
        <f>IF(K343=0,"",IF(_ijour12=0,MIN(DATE(YEAR(_debamort12),MONTH(_debamort12)+(G343-1)*_imois12,_jour12),DATE(YEAR(_debamort12),MONTH(_debamort12)+1+(G343-1)*_imois12,0)),DATE(YEAR(_debamort12),MONTH(_debamort12),_jour12+(G343-1)*_ijour12)))</f>
        <v>50041</v>
      </c>
      <c r="K343" s="156">
        <f t="shared" si="66"/>
        <v>47767.740000000042</v>
      </c>
      <c r="L343" s="153">
        <f>IF(G343&lt;=_noeechmaxi1,ROUND(K343*'Données Projet 1 (2)'!A352,_nbdeci1t),0)</f>
        <v>74.040000000000006</v>
      </c>
      <c r="M343" s="152">
        <f>IF(OR(G343&lt;=_differe1t,G343&gt;_noeechmaxi1),IF(_difftotal1t,-L343,0),IF(G343&gt;=_noechremb1t,K343,IF('Données Projet 1 (2)'!B352-(L343*_echfixe1t)&gt;K343-2,K343,'Données Projet 1 (2)'!B352-(L343*_echfixe1t))))+B343</f>
        <v>532.88</v>
      </c>
      <c r="N343" s="154">
        <f t="shared" si="67"/>
        <v>15.6</v>
      </c>
      <c r="O343" s="157">
        <f t="shared" si="61"/>
        <v>622.52</v>
      </c>
      <c r="Q343" s="3"/>
      <c r="R343" s="164"/>
      <c r="S343" s="22"/>
      <c r="T343" s="21"/>
      <c r="U343" s="23"/>
      <c r="V343" s="10"/>
      <c r="W343" s="5" t="str">
        <f t="shared" si="68"/>
        <v/>
      </c>
      <c r="X343" s="7" t="str">
        <f t="shared" si="69"/>
        <v/>
      </c>
      <c r="Y343" s="8" t="str">
        <f t="shared" si="62"/>
        <v/>
      </c>
      <c r="Z343" s="31" t="str">
        <f>IF(AA343=0,"",IF(_ijour122=0,MIN(DATE(YEAR(_debamort122),MONTH(_debamort122)+(W343-1)*_imois122,__jou123),DATE(YEAR(_debamort122),MONTH(_debamort122)+1+(W343-1)*_imois122,0)),DATE(YEAR(_debamort122),MONTH(_debamort122),__jou123+(W343-1)*_ijour122)))</f>
        <v/>
      </c>
      <c r="AA343" s="156">
        <f t="shared" si="70"/>
        <v>0</v>
      </c>
      <c r="AB343" s="153">
        <f>IF(W343&lt;=_noechmaxi1t,ROUND(AA343*'Données Projet 1 (2)'!H352,_nbdeci1t1),0)</f>
        <v>0</v>
      </c>
      <c r="AC343" s="152">
        <f>IF(OR(W343&lt;=_differe1t1t,W343&gt;_noechmaxi1t),IF(_difftotal1t1t,-AB343,0),IF(W343&gt;=_noechremb12,AA343,IF('Données Projet 1 (2)'!I352-(AB343*_echfixe12)&gt;AA343-2,AA343,'Données Projet 1 (2)'!I352-(AB343*_echfixe12))))+R343</f>
        <v>0</v>
      </c>
      <c r="AD343" s="154">
        <f t="shared" si="71"/>
        <v>0</v>
      </c>
      <c r="AE343" s="157">
        <f t="shared" si="63"/>
        <v>0</v>
      </c>
    </row>
    <row r="344" spans="1:31" x14ac:dyDescent="0.2">
      <c r="A344" s="3"/>
      <c r="B344" s="164"/>
      <c r="C344" s="22"/>
      <c r="D344" s="21"/>
      <c r="E344" s="23"/>
      <c r="F344" s="10"/>
      <c r="G344" s="5">
        <f t="shared" si="64"/>
        <v>338</v>
      </c>
      <c r="H344" s="7">
        <f t="shared" si="65"/>
        <v>83</v>
      </c>
      <c r="I344" s="8">
        <f t="shared" si="60"/>
        <v>2037</v>
      </c>
      <c r="J344" s="31">
        <f>IF(K344=0,"",IF(_ijour12=0,MIN(DATE(YEAR(_debamort12),MONTH(_debamort12)+_MoisD+(G344-1)*_imois12,_jour212),DATE(YEAR(_debamort12),MONTH(_debamort12)+_MoisD+1+(G344-1)*_imois12,0)),DATE(YEAR(_debamort12),MONTH(_debamort12),_jour12+(G344-1)*_ijour12)))</f>
        <v>50072</v>
      </c>
      <c r="K344" s="156">
        <f t="shared" si="66"/>
        <v>47234.860000000044</v>
      </c>
      <c r="L344" s="153">
        <f>IF(G344&lt;=_noeechmaxi1,ROUND(K344*'Données Projet 1 (2)'!A353,_nbdeci1t),0)</f>
        <v>73.209999999999994</v>
      </c>
      <c r="M344" s="152">
        <f>IF(OR(G344&lt;=_differe1t,G344&gt;_noeechmaxi1),IF(_difftotal1t,-L344,0),IF(G344&gt;=_noechremb1t,K344,IF('Données Projet 1 (2)'!B353-(L344*_echfixe1t)&gt;K344-2,K344,'Données Projet 1 (2)'!B353-(L344*_echfixe1t))))+B344</f>
        <v>533.70999999999992</v>
      </c>
      <c r="N344" s="154">
        <f t="shared" si="67"/>
        <v>15.6</v>
      </c>
      <c r="O344" s="157">
        <f t="shared" si="61"/>
        <v>622.52</v>
      </c>
      <c r="Q344" s="3"/>
      <c r="R344" s="164"/>
      <c r="S344" s="22"/>
      <c r="T344" s="21"/>
      <c r="U344" s="23"/>
      <c r="V344" s="10"/>
      <c r="W344" s="5" t="str">
        <f t="shared" si="68"/>
        <v/>
      </c>
      <c r="X344" s="7" t="str">
        <f t="shared" si="69"/>
        <v/>
      </c>
      <c r="Y344" s="8" t="str">
        <f t="shared" si="62"/>
        <v/>
      </c>
      <c r="Z344" s="31" t="str">
        <f>IF(AA344=0,"",IF(_ijour122=0,MIN(DATE(YEAR(_debamort122),MONTH(_debamort122)+_moisd12+(W344-1)*_imois122,__jou21),DATE(YEAR(_debamort122),MONTH(_debamort122)+_moisd12+1+(W344-1)*_imois122,0)),DATE(YEAR(_debamort122),MONTH(_debamort122),__jou123+(W344-1)*_ijour122)))</f>
        <v/>
      </c>
      <c r="AA344" s="156">
        <f t="shared" si="70"/>
        <v>0</v>
      </c>
      <c r="AB344" s="153">
        <f>IF(W344&lt;=_noechmaxi1t,ROUND(AA344*'Données Projet 1 (2)'!H353,_nbdeci1t1),0)</f>
        <v>0</v>
      </c>
      <c r="AC344" s="152">
        <f>IF(OR(W344&lt;=_differe1t1t,W344&gt;_noechmaxi1t),IF(_difftotal1t1t,-AB344,0),IF(W344&gt;=_noechremb12,AA344,IF('Données Projet 1 (2)'!I353-(AB344*_echfixe12)&gt;AA344-2,AA344,'Données Projet 1 (2)'!I353-(AB344*_echfixe12))))+R344</f>
        <v>0</v>
      </c>
      <c r="AD344" s="154">
        <f t="shared" si="71"/>
        <v>0</v>
      </c>
      <c r="AE344" s="157">
        <f t="shared" si="63"/>
        <v>0</v>
      </c>
    </row>
    <row r="345" spans="1:31" x14ac:dyDescent="0.2">
      <c r="A345" s="3"/>
      <c r="B345" s="164"/>
      <c r="C345" s="22"/>
      <c r="D345" s="21"/>
      <c r="E345" s="23"/>
      <c r="F345" s="10"/>
      <c r="G345" s="5">
        <f t="shared" si="64"/>
        <v>339</v>
      </c>
      <c r="H345" s="7">
        <f t="shared" si="65"/>
        <v>82</v>
      </c>
      <c r="I345" s="8">
        <f t="shared" si="60"/>
        <v>2037</v>
      </c>
      <c r="J345" s="31">
        <f>IF(K345=0,"",IF(_ijour12=0,MIN(DATE(YEAR(_debamort12),MONTH(_debamort12)+(G345-1)*_imois12,_jour12),DATE(YEAR(_debamort12),MONTH(_debamort12)+1+(G345-1)*_imois12,0)),DATE(YEAR(_debamort12),MONTH(_debamort12),_jour12+(G345-1)*_ijour12)))</f>
        <v>50100</v>
      </c>
      <c r="K345" s="156">
        <f t="shared" si="66"/>
        <v>46701.150000000045</v>
      </c>
      <c r="L345" s="153">
        <f>IF(G345&lt;=_noeechmaxi1,ROUND(K345*'Données Projet 1 (2)'!A354,_nbdeci1t),0)</f>
        <v>72.39</v>
      </c>
      <c r="M345" s="152">
        <f>IF(OR(G345&lt;=_differe1t,G345&gt;_noeechmaxi1),IF(_difftotal1t,-L345,0),IF(G345&gt;=_noechremb1t,K345,IF('Données Projet 1 (2)'!B354-(L345*_echfixe1t)&gt;K345-2,K345,'Données Projet 1 (2)'!B354-(L345*_echfixe1t))))+B345</f>
        <v>534.53</v>
      </c>
      <c r="N345" s="154">
        <f t="shared" si="67"/>
        <v>15.6</v>
      </c>
      <c r="O345" s="157">
        <f t="shared" si="61"/>
        <v>622.52</v>
      </c>
      <c r="Q345" s="3"/>
      <c r="R345" s="164"/>
      <c r="S345" s="22"/>
      <c r="T345" s="21"/>
      <c r="U345" s="23"/>
      <c r="V345" s="10"/>
      <c r="W345" s="5" t="str">
        <f t="shared" si="68"/>
        <v/>
      </c>
      <c r="X345" s="7" t="str">
        <f t="shared" si="69"/>
        <v/>
      </c>
      <c r="Y345" s="8" t="str">
        <f t="shared" si="62"/>
        <v/>
      </c>
      <c r="Z345" s="31" t="str">
        <f>IF(AA345=0,"",IF(_ijour122=0,MIN(DATE(YEAR(_debamort122),MONTH(_debamort122)+(W345-1)*_imois122,__jou123),DATE(YEAR(_debamort122),MONTH(_debamort122)+1+(W345-1)*_imois122,0)),DATE(YEAR(_debamort122),MONTH(_debamort122),__jou123+(W345-1)*_ijour122)))</f>
        <v/>
      </c>
      <c r="AA345" s="156">
        <f t="shared" si="70"/>
        <v>0</v>
      </c>
      <c r="AB345" s="153">
        <f>IF(W345&lt;=_noechmaxi1t,ROUND(AA345*'Données Projet 1 (2)'!H354,_nbdeci1t1),0)</f>
        <v>0</v>
      </c>
      <c r="AC345" s="152">
        <f>IF(OR(W345&lt;=_differe1t1t,W345&gt;_noechmaxi1t),IF(_difftotal1t1t,-AB345,0),IF(W345&gt;=_noechremb12,AA345,IF('Données Projet 1 (2)'!I354-(AB345*_echfixe12)&gt;AA345-2,AA345,'Données Projet 1 (2)'!I354-(AB345*_echfixe12))))+R345</f>
        <v>0</v>
      </c>
      <c r="AD345" s="154">
        <f t="shared" si="71"/>
        <v>0</v>
      </c>
      <c r="AE345" s="157">
        <f t="shared" si="63"/>
        <v>0</v>
      </c>
    </row>
    <row r="346" spans="1:31" x14ac:dyDescent="0.2">
      <c r="A346" s="3"/>
      <c r="B346" s="164"/>
      <c r="C346" s="22"/>
      <c r="D346" s="21"/>
      <c r="E346" s="23"/>
      <c r="F346" s="10"/>
      <c r="G346" s="5">
        <f t="shared" si="64"/>
        <v>340</v>
      </c>
      <c r="H346" s="7">
        <f t="shared" si="65"/>
        <v>81</v>
      </c>
      <c r="I346" s="8">
        <f t="shared" si="60"/>
        <v>2037</v>
      </c>
      <c r="J346" s="31">
        <f>IF(K346=0,"",IF(_ijour12=0,MIN(DATE(YEAR(_debamort12),MONTH(_debamort12)+_MoisD+(G346-1)*_imois12,_jour212),DATE(YEAR(_debamort12),MONTH(_debamort12)+_MoisD+1+(G346-1)*_imois12,0)),DATE(YEAR(_debamort12),MONTH(_debamort12),_jour12+(G346-1)*_ijour12)))</f>
        <v>50131</v>
      </c>
      <c r="K346" s="156">
        <f t="shared" si="66"/>
        <v>46166.620000000046</v>
      </c>
      <c r="L346" s="153">
        <f>IF(G346&lt;=_noeechmaxi1,ROUND(K346*'Données Projet 1 (2)'!A355,_nbdeci1t),0)</f>
        <v>71.56</v>
      </c>
      <c r="M346" s="152">
        <f>IF(OR(G346&lt;=_differe1t,G346&gt;_noeechmaxi1),IF(_difftotal1t,-L346,0),IF(G346&gt;=_noechremb1t,K346,IF('Données Projet 1 (2)'!B355-(L346*_echfixe1t)&gt;K346-2,K346,'Données Projet 1 (2)'!B355-(L346*_echfixe1t))))+B346</f>
        <v>535.3599999999999</v>
      </c>
      <c r="N346" s="154">
        <f t="shared" si="67"/>
        <v>15.6</v>
      </c>
      <c r="O346" s="157">
        <f t="shared" si="61"/>
        <v>622.51999999999987</v>
      </c>
      <c r="Q346" s="3"/>
      <c r="R346" s="164"/>
      <c r="S346" s="22"/>
      <c r="T346" s="21"/>
      <c r="U346" s="23"/>
      <c r="V346" s="10"/>
      <c r="W346" s="5" t="str">
        <f t="shared" si="68"/>
        <v/>
      </c>
      <c r="X346" s="7" t="str">
        <f t="shared" si="69"/>
        <v/>
      </c>
      <c r="Y346" s="8" t="str">
        <f t="shared" si="62"/>
        <v/>
      </c>
      <c r="Z346" s="31" t="str">
        <f>IF(AA346=0,"",IF(_ijour122=0,MIN(DATE(YEAR(_debamort122),MONTH(_debamort122)+_moisd12+(W346-1)*_imois122,__jou21),DATE(YEAR(_debamort122),MONTH(_debamort122)+_moisd12+1+(W346-1)*_imois122,0)),DATE(YEAR(_debamort122),MONTH(_debamort122),__jou123+(W346-1)*_ijour122)))</f>
        <v/>
      </c>
      <c r="AA346" s="156">
        <f t="shared" si="70"/>
        <v>0</v>
      </c>
      <c r="AB346" s="153">
        <f>IF(W346&lt;=_noechmaxi1t,ROUND(AA346*'Données Projet 1 (2)'!H355,_nbdeci1t1),0)</f>
        <v>0</v>
      </c>
      <c r="AC346" s="152">
        <f>IF(OR(W346&lt;=_differe1t1t,W346&gt;_noechmaxi1t),IF(_difftotal1t1t,-AB346,0),IF(W346&gt;=_noechremb12,AA346,IF('Données Projet 1 (2)'!I355-(AB346*_echfixe12)&gt;AA346-2,AA346,'Données Projet 1 (2)'!I355-(AB346*_echfixe12))))+R346</f>
        <v>0</v>
      </c>
      <c r="AD346" s="154">
        <f t="shared" si="71"/>
        <v>0</v>
      </c>
      <c r="AE346" s="157">
        <f t="shared" si="63"/>
        <v>0</v>
      </c>
    </row>
    <row r="347" spans="1:31" x14ac:dyDescent="0.2">
      <c r="A347" s="3"/>
      <c r="B347" s="164"/>
      <c r="C347" s="22"/>
      <c r="D347" s="21"/>
      <c r="E347" s="23"/>
      <c r="F347" s="10"/>
      <c r="G347" s="5">
        <f t="shared" si="64"/>
        <v>341</v>
      </c>
      <c r="H347" s="7">
        <f t="shared" si="65"/>
        <v>80</v>
      </c>
      <c r="I347" s="8">
        <f t="shared" si="60"/>
        <v>2037</v>
      </c>
      <c r="J347" s="31">
        <f>IF(K347=0,"",IF(_ijour12=0,MIN(DATE(YEAR(_debamort12),MONTH(_debamort12)+(G347-1)*_imois12,_jour12),DATE(YEAR(_debamort12),MONTH(_debamort12)+1+(G347-1)*_imois12,0)),DATE(YEAR(_debamort12),MONTH(_debamort12),_jour12+(G347-1)*_ijour12)))</f>
        <v>50161</v>
      </c>
      <c r="K347" s="156">
        <f t="shared" si="66"/>
        <v>45631.260000000046</v>
      </c>
      <c r="L347" s="153">
        <f>IF(G347&lt;=_noeechmaxi1,ROUND(K347*'Données Projet 1 (2)'!A356,_nbdeci1t),0)</f>
        <v>70.73</v>
      </c>
      <c r="M347" s="152">
        <f>IF(OR(G347&lt;=_differe1t,G347&gt;_noeechmaxi1),IF(_difftotal1t,-L347,0),IF(G347&gt;=_noechremb1t,K347,IF('Données Projet 1 (2)'!B356-(L347*_echfixe1t)&gt;K347-2,K347,'Données Projet 1 (2)'!B356-(L347*_echfixe1t))))+B347</f>
        <v>536.18999999999994</v>
      </c>
      <c r="N347" s="154">
        <f t="shared" si="67"/>
        <v>15.6</v>
      </c>
      <c r="O347" s="157">
        <f t="shared" si="61"/>
        <v>622.52</v>
      </c>
      <c r="Q347" s="3"/>
      <c r="R347" s="164"/>
      <c r="S347" s="22"/>
      <c r="T347" s="21"/>
      <c r="U347" s="23"/>
      <c r="V347" s="10"/>
      <c r="W347" s="5" t="str">
        <f t="shared" si="68"/>
        <v/>
      </c>
      <c r="X347" s="7" t="str">
        <f t="shared" si="69"/>
        <v/>
      </c>
      <c r="Y347" s="8" t="str">
        <f t="shared" si="62"/>
        <v/>
      </c>
      <c r="Z347" s="31" t="str">
        <f>IF(AA347=0,"",IF(_ijour122=0,MIN(DATE(YEAR(_debamort122),MONTH(_debamort122)+(W347-1)*_imois122,__jou123),DATE(YEAR(_debamort122),MONTH(_debamort122)+1+(W347-1)*_imois122,0)),DATE(YEAR(_debamort122),MONTH(_debamort122),__jou123+(W347-1)*_ijour122)))</f>
        <v/>
      </c>
      <c r="AA347" s="156">
        <f t="shared" si="70"/>
        <v>0</v>
      </c>
      <c r="AB347" s="153">
        <f>IF(W347&lt;=_noechmaxi1t,ROUND(AA347*'Données Projet 1 (2)'!H356,_nbdeci1t1),0)</f>
        <v>0</v>
      </c>
      <c r="AC347" s="152">
        <f>IF(OR(W347&lt;=_differe1t1t,W347&gt;_noechmaxi1t),IF(_difftotal1t1t,-AB347,0),IF(W347&gt;=_noechremb12,AA347,IF('Données Projet 1 (2)'!I356-(AB347*_echfixe12)&gt;AA347-2,AA347,'Données Projet 1 (2)'!I356-(AB347*_echfixe12))))+R347</f>
        <v>0</v>
      </c>
      <c r="AD347" s="154">
        <f t="shared" si="71"/>
        <v>0</v>
      </c>
      <c r="AE347" s="157">
        <f t="shared" si="63"/>
        <v>0</v>
      </c>
    </row>
    <row r="348" spans="1:31" x14ac:dyDescent="0.2">
      <c r="A348" s="3"/>
      <c r="B348" s="164"/>
      <c r="C348" s="22"/>
      <c r="D348" s="21"/>
      <c r="E348" s="23"/>
      <c r="F348" s="10"/>
      <c r="G348" s="5">
        <f t="shared" si="64"/>
        <v>342</v>
      </c>
      <c r="H348" s="7">
        <f t="shared" si="65"/>
        <v>79</v>
      </c>
      <c r="I348" s="8">
        <f t="shared" si="60"/>
        <v>2037</v>
      </c>
      <c r="J348" s="31">
        <f>IF(K348=0,"",IF(_ijour12=0,MIN(DATE(YEAR(_debamort12),MONTH(_debamort12)+_MoisD+(G348-1)*_imois12,_jour212),DATE(YEAR(_debamort12),MONTH(_debamort12)+_MoisD+1+(G348-1)*_imois12,0)),DATE(YEAR(_debamort12),MONTH(_debamort12),_jour12+(G348-1)*_ijour12)))</f>
        <v>50192</v>
      </c>
      <c r="K348" s="156">
        <f t="shared" si="66"/>
        <v>45095.070000000043</v>
      </c>
      <c r="L348" s="153">
        <f>IF(G348&lt;=_noeechmaxi1,ROUND(K348*'Données Projet 1 (2)'!A357,_nbdeci1t),0)</f>
        <v>69.900000000000006</v>
      </c>
      <c r="M348" s="152">
        <f>IF(OR(G348&lt;=_differe1t,G348&gt;_noeechmaxi1),IF(_difftotal1t,-L348,0),IF(G348&gt;=_noechremb1t,K348,IF('Données Projet 1 (2)'!B357-(L348*_echfixe1t)&gt;K348-2,K348,'Données Projet 1 (2)'!B357-(L348*_echfixe1t))))+B348</f>
        <v>537.02</v>
      </c>
      <c r="N348" s="154">
        <f t="shared" si="67"/>
        <v>15.6</v>
      </c>
      <c r="O348" s="157">
        <f t="shared" si="61"/>
        <v>622.52</v>
      </c>
      <c r="Q348" s="3"/>
      <c r="R348" s="164"/>
      <c r="S348" s="22"/>
      <c r="T348" s="21"/>
      <c r="U348" s="23"/>
      <c r="V348" s="10"/>
      <c r="W348" s="5" t="str">
        <f t="shared" si="68"/>
        <v/>
      </c>
      <c r="X348" s="7" t="str">
        <f t="shared" si="69"/>
        <v/>
      </c>
      <c r="Y348" s="8" t="str">
        <f t="shared" si="62"/>
        <v/>
      </c>
      <c r="Z348" s="31" t="str">
        <f>IF(AA348=0,"",IF(_ijour122=0,MIN(DATE(YEAR(_debamort122),MONTH(_debamort122)+_moisd12+(W348-1)*_imois122,__jou21),DATE(YEAR(_debamort122),MONTH(_debamort122)+_moisd12+1+(W348-1)*_imois122,0)),DATE(YEAR(_debamort122),MONTH(_debamort122),__jou123+(W348-1)*_ijour122)))</f>
        <v/>
      </c>
      <c r="AA348" s="156">
        <f t="shared" si="70"/>
        <v>0</v>
      </c>
      <c r="AB348" s="153">
        <f>IF(W348&lt;=_noechmaxi1t,ROUND(AA348*'Données Projet 1 (2)'!H357,_nbdeci1t1),0)</f>
        <v>0</v>
      </c>
      <c r="AC348" s="152">
        <f>IF(OR(W348&lt;=_differe1t1t,W348&gt;_noechmaxi1t),IF(_difftotal1t1t,-AB348,0),IF(W348&gt;=_noechremb12,AA348,IF('Données Projet 1 (2)'!I357-(AB348*_echfixe12)&gt;AA348-2,AA348,'Données Projet 1 (2)'!I357-(AB348*_echfixe12))))+R348</f>
        <v>0</v>
      </c>
      <c r="AD348" s="154">
        <f t="shared" si="71"/>
        <v>0</v>
      </c>
      <c r="AE348" s="157">
        <f t="shared" si="63"/>
        <v>0</v>
      </c>
    </row>
    <row r="349" spans="1:31" x14ac:dyDescent="0.2">
      <c r="A349" s="3"/>
      <c r="B349" s="164"/>
      <c r="C349" s="22"/>
      <c r="D349" s="21"/>
      <c r="E349" s="23"/>
      <c r="F349" s="10"/>
      <c r="G349" s="5">
        <f t="shared" si="64"/>
        <v>343</v>
      </c>
      <c r="H349" s="7">
        <f t="shared" si="65"/>
        <v>78</v>
      </c>
      <c r="I349" s="8">
        <f t="shared" si="60"/>
        <v>2037</v>
      </c>
      <c r="J349" s="31">
        <f>IF(K349=0,"",IF(_ijour12=0,MIN(DATE(YEAR(_debamort12),MONTH(_debamort12)+(G349-1)*_imois12,_jour12),DATE(YEAR(_debamort12),MONTH(_debamort12)+1+(G349-1)*_imois12,0)),DATE(YEAR(_debamort12),MONTH(_debamort12),_jour12+(G349-1)*_ijour12)))</f>
        <v>50222</v>
      </c>
      <c r="K349" s="156">
        <f t="shared" si="66"/>
        <v>44558.050000000047</v>
      </c>
      <c r="L349" s="153">
        <f>IF(G349&lt;=_noeechmaxi1,ROUND(K349*'Données Projet 1 (2)'!A358,_nbdeci1t),0)</f>
        <v>69.06</v>
      </c>
      <c r="M349" s="152">
        <f>IF(OR(G349&lt;=_differe1t,G349&gt;_noeechmaxi1),IF(_difftotal1t,-L349,0),IF(G349&gt;=_noechremb1t,K349,IF('Données Projet 1 (2)'!B358-(L349*_echfixe1t)&gt;K349-2,K349,'Données Projet 1 (2)'!B358-(L349*_echfixe1t))))+B349</f>
        <v>537.8599999999999</v>
      </c>
      <c r="N349" s="154">
        <f t="shared" si="67"/>
        <v>15.6</v>
      </c>
      <c r="O349" s="157">
        <f t="shared" si="61"/>
        <v>622.51999999999987</v>
      </c>
      <c r="Q349" s="3"/>
      <c r="R349" s="164"/>
      <c r="S349" s="22"/>
      <c r="T349" s="21"/>
      <c r="U349" s="23"/>
      <c r="V349" s="10"/>
      <c r="W349" s="5" t="str">
        <f t="shared" si="68"/>
        <v/>
      </c>
      <c r="X349" s="7" t="str">
        <f t="shared" si="69"/>
        <v/>
      </c>
      <c r="Y349" s="8" t="str">
        <f t="shared" si="62"/>
        <v/>
      </c>
      <c r="Z349" s="31" t="str">
        <f>IF(AA349=0,"",IF(_ijour122=0,MIN(DATE(YEAR(_debamort122),MONTH(_debamort122)+(W349-1)*_imois122,__jou123),DATE(YEAR(_debamort122),MONTH(_debamort122)+1+(W349-1)*_imois122,0)),DATE(YEAR(_debamort122),MONTH(_debamort122),__jou123+(W349-1)*_ijour122)))</f>
        <v/>
      </c>
      <c r="AA349" s="156">
        <f t="shared" si="70"/>
        <v>0</v>
      </c>
      <c r="AB349" s="153">
        <f>IF(W349&lt;=_noechmaxi1t,ROUND(AA349*'Données Projet 1 (2)'!H358,_nbdeci1t1),0)</f>
        <v>0</v>
      </c>
      <c r="AC349" s="152">
        <f>IF(OR(W349&lt;=_differe1t1t,W349&gt;_noechmaxi1t),IF(_difftotal1t1t,-AB349,0),IF(W349&gt;=_noechremb12,AA349,IF('Données Projet 1 (2)'!I358-(AB349*_echfixe12)&gt;AA349-2,AA349,'Données Projet 1 (2)'!I358-(AB349*_echfixe12))))+R349</f>
        <v>0</v>
      </c>
      <c r="AD349" s="154">
        <f t="shared" si="71"/>
        <v>0</v>
      </c>
      <c r="AE349" s="157">
        <f t="shared" si="63"/>
        <v>0</v>
      </c>
    </row>
    <row r="350" spans="1:31" x14ac:dyDescent="0.2">
      <c r="A350" s="3"/>
      <c r="B350" s="164"/>
      <c r="C350" s="22"/>
      <c r="D350" s="21"/>
      <c r="E350" s="23"/>
      <c r="F350" s="10"/>
      <c r="G350" s="5">
        <f t="shared" si="64"/>
        <v>344</v>
      </c>
      <c r="H350" s="7">
        <f t="shared" si="65"/>
        <v>77</v>
      </c>
      <c r="I350" s="8">
        <f t="shared" si="60"/>
        <v>2037</v>
      </c>
      <c r="J350" s="31">
        <f>IF(K350=0,"",IF(_ijour12=0,MIN(DATE(YEAR(_debamort12),MONTH(_debamort12)+_MoisD+(G350-1)*_imois12,_jour212),DATE(YEAR(_debamort12),MONTH(_debamort12)+_MoisD+1+(G350-1)*_imois12,0)),DATE(YEAR(_debamort12),MONTH(_debamort12),_jour12+(G350-1)*_ijour12)))</f>
        <v>50253</v>
      </c>
      <c r="K350" s="156">
        <f t="shared" si="66"/>
        <v>44020.190000000046</v>
      </c>
      <c r="L350" s="153">
        <f>IF(G350&lt;=_noeechmaxi1,ROUND(K350*'Données Projet 1 (2)'!A359,_nbdeci1t),0)</f>
        <v>68.23</v>
      </c>
      <c r="M350" s="152">
        <f>IF(OR(G350&lt;=_differe1t,G350&gt;_noeechmaxi1),IF(_difftotal1t,-L350,0),IF(G350&gt;=_noechremb1t,K350,IF('Données Projet 1 (2)'!B359-(L350*_echfixe1t)&gt;K350-2,K350,'Données Projet 1 (2)'!B359-(L350*_echfixe1t))))+B350</f>
        <v>538.68999999999994</v>
      </c>
      <c r="N350" s="154">
        <f t="shared" si="67"/>
        <v>15.6</v>
      </c>
      <c r="O350" s="157">
        <f t="shared" si="61"/>
        <v>622.52</v>
      </c>
      <c r="Q350" s="3"/>
      <c r="R350" s="164"/>
      <c r="S350" s="22"/>
      <c r="T350" s="21"/>
      <c r="U350" s="23"/>
      <c r="V350" s="10"/>
      <c r="W350" s="5" t="str">
        <f t="shared" si="68"/>
        <v/>
      </c>
      <c r="X350" s="7" t="str">
        <f t="shared" si="69"/>
        <v/>
      </c>
      <c r="Y350" s="8" t="str">
        <f t="shared" si="62"/>
        <v/>
      </c>
      <c r="Z350" s="31" t="str">
        <f>IF(AA350=0,"",IF(_ijour122=0,MIN(DATE(YEAR(_debamort122),MONTH(_debamort122)+_moisd12+(W350-1)*_imois122,__jou21),DATE(YEAR(_debamort122),MONTH(_debamort122)+_moisd12+1+(W350-1)*_imois122,0)),DATE(YEAR(_debamort122),MONTH(_debamort122),__jou123+(W350-1)*_ijour122)))</f>
        <v/>
      </c>
      <c r="AA350" s="156">
        <f t="shared" si="70"/>
        <v>0</v>
      </c>
      <c r="AB350" s="153">
        <f>IF(W350&lt;=_noechmaxi1t,ROUND(AA350*'Données Projet 1 (2)'!H359,_nbdeci1t1),0)</f>
        <v>0</v>
      </c>
      <c r="AC350" s="152">
        <f>IF(OR(W350&lt;=_differe1t1t,W350&gt;_noechmaxi1t),IF(_difftotal1t1t,-AB350,0),IF(W350&gt;=_noechremb12,AA350,IF('Données Projet 1 (2)'!I359-(AB350*_echfixe12)&gt;AA350-2,AA350,'Données Projet 1 (2)'!I359-(AB350*_echfixe12))))+R350</f>
        <v>0</v>
      </c>
      <c r="AD350" s="154">
        <f t="shared" si="71"/>
        <v>0</v>
      </c>
      <c r="AE350" s="157">
        <f t="shared" si="63"/>
        <v>0</v>
      </c>
    </row>
    <row r="351" spans="1:31" x14ac:dyDescent="0.2">
      <c r="A351" s="3"/>
      <c r="B351" s="164"/>
      <c r="C351" s="22"/>
      <c r="D351" s="21"/>
      <c r="E351" s="23"/>
      <c r="F351" s="10"/>
      <c r="G351" s="5">
        <f t="shared" si="64"/>
        <v>345</v>
      </c>
      <c r="H351" s="7">
        <f t="shared" si="65"/>
        <v>76</v>
      </c>
      <c r="I351" s="8">
        <f t="shared" si="60"/>
        <v>2037</v>
      </c>
      <c r="J351" s="31">
        <f>IF(K351=0,"",IF(_ijour12=0,MIN(DATE(YEAR(_debamort12),MONTH(_debamort12)+(G351-1)*_imois12,_jour12),DATE(YEAR(_debamort12),MONTH(_debamort12)+1+(G351-1)*_imois12,0)),DATE(YEAR(_debamort12),MONTH(_debamort12),_jour12+(G351-1)*_ijour12)))</f>
        <v>50284</v>
      </c>
      <c r="K351" s="156">
        <f t="shared" si="66"/>
        <v>43481.500000000044</v>
      </c>
      <c r="L351" s="153">
        <f>IF(G351&lt;=_noeechmaxi1,ROUND(K351*'Données Projet 1 (2)'!A360,_nbdeci1t),0)</f>
        <v>67.400000000000006</v>
      </c>
      <c r="M351" s="152">
        <f>IF(OR(G351&lt;=_differe1t,G351&gt;_noeechmaxi1),IF(_difftotal1t,-L351,0),IF(G351&gt;=_noechremb1t,K351,IF('Données Projet 1 (2)'!B360-(L351*_echfixe1t)&gt;K351-2,K351,'Données Projet 1 (2)'!B360-(L351*_echfixe1t))))+B351</f>
        <v>539.52</v>
      </c>
      <c r="N351" s="154">
        <f t="shared" si="67"/>
        <v>15.6</v>
      </c>
      <c r="O351" s="157">
        <f t="shared" si="61"/>
        <v>622.52</v>
      </c>
      <c r="Q351" s="3"/>
      <c r="R351" s="164"/>
      <c r="S351" s="22"/>
      <c r="T351" s="21"/>
      <c r="U351" s="23"/>
      <c r="V351" s="10"/>
      <c r="W351" s="5" t="str">
        <f t="shared" si="68"/>
        <v/>
      </c>
      <c r="X351" s="7" t="str">
        <f t="shared" si="69"/>
        <v/>
      </c>
      <c r="Y351" s="8" t="str">
        <f t="shared" si="62"/>
        <v/>
      </c>
      <c r="Z351" s="31" t="str">
        <f>IF(AA351=0,"",IF(_ijour122=0,MIN(DATE(YEAR(_debamort122),MONTH(_debamort122)+(W351-1)*_imois122,__jou123),DATE(YEAR(_debamort122),MONTH(_debamort122)+1+(W351-1)*_imois122,0)),DATE(YEAR(_debamort122),MONTH(_debamort122),__jou123+(W351-1)*_ijour122)))</f>
        <v/>
      </c>
      <c r="AA351" s="156">
        <f t="shared" si="70"/>
        <v>0</v>
      </c>
      <c r="AB351" s="153">
        <f>IF(W351&lt;=_noechmaxi1t,ROUND(AA351*'Données Projet 1 (2)'!H360,_nbdeci1t1),0)</f>
        <v>0</v>
      </c>
      <c r="AC351" s="152">
        <f>IF(OR(W351&lt;=_differe1t1t,W351&gt;_noechmaxi1t),IF(_difftotal1t1t,-AB351,0),IF(W351&gt;=_noechremb12,AA351,IF('Données Projet 1 (2)'!I360-(AB351*_echfixe12)&gt;AA351-2,AA351,'Données Projet 1 (2)'!I360-(AB351*_echfixe12))))+R351</f>
        <v>0</v>
      </c>
      <c r="AD351" s="154">
        <f t="shared" si="71"/>
        <v>0</v>
      </c>
      <c r="AE351" s="157">
        <f t="shared" si="63"/>
        <v>0</v>
      </c>
    </row>
    <row r="352" spans="1:31" x14ac:dyDescent="0.2">
      <c r="A352" s="3"/>
      <c r="B352" s="164"/>
      <c r="C352" s="22"/>
      <c r="D352" s="21"/>
      <c r="E352" s="23"/>
      <c r="F352" s="10"/>
      <c r="G352" s="5">
        <f t="shared" si="64"/>
        <v>346</v>
      </c>
      <c r="H352" s="7">
        <f t="shared" si="65"/>
        <v>75</v>
      </c>
      <c r="I352" s="8">
        <f t="shared" si="60"/>
        <v>2037</v>
      </c>
      <c r="J352" s="31">
        <f>IF(K352=0,"",IF(_ijour12=0,MIN(DATE(YEAR(_debamort12),MONTH(_debamort12)+_MoisD+(G352-1)*_imois12,_jour212),DATE(YEAR(_debamort12),MONTH(_debamort12)+_MoisD+1+(G352-1)*_imois12,0)),DATE(YEAR(_debamort12),MONTH(_debamort12),_jour12+(G352-1)*_ijour12)))</f>
        <v>50314</v>
      </c>
      <c r="K352" s="156">
        <f t="shared" si="66"/>
        <v>42941.980000000047</v>
      </c>
      <c r="L352" s="153">
        <f>IF(G352&lt;=_noeechmaxi1,ROUND(K352*'Données Projet 1 (2)'!A361,_nbdeci1t),0)</f>
        <v>66.56</v>
      </c>
      <c r="M352" s="152">
        <f>IF(OR(G352&lt;=_differe1t,G352&gt;_noeechmaxi1),IF(_difftotal1t,-L352,0),IF(G352&gt;=_noechremb1t,K352,IF('Données Projet 1 (2)'!B361-(L352*_echfixe1t)&gt;K352-2,K352,'Données Projet 1 (2)'!B361-(L352*_echfixe1t))))+B352</f>
        <v>540.3599999999999</v>
      </c>
      <c r="N352" s="154">
        <f t="shared" si="67"/>
        <v>15.6</v>
      </c>
      <c r="O352" s="157">
        <f t="shared" si="61"/>
        <v>622.51999999999987</v>
      </c>
      <c r="Q352" s="3"/>
      <c r="R352" s="164"/>
      <c r="S352" s="22"/>
      <c r="T352" s="21"/>
      <c r="U352" s="23"/>
      <c r="V352" s="10"/>
      <c r="W352" s="5" t="str">
        <f t="shared" si="68"/>
        <v/>
      </c>
      <c r="X352" s="7" t="str">
        <f t="shared" si="69"/>
        <v/>
      </c>
      <c r="Y352" s="8" t="str">
        <f t="shared" si="62"/>
        <v/>
      </c>
      <c r="Z352" s="31" t="str">
        <f>IF(AA352=0,"",IF(_ijour122=0,MIN(DATE(YEAR(_debamort122),MONTH(_debamort122)+_moisd12+(W352-1)*_imois122,__jou21),DATE(YEAR(_debamort122),MONTH(_debamort122)+_moisd12+1+(W352-1)*_imois122,0)),DATE(YEAR(_debamort122),MONTH(_debamort122),__jou123+(W352-1)*_ijour122)))</f>
        <v/>
      </c>
      <c r="AA352" s="156">
        <f t="shared" si="70"/>
        <v>0</v>
      </c>
      <c r="AB352" s="153">
        <f>IF(W352&lt;=_noechmaxi1t,ROUND(AA352*'Données Projet 1 (2)'!H361,_nbdeci1t1),0)</f>
        <v>0</v>
      </c>
      <c r="AC352" s="152">
        <f>IF(OR(W352&lt;=_differe1t1t,W352&gt;_noechmaxi1t),IF(_difftotal1t1t,-AB352,0),IF(W352&gt;=_noechremb12,AA352,IF('Données Projet 1 (2)'!I361-(AB352*_echfixe12)&gt;AA352-2,AA352,'Données Projet 1 (2)'!I361-(AB352*_echfixe12))))+R352</f>
        <v>0</v>
      </c>
      <c r="AD352" s="154">
        <f t="shared" si="71"/>
        <v>0</v>
      </c>
      <c r="AE352" s="157">
        <f t="shared" si="63"/>
        <v>0</v>
      </c>
    </row>
    <row r="353" spans="1:31" x14ac:dyDescent="0.2">
      <c r="A353" s="3"/>
      <c r="B353" s="164"/>
      <c r="C353" s="22"/>
      <c r="D353" s="21"/>
      <c r="E353" s="23"/>
      <c r="F353" s="10"/>
      <c r="G353" s="5">
        <f t="shared" si="64"/>
        <v>347</v>
      </c>
      <c r="H353" s="7">
        <f t="shared" si="65"/>
        <v>74</v>
      </c>
      <c r="I353" s="8">
        <f t="shared" si="60"/>
        <v>2037</v>
      </c>
      <c r="J353" s="31">
        <f>IF(K353=0,"",IF(_ijour12=0,MIN(DATE(YEAR(_debamort12),MONTH(_debamort12)+(G353-1)*_imois12,_jour12),DATE(YEAR(_debamort12),MONTH(_debamort12)+1+(G353-1)*_imois12,0)),DATE(YEAR(_debamort12),MONTH(_debamort12),_jour12+(G353-1)*_ijour12)))</f>
        <v>50345</v>
      </c>
      <c r="K353" s="156">
        <f t="shared" si="66"/>
        <v>42401.620000000046</v>
      </c>
      <c r="L353" s="153">
        <f>IF(G353&lt;=_noeechmaxi1,ROUND(K353*'Données Projet 1 (2)'!A362,_nbdeci1t),0)</f>
        <v>65.72</v>
      </c>
      <c r="M353" s="152">
        <f>IF(OR(G353&lt;=_differe1t,G353&gt;_noeechmaxi1),IF(_difftotal1t,-L353,0),IF(G353&gt;=_noechremb1t,K353,IF('Données Projet 1 (2)'!B362-(L353*_echfixe1t)&gt;K353-2,K353,'Données Projet 1 (2)'!B362-(L353*_echfixe1t))))+B353</f>
        <v>541.19999999999993</v>
      </c>
      <c r="N353" s="154">
        <f t="shared" si="67"/>
        <v>15.6</v>
      </c>
      <c r="O353" s="157">
        <f t="shared" si="61"/>
        <v>622.52</v>
      </c>
      <c r="Q353" s="3"/>
      <c r="R353" s="164"/>
      <c r="S353" s="22"/>
      <c r="T353" s="21"/>
      <c r="U353" s="23"/>
      <c r="V353" s="10"/>
      <c r="W353" s="5" t="str">
        <f t="shared" si="68"/>
        <v/>
      </c>
      <c r="X353" s="7" t="str">
        <f t="shared" si="69"/>
        <v/>
      </c>
      <c r="Y353" s="8" t="str">
        <f t="shared" si="62"/>
        <v/>
      </c>
      <c r="Z353" s="31" t="str">
        <f>IF(AA353=0,"",IF(_ijour122=0,MIN(DATE(YEAR(_debamort122),MONTH(_debamort122)+(W353-1)*_imois122,__jou123),DATE(YEAR(_debamort122),MONTH(_debamort122)+1+(W353-1)*_imois122,0)),DATE(YEAR(_debamort122),MONTH(_debamort122),__jou123+(W353-1)*_ijour122)))</f>
        <v/>
      </c>
      <c r="AA353" s="156">
        <f t="shared" si="70"/>
        <v>0</v>
      </c>
      <c r="AB353" s="153">
        <f>IF(W353&lt;=_noechmaxi1t,ROUND(AA353*'Données Projet 1 (2)'!H362,_nbdeci1t1),0)</f>
        <v>0</v>
      </c>
      <c r="AC353" s="152">
        <f>IF(OR(W353&lt;=_differe1t1t,W353&gt;_noechmaxi1t),IF(_difftotal1t1t,-AB353,0),IF(W353&gt;=_noechremb12,AA353,IF('Données Projet 1 (2)'!I362-(AB353*_echfixe12)&gt;AA353-2,AA353,'Données Projet 1 (2)'!I362-(AB353*_echfixe12))))+R353</f>
        <v>0</v>
      </c>
      <c r="AD353" s="154">
        <f t="shared" si="71"/>
        <v>0</v>
      </c>
      <c r="AE353" s="157">
        <f t="shared" si="63"/>
        <v>0</v>
      </c>
    </row>
    <row r="354" spans="1:31" x14ac:dyDescent="0.2">
      <c r="A354" s="3"/>
      <c r="B354" s="164"/>
      <c r="C354" s="22"/>
      <c r="D354" s="21"/>
      <c r="E354" s="23"/>
      <c r="F354" s="10"/>
      <c r="G354" s="5">
        <f t="shared" si="64"/>
        <v>348</v>
      </c>
      <c r="H354" s="7">
        <f t="shared" si="65"/>
        <v>73</v>
      </c>
      <c r="I354" s="8">
        <f t="shared" si="60"/>
        <v>2037</v>
      </c>
      <c r="J354" s="31">
        <f>IF(K354=0,"",IF(_ijour12=0,MIN(DATE(YEAR(_debamort12),MONTH(_debamort12)+_MoisD+(G354-1)*_imois12,_jour212),DATE(YEAR(_debamort12),MONTH(_debamort12)+_MoisD+1+(G354-1)*_imois12,0)),DATE(YEAR(_debamort12),MONTH(_debamort12),_jour12+(G354-1)*_ijour12)))</f>
        <v>50375</v>
      </c>
      <c r="K354" s="156">
        <f t="shared" si="66"/>
        <v>41860.420000000049</v>
      </c>
      <c r="L354" s="153">
        <f>IF(G354&lt;=_noeechmaxi1,ROUND(K354*'Données Projet 1 (2)'!A363,_nbdeci1t),0)</f>
        <v>64.88</v>
      </c>
      <c r="M354" s="152">
        <f>IF(OR(G354&lt;=_differe1t,G354&gt;_noeechmaxi1),IF(_difftotal1t,-L354,0),IF(G354&gt;=_noechremb1t,K354,IF('Données Projet 1 (2)'!B363-(L354*_echfixe1t)&gt;K354-2,K354,'Données Projet 1 (2)'!B363-(L354*_echfixe1t))))+B354</f>
        <v>542.04</v>
      </c>
      <c r="N354" s="154">
        <f t="shared" si="67"/>
        <v>15.6</v>
      </c>
      <c r="O354" s="157">
        <f t="shared" si="61"/>
        <v>622.52</v>
      </c>
      <c r="Q354" s="3"/>
      <c r="R354" s="164"/>
      <c r="S354" s="22"/>
      <c r="T354" s="21"/>
      <c r="U354" s="23"/>
      <c r="V354" s="10"/>
      <c r="W354" s="5" t="str">
        <f t="shared" si="68"/>
        <v/>
      </c>
      <c r="X354" s="7" t="str">
        <f t="shared" si="69"/>
        <v/>
      </c>
      <c r="Y354" s="8" t="str">
        <f t="shared" si="62"/>
        <v/>
      </c>
      <c r="Z354" s="31" t="str">
        <f>IF(AA354=0,"",IF(_ijour122=0,MIN(DATE(YEAR(_debamort122),MONTH(_debamort122)+_moisd12+(W354-1)*_imois122,__jou21),DATE(YEAR(_debamort122),MONTH(_debamort122)+_moisd12+1+(W354-1)*_imois122,0)),DATE(YEAR(_debamort122),MONTH(_debamort122),__jou123+(W354-1)*_ijour122)))</f>
        <v/>
      </c>
      <c r="AA354" s="156">
        <f t="shared" si="70"/>
        <v>0</v>
      </c>
      <c r="AB354" s="153">
        <f>IF(W354&lt;=_noechmaxi1t,ROUND(AA354*'Données Projet 1 (2)'!H363,_nbdeci1t1),0)</f>
        <v>0</v>
      </c>
      <c r="AC354" s="152">
        <f>IF(OR(W354&lt;=_differe1t1t,W354&gt;_noechmaxi1t),IF(_difftotal1t1t,-AB354,0),IF(W354&gt;=_noechremb12,AA354,IF('Données Projet 1 (2)'!I363-(AB354*_echfixe12)&gt;AA354-2,AA354,'Données Projet 1 (2)'!I363-(AB354*_echfixe12))))+R354</f>
        <v>0</v>
      </c>
      <c r="AD354" s="154">
        <f t="shared" si="71"/>
        <v>0</v>
      </c>
      <c r="AE354" s="157">
        <f t="shared" si="63"/>
        <v>0</v>
      </c>
    </row>
    <row r="355" spans="1:31" x14ac:dyDescent="0.2">
      <c r="A355" s="3"/>
      <c r="B355" s="164"/>
      <c r="C355" s="22"/>
      <c r="D355" s="21"/>
      <c r="E355" s="23"/>
      <c r="F355" s="10"/>
      <c r="G355" s="5">
        <f t="shared" si="64"/>
        <v>349</v>
      </c>
      <c r="H355" s="7">
        <f t="shared" si="65"/>
        <v>72</v>
      </c>
      <c r="I355" s="8">
        <f t="shared" si="60"/>
        <v>2038</v>
      </c>
      <c r="J355" s="31">
        <f>IF(K355=0,"",IF(_ijour12=0,MIN(DATE(YEAR(_debamort12),MONTH(_debamort12)+(G355-1)*_imois12,_jour12),DATE(YEAR(_debamort12),MONTH(_debamort12)+1+(G355-1)*_imois12,0)),DATE(YEAR(_debamort12),MONTH(_debamort12),_jour12+(G355-1)*_ijour12)))</f>
        <v>50406</v>
      </c>
      <c r="K355" s="156">
        <f t="shared" si="66"/>
        <v>41318.380000000048</v>
      </c>
      <c r="L355" s="153">
        <f>IF(G355&lt;=_noeechmaxi1,ROUND(K355*'Données Projet 1 (2)'!A364,_nbdeci1t),0)</f>
        <v>64.040000000000006</v>
      </c>
      <c r="M355" s="152">
        <f>IF(OR(G355&lt;=_differe1t,G355&gt;_noeechmaxi1),IF(_difftotal1t,-L355,0),IF(G355&gt;=_noechremb1t,K355,IF('Données Projet 1 (2)'!B364-(L355*_echfixe1t)&gt;K355-2,K355,'Données Projet 1 (2)'!B364-(L355*_echfixe1t))))+B355</f>
        <v>542.88</v>
      </c>
      <c r="N355" s="154">
        <f t="shared" si="67"/>
        <v>15.6</v>
      </c>
      <c r="O355" s="157">
        <f t="shared" si="61"/>
        <v>622.52</v>
      </c>
      <c r="Q355" s="3"/>
      <c r="R355" s="164"/>
      <c r="S355" s="22"/>
      <c r="T355" s="21"/>
      <c r="U355" s="23"/>
      <c r="V355" s="10"/>
      <c r="W355" s="5" t="str">
        <f t="shared" si="68"/>
        <v/>
      </c>
      <c r="X355" s="7" t="str">
        <f t="shared" si="69"/>
        <v/>
      </c>
      <c r="Y355" s="8" t="str">
        <f t="shared" si="62"/>
        <v/>
      </c>
      <c r="Z355" s="31" t="str">
        <f>IF(AA355=0,"",IF(_ijour122=0,MIN(DATE(YEAR(_debamort122),MONTH(_debamort122)+(W355-1)*_imois122,__jou123),DATE(YEAR(_debamort122),MONTH(_debamort122)+1+(W355-1)*_imois122,0)),DATE(YEAR(_debamort122),MONTH(_debamort122),__jou123+(W355-1)*_ijour122)))</f>
        <v/>
      </c>
      <c r="AA355" s="156">
        <f t="shared" si="70"/>
        <v>0</v>
      </c>
      <c r="AB355" s="153">
        <f>IF(W355&lt;=_noechmaxi1t,ROUND(AA355*'Données Projet 1 (2)'!H364,_nbdeci1t1),0)</f>
        <v>0</v>
      </c>
      <c r="AC355" s="152">
        <f>IF(OR(W355&lt;=_differe1t1t,W355&gt;_noechmaxi1t),IF(_difftotal1t1t,-AB355,0),IF(W355&gt;=_noechremb12,AA355,IF('Données Projet 1 (2)'!I364-(AB355*_echfixe12)&gt;AA355-2,AA355,'Données Projet 1 (2)'!I364-(AB355*_echfixe12))))+R355</f>
        <v>0</v>
      </c>
      <c r="AD355" s="154">
        <f t="shared" si="71"/>
        <v>0</v>
      </c>
      <c r="AE355" s="157">
        <f t="shared" si="63"/>
        <v>0</v>
      </c>
    </row>
    <row r="356" spans="1:31" x14ac:dyDescent="0.2">
      <c r="A356" s="3"/>
      <c r="B356" s="164"/>
      <c r="C356" s="22"/>
      <c r="D356" s="21"/>
      <c r="E356" s="23"/>
      <c r="F356" s="10"/>
      <c r="G356" s="5">
        <f t="shared" si="64"/>
        <v>350</v>
      </c>
      <c r="H356" s="7">
        <f t="shared" si="65"/>
        <v>71</v>
      </c>
      <c r="I356" s="8">
        <f t="shared" si="60"/>
        <v>2038</v>
      </c>
      <c r="J356" s="31">
        <f>IF(K356=0,"",IF(_ijour12=0,MIN(DATE(YEAR(_debamort12),MONTH(_debamort12)+_MoisD+(G356-1)*_imois12,_jour212),DATE(YEAR(_debamort12),MONTH(_debamort12)+_MoisD+1+(G356-1)*_imois12,0)),DATE(YEAR(_debamort12),MONTH(_debamort12),_jour12+(G356-1)*_ijour12)))</f>
        <v>50437</v>
      </c>
      <c r="K356" s="156">
        <f t="shared" si="66"/>
        <v>40775.500000000051</v>
      </c>
      <c r="L356" s="153">
        <f>IF(G356&lt;=_noeechmaxi1,ROUND(K356*'Données Projet 1 (2)'!A365,_nbdeci1t),0)</f>
        <v>63.2</v>
      </c>
      <c r="M356" s="152">
        <f>IF(OR(G356&lt;=_differe1t,G356&gt;_noeechmaxi1),IF(_difftotal1t,-L356,0),IF(G356&gt;=_noechremb1t,K356,IF('Données Projet 1 (2)'!B365-(L356*_echfixe1t)&gt;K356-2,K356,'Données Projet 1 (2)'!B365-(L356*_echfixe1t))))+B356</f>
        <v>543.71999999999991</v>
      </c>
      <c r="N356" s="154">
        <f t="shared" si="67"/>
        <v>15.6</v>
      </c>
      <c r="O356" s="157">
        <f t="shared" si="61"/>
        <v>622.52</v>
      </c>
      <c r="Q356" s="3"/>
      <c r="R356" s="164"/>
      <c r="S356" s="22"/>
      <c r="T356" s="21"/>
      <c r="U356" s="23"/>
      <c r="V356" s="10"/>
      <c r="W356" s="5" t="str">
        <f t="shared" si="68"/>
        <v/>
      </c>
      <c r="X356" s="7" t="str">
        <f t="shared" si="69"/>
        <v/>
      </c>
      <c r="Y356" s="8" t="str">
        <f t="shared" si="62"/>
        <v/>
      </c>
      <c r="Z356" s="31" t="str">
        <f>IF(AA356=0,"",IF(_ijour122=0,MIN(DATE(YEAR(_debamort122),MONTH(_debamort122)+_moisd12+(W356-1)*_imois122,__jou21),DATE(YEAR(_debamort122),MONTH(_debamort122)+_moisd12+1+(W356-1)*_imois122,0)),DATE(YEAR(_debamort122),MONTH(_debamort122),__jou123+(W356-1)*_ijour122)))</f>
        <v/>
      </c>
      <c r="AA356" s="156">
        <f t="shared" si="70"/>
        <v>0</v>
      </c>
      <c r="AB356" s="153">
        <f>IF(W356&lt;=_noechmaxi1t,ROUND(AA356*'Données Projet 1 (2)'!H365,_nbdeci1t1),0)</f>
        <v>0</v>
      </c>
      <c r="AC356" s="152">
        <f>IF(OR(W356&lt;=_differe1t1t,W356&gt;_noechmaxi1t),IF(_difftotal1t1t,-AB356,0),IF(W356&gt;=_noechremb12,AA356,IF('Données Projet 1 (2)'!I365-(AB356*_echfixe12)&gt;AA356-2,AA356,'Données Projet 1 (2)'!I365-(AB356*_echfixe12))))+R356</f>
        <v>0</v>
      </c>
      <c r="AD356" s="154">
        <f t="shared" si="71"/>
        <v>0</v>
      </c>
      <c r="AE356" s="157">
        <f t="shared" si="63"/>
        <v>0</v>
      </c>
    </row>
    <row r="357" spans="1:31" x14ac:dyDescent="0.2">
      <c r="A357" s="3"/>
      <c r="B357" s="164"/>
      <c r="C357" s="22"/>
      <c r="D357" s="21"/>
      <c r="E357" s="23"/>
      <c r="F357" s="10"/>
      <c r="G357" s="5">
        <f t="shared" si="64"/>
        <v>351</v>
      </c>
      <c r="H357" s="7">
        <f t="shared" si="65"/>
        <v>70</v>
      </c>
      <c r="I357" s="8">
        <f t="shared" si="60"/>
        <v>2038</v>
      </c>
      <c r="J357" s="31">
        <f>IF(K357=0,"",IF(_ijour12=0,MIN(DATE(YEAR(_debamort12),MONTH(_debamort12)+(G357-1)*_imois12,_jour12),DATE(YEAR(_debamort12),MONTH(_debamort12)+1+(G357-1)*_imois12,0)),DATE(YEAR(_debamort12),MONTH(_debamort12),_jour12+(G357-1)*_ijour12)))</f>
        <v>50465</v>
      </c>
      <c r="K357" s="156">
        <f t="shared" si="66"/>
        <v>40231.78000000005</v>
      </c>
      <c r="L357" s="153">
        <f>IF(G357&lt;=_noeechmaxi1,ROUND(K357*'Données Projet 1 (2)'!A366,_nbdeci1t),0)</f>
        <v>62.36</v>
      </c>
      <c r="M357" s="152">
        <f>IF(OR(G357&lt;=_differe1t,G357&gt;_noeechmaxi1),IF(_difftotal1t,-L357,0),IF(G357&gt;=_noechremb1t,K357,IF('Données Projet 1 (2)'!B366-(L357*_echfixe1t)&gt;K357-2,K357,'Données Projet 1 (2)'!B366-(L357*_echfixe1t))))+B357</f>
        <v>544.55999999999995</v>
      </c>
      <c r="N357" s="154">
        <f t="shared" si="67"/>
        <v>15.6</v>
      </c>
      <c r="O357" s="157">
        <f t="shared" si="61"/>
        <v>622.52</v>
      </c>
      <c r="Q357" s="3"/>
      <c r="R357" s="164"/>
      <c r="S357" s="22"/>
      <c r="T357" s="21"/>
      <c r="U357" s="23"/>
      <c r="V357" s="10"/>
      <c r="W357" s="5" t="str">
        <f t="shared" si="68"/>
        <v/>
      </c>
      <c r="X357" s="7" t="str">
        <f t="shared" si="69"/>
        <v/>
      </c>
      <c r="Y357" s="8" t="str">
        <f t="shared" si="62"/>
        <v/>
      </c>
      <c r="Z357" s="31" t="str">
        <f>IF(AA357=0,"",IF(_ijour122=0,MIN(DATE(YEAR(_debamort122),MONTH(_debamort122)+(W357-1)*_imois122,__jou123),DATE(YEAR(_debamort122),MONTH(_debamort122)+1+(W357-1)*_imois122,0)),DATE(YEAR(_debamort122),MONTH(_debamort122),__jou123+(W357-1)*_ijour122)))</f>
        <v/>
      </c>
      <c r="AA357" s="156">
        <f t="shared" si="70"/>
        <v>0</v>
      </c>
      <c r="AB357" s="153">
        <f>IF(W357&lt;=_noechmaxi1t,ROUND(AA357*'Données Projet 1 (2)'!H366,_nbdeci1t1),0)</f>
        <v>0</v>
      </c>
      <c r="AC357" s="152">
        <f>IF(OR(W357&lt;=_differe1t1t,W357&gt;_noechmaxi1t),IF(_difftotal1t1t,-AB357,0),IF(W357&gt;=_noechremb12,AA357,IF('Données Projet 1 (2)'!I366-(AB357*_echfixe12)&gt;AA357-2,AA357,'Données Projet 1 (2)'!I366-(AB357*_echfixe12))))+R357</f>
        <v>0</v>
      </c>
      <c r="AD357" s="154">
        <f t="shared" si="71"/>
        <v>0</v>
      </c>
      <c r="AE357" s="157">
        <f t="shared" si="63"/>
        <v>0</v>
      </c>
    </row>
    <row r="358" spans="1:31" x14ac:dyDescent="0.2">
      <c r="A358" s="3"/>
      <c r="B358" s="164"/>
      <c r="C358" s="22"/>
      <c r="D358" s="21"/>
      <c r="E358" s="23"/>
      <c r="F358" s="10"/>
      <c r="G358" s="5">
        <f t="shared" si="64"/>
        <v>352</v>
      </c>
      <c r="H358" s="7">
        <f t="shared" si="65"/>
        <v>69</v>
      </c>
      <c r="I358" s="8">
        <f t="shared" si="60"/>
        <v>2038</v>
      </c>
      <c r="J358" s="31">
        <f>IF(K358=0,"",IF(_ijour12=0,MIN(DATE(YEAR(_debamort12),MONTH(_debamort12)+_MoisD+(G358-1)*_imois12,_jour212),DATE(YEAR(_debamort12),MONTH(_debamort12)+_MoisD+1+(G358-1)*_imois12,0)),DATE(YEAR(_debamort12),MONTH(_debamort12),_jour12+(G358-1)*_ijour12)))</f>
        <v>50496</v>
      </c>
      <c r="K358" s="156">
        <f t="shared" si="66"/>
        <v>39687.220000000052</v>
      </c>
      <c r="L358" s="153">
        <f>IF(G358&lt;=_noeechmaxi1,ROUND(K358*'Données Projet 1 (2)'!A367,_nbdeci1t),0)</f>
        <v>61.52</v>
      </c>
      <c r="M358" s="152">
        <f>IF(OR(G358&lt;=_differe1t,G358&gt;_noeechmaxi1),IF(_difftotal1t,-L358,0),IF(G358&gt;=_noechremb1t,K358,IF('Données Projet 1 (2)'!B367-(L358*_echfixe1t)&gt;K358-2,K358,'Données Projet 1 (2)'!B367-(L358*_echfixe1t))))+B358</f>
        <v>545.4</v>
      </c>
      <c r="N358" s="154">
        <f t="shared" si="67"/>
        <v>15.6</v>
      </c>
      <c r="O358" s="157">
        <f t="shared" si="61"/>
        <v>622.52</v>
      </c>
      <c r="Q358" s="3"/>
      <c r="R358" s="164"/>
      <c r="S358" s="22"/>
      <c r="T358" s="21"/>
      <c r="U358" s="23"/>
      <c r="V358" s="10"/>
      <c r="W358" s="5" t="str">
        <f t="shared" si="68"/>
        <v/>
      </c>
      <c r="X358" s="7" t="str">
        <f t="shared" si="69"/>
        <v/>
      </c>
      <c r="Y358" s="8" t="str">
        <f t="shared" si="62"/>
        <v/>
      </c>
      <c r="Z358" s="31" t="str">
        <f>IF(AA358=0,"",IF(_ijour122=0,MIN(DATE(YEAR(_debamort122),MONTH(_debamort122)+_moisd12+(W358-1)*_imois122,__jou21),DATE(YEAR(_debamort122),MONTH(_debamort122)+_moisd12+1+(W358-1)*_imois122,0)),DATE(YEAR(_debamort122),MONTH(_debamort122),__jou123+(W358-1)*_ijour122)))</f>
        <v/>
      </c>
      <c r="AA358" s="156">
        <f t="shared" si="70"/>
        <v>0</v>
      </c>
      <c r="AB358" s="153">
        <f>IF(W358&lt;=_noechmaxi1t,ROUND(AA358*'Données Projet 1 (2)'!H367,_nbdeci1t1),0)</f>
        <v>0</v>
      </c>
      <c r="AC358" s="152">
        <f>IF(OR(W358&lt;=_differe1t1t,W358&gt;_noechmaxi1t),IF(_difftotal1t1t,-AB358,0),IF(W358&gt;=_noechremb12,AA358,IF('Données Projet 1 (2)'!I367-(AB358*_echfixe12)&gt;AA358-2,AA358,'Données Projet 1 (2)'!I367-(AB358*_echfixe12))))+R358</f>
        <v>0</v>
      </c>
      <c r="AD358" s="154">
        <f t="shared" si="71"/>
        <v>0</v>
      </c>
      <c r="AE358" s="157">
        <f t="shared" si="63"/>
        <v>0</v>
      </c>
    </row>
    <row r="359" spans="1:31" x14ac:dyDescent="0.2">
      <c r="A359" s="3"/>
      <c r="B359" s="164"/>
      <c r="C359" s="22"/>
      <c r="D359" s="21"/>
      <c r="E359" s="23"/>
      <c r="F359" s="10"/>
      <c r="G359" s="5">
        <f t="shared" si="64"/>
        <v>353</v>
      </c>
      <c r="H359" s="7">
        <f t="shared" si="65"/>
        <v>68</v>
      </c>
      <c r="I359" s="8">
        <f t="shared" si="60"/>
        <v>2038</v>
      </c>
      <c r="J359" s="31">
        <f>IF(K359=0,"",IF(_ijour12=0,MIN(DATE(YEAR(_debamort12),MONTH(_debamort12)+(G359-1)*_imois12,_jour12),DATE(YEAR(_debamort12),MONTH(_debamort12)+1+(G359-1)*_imois12,0)),DATE(YEAR(_debamort12),MONTH(_debamort12),_jour12+(G359-1)*_ijour12)))</f>
        <v>50526</v>
      </c>
      <c r="K359" s="156">
        <f t="shared" si="66"/>
        <v>39141.820000000051</v>
      </c>
      <c r="L359" s="153">
        <f>IF(G359&lt;=_noeechmaxi1,ROUND(K359*'Données Projet 1 (2)'!A368,_nbdeci1t),0)</f>
        <v>60.67</v>
      </c>
      <c r="M359" s="152">
        <f>IF(OR(G359&lt;=_differe1t,G359&gt;_noeechmaxi1),IF(_difftotal1t,-L359,0),IF(G359&gt;=_noechremb1t,K359,IF('Données Projet 1 (2)'!B368-(L359*_echfixe1t)&gt;K359-2,K359,'Données Projet 1 (2)'!B368-(L359*_echfixe1t))))+B359</f>
        <v>546.25</v>
      </c>
      <c r="N359" s="154">
        <f t="shared" si="67"/>
        <v>15.6</v>
      </c>
      <c r="O359" s="157">
        <f t="shared" si="61"/>
        <v>622.52</v>
      </c>
      <c r="Q359" s="3"/>
      <c r="R359" s="164"/>
      <c r="S359" s="22"/>
      <c r="T359" s="21"/>
      <c r="U359" s="23"/>
      <c r="V359" s="10"/>
      <c r="W359" s="5" t="str">
        <f t="shared" si="68"/>
        <v/>
      </c>
      <c r="X359" s="7" t="str">
        <f t="shared" si="69"/>
        <v/>
      </c>
      <c r="Y359" s="8" t="str">
        <f t="shared" si="62"/>
        <v/>
      </c>
      <c r="Z359" s="31" t="str">
        <f>IF(AA359=0,"",IF(_ijour122=0,MIN(DATE(YEAR(_debamort122),MONTH(_debamort122)+(W359-1)*_imois122,__jou123),DATE(YEAR(_debamort122),MONTH(_debamort122)+1+(W359-1)*_imois122,0)),DATE(YEAR(_debamort122),MONTH(_debamort122),__jou123+(W359-1)*_ijour122)))</f>
        <v/>
      </c>
      <c r="AA359" s="156">
        <f t="shared" si="70"/>
        <v>0</v>
      </c>
      <c r="AB359" s="153">
        <f>IF(W359&lt;=_noechmaxi1t,ROUND(AA359*'Données Projet 1 (2)'!H368,_nbdeci1t1),0)</f>
        <v>0</v>
      </c>
      <c r="AC359" s="152">
        <f>IF(OR(W359&lt;=_differe1t1t,W359&gt;_noechmaxi1t),IF(_difftotal1t1t,-AB359,0),IF(W359&gt;=_noechremb12,AA359,IF('Données Projet 1 (2)'!I368-(AB359*_echfixe12)&gt;AA359-2,AA359,'Données Projet 1 (2)'!I368-(AB359*_echfixe12))))+R359</f>
        <v>0</v>
      </c>
      <c r="AD359" s="154">
        <f t="shared" si="71"/>
        <v>0</v>
      </c>
      <c r="AE359" s="157">
        <f t="shared" si="63"/>
        <v>0</v>
      </c>
    </row>
    <row r="360" spans="1:31" x14ac:dyDescent="0.2">
      <c r="A360" s="3"/>
      <c r="B360" s="164"/>
      <c r="C360" s="22"/>
      <c r="D360" s="21"/>
      <c r="E360" s="23"/>
      <c r="F360" s="10"/>
      <c r="G360" s="5">
        <f t="shared" si="64"/>
        <v>354</v>
      </c>
      <c r="H360" s="7">
        <f t="shared" si="65"/>
        <v>67</v>
      </c>
      <c r="I360" s="8">
        <f t="shared" si="60"/>
        <v>2038</v>
      </c>
      <c r="J360" s="31">
        <f>IF(K360=0,"",IF(_ijour12=0,MIN(DATE(YEAR(_debamort12),MONTH(_debamort12)+_MoisD+(G360-1)*_imois12,_jour212),DATE(YEAR(_debamort12),MONTH(_debamort12)+_MoisD+1+(G360-1)*_imois12,0)),DATE(YEAR(_debamort12),MONTH(_debamort12),_jour12+(G360-1)*_ijour12)))</f>
        <v>50557</v>
      </c>
      <c r="K360" s="156">
        <f t="shared" si="66"/>
        <v>38595.570000000051</v>
      </c>
      <c r="L360" s="153">
        <f>IF(G360&lt;=_noeechmaxi1,ROUND(K360*'Données Projet 1 (2)'!A369,_nbdeci1t),0)</f>
        <v>59.82</v>
      </c>
      <c r="M360" s="152">
        <f>IF(OR(G360&lt;=_differe1t,G360&gt;_noeechmaxi1),IF(_difftotal1t,-L360,0),IF(G360&gt;=_noechremb1t,K360,IF('Données Projet 1 (2)'!B369-(L360*_echfixe1t)&gt;K360-2,K360,'Données Projet 1 (2)'!B369-(L360*_echfixe1t))))+B360</f>
        <v>547.09999999999991</v>
      </c>
      <c r="N360" s="154">
        <f t="shared" si="67"/>
        <v>15.6</v>
      </c>
      <c r="O360" s="157">
        <f t="shared" si="61"/>
        <v>622.52</v>
      </c>
      <c r="Q360" s="3"/>
      <c r="R360" s="164"/>
      <c r="S360" s="22"/>
      <c r="T360" s="21"/>
      <c r="U360" s="23"/>
      <c r="V360" s="10"/>
      <c r="W360" s="5" t="str">
        <f t="shared" si="68"/>
        <v/>
      </c>
      <c r="X360" s="7" t="str">
        <f t="shared" si="69"/>
        <v/>
      </c>
      <c r="Y360" s="8" t="str">
        <f t="shared" si="62"/>
        <v/>
      </c>
      <c r="Z360" s="31" t="str">
        <f>IF(AA360=0,"",IF(_ijour122=0,MIN(DATE(YEAR(_debamort122),MONTH(_debamort122)+_moisd12+(W360-1)*_imois122,__jou21),DATE(YEAR(_debamort122),MONTH(_debamort122)+_moisd12+1+(W360-1)*_imois122,0)),DATE(YEAR(_debamort122),MONTH(_debamort122),__jou123+(W360-1)*_ijour122)))</f>
        <v/>
      </c>
      <c r="AA360" s="156">
        <f t="shared" si="70"/>
        <v>0</v>
      </c>
      <c r="AB360" s="153">
        <f>IF(W360&lt;=_noechmaxi1t,ROUND(AA360*'Données Projet 1 (2)'!H369,_nbdeci1t1),0)</f>
        <v>0</v>
      </c>
      <c r="AC360" s="152">
        <f>IF(OR(W360&lt;=_differe1t1t,W360&gt;_noechmaxi1t),IF(_difftotal1t1t,-AB360,0),IF(W360&gt;=_noechremb12,AA360,IF('Données Projet 1 (2)'!I369-(AB360*_echfixe12)&gt;AA360-2,AA360,'Données Projet 1 (2)'!I369-(AB360*_echfixe12))))+R360</f>
        <v>0</v>
      </c>
      <c r="AD360" s="154">
        <f t="shared" si="71"/>
        <v>0</v>
      </c>
      <c r="AE360" s="157">
        <f t="shared" si="63"/>
        <v>0</v>
      </c>
    </row>
    <row r="361" spans="1:31" x14ac:dyDescent="0.2">
      <c r="A361" s="3"/>
      <c r="B361" s="164"/>
      <c r="C361" s="22"/>
      <c r="D361" s="21"/>
      <c r="E361" s="23"/>
      <c r="F361" s="10"/>
      <c r="G361" s="5">
        <f t="shared" si="64"/>
        <v>355</v>
      </c>
      <c r="H361" s="7">
        <f t="shared" si="65"/>
        <v>66</v>
      </c>
      <c r="I361" s="8">
        <f t="shared" si="60"/>
        <v>2038</v>
      </c>
      <c r="J361" s="31">
        <f>IF(K361=0,"",IF(_ijour12=0,MIN(DATE(YEAR(_debamort12),MONTH(_debamort12)+(G361-1)*_imois12,_jour12),DATE(YEAR(_debamort12),MONTH(_debamort12)+1+(G361-1)*_imois12,0)),DATE(YEAR(_debamort12),MONTH(_debamort12),_jour12+(G361-1)*_ijour12)))</f>
        <v>50587</v>
      </c>
      <c r="K361" s="156">
        <f t="shared" si="66"/>
        <v>38048.470000000052</v>
      </c>
      <c r="L361" s="153">
        <f>IF(G361&lt;=_noeechmaxi1,ROUND(K361*'Données Projet 1 (2)'!A370,_nbdeci1t),0)</f>
        <v>58.98</v>
      </c>
      <c r="M361" s="152">
        <f>IF(OR(G361&lt;=_differe1t,G361&gt;_noeechmaxi1),IF(_difftotal1t,-L361,0),IF(G361&gt;=_noechremb1t,K361,IF('Données Projet 1 (2)'!B370-(L361*_echfixe1t)&gt;K361-2,K361,'Données Projet 1 (2)'!B370-(L361*_echfixe1t))))+B361</f>
        <v>547.93999999999994</v>
      </c>
      <c r="N361" s="154">
        <f t="shared" si="67"/>
        <v>15.6</v>
      </c>
      <c r="O361" s="157">
        <f t="shared" si="61"/>
        <v>622.52</v>
      </c>
      <c r="Q361" s="3"/>
      <c r="R361" s="164"/>
      <c r="S361" s="22"/>
      <c r="T361" s="21"/>
      <c r="U361" s="23"/>
      <c r="V361" s="10"/>
      <c r="W361" s="5" t="str">
        <f t="shared" si="68"/>
        <v/>
      </c>
      <c r="X361" s="7" t="str">
        <f t="shared" si="69"/>
        <v/>
      </c>
      <c r="Y361" s="8" t="str">
        <f t="shared" si="62"/>
        <v/>
      </c>
      <c r="Z361" s="31" t="str">
        <f>IF(AA361=0,"",IF(_ijour122=0,MIN(DATE(YEAR(_debamort122),MONTH(_debamort122)+(W361-1)*_imois122,__jou123),DATE(YEAR(_debamort122),MONTH(_debamort122)+1+(W361-1)*_imois122,0)),DATE(YEAR(_debamort122),MONTH(_debamort122),__jou123+(W361-1)*_ijour122)))</f>
        <v/>
      </c>
      <c r="AA361" s="156">
        <f t="shared" si="70"/>
        <v>0</v>
      </c>
      <c r="AB361" s="153">
        <f>IF(W361&lt;=_noechmaxi1t,ROUND(AA361*'Données Projet 1 (2)'!H370,_nbdeci1t1),0)</f>
        <v>0</v>
      </c>
      <c r="AC361" s="152">
        <f>IF(OR(W361&lt;=_differe1t1t,W361&gt;_noechmaxi1t),IF(_difftotal1t1t,-AB361,0),IF(W361&gt;=_noechremb12,AA361,IF('Données Projet 1 (2)'!I370-(AB361*_echfixe12)&gt;AA361-2,AA361,'Données Projet 1 (2)'!I370-(AB361*_echfixe12))))+R361</f>
        <v>0</v>
      </c>
      <c r="AD361" s="154">
        <f t="shared" si="71"/>
        <v>0</v>
      </c>
      <c r="AE361" s="157">
        <f t="shared" si="63"/>
        <v>0</v>
      </c>
    </row>
    <row r="362" spans="1:31" x14ac:dyDescent="0.2">
      <c r="A362" s="3"/>
      <c r="B362" s="164"/>
      <c r="C362" s="22"/>
      <c r="D362" s="21"/>
      <c r="E362" s="23"/>
      <c r="F362" s="10"/>
      <c r="G362" s="5">
        <f t="shared" si="64"/>
        <v>356</v>
      </c>
      <c r="H362" s="7">
        <f t="shared" si="65"/>
        <v>65</v>
      </c>
      <c r="I362" s="8">
        <f t="shared" si="60"/>
        <v>2038</v>
      </c>
      <c r="J362" s="31">
        <f>IF(K362=0,"",IF(_ijour12=0,MIN(DATE(YEAR(_debamort12),MONTH(_debamort12)+_MoisD+(G362-1)*_imois12,_jour212),DATE(YEAR(_debamort12),MONTH(_debamort12)+_MoisD+1+(G362-1)*_imois12,0)),DATE(YEAR(_debamort12),MONTH(_debamort12),_jour12+(G362-1)*_ijour12)))</f>
        <v>50618</v>
      </c>
      <c r="K362" s="156">
        <f t="shared" si="66"/>
        <v>37500.53000000005</v>
      </c>
      <c r="L362" s="153">
        <f>IF(G362&lt;=_noeechmaxi1,ROUND(K362*'Données Projet 1 (2)'!A371,_nbdeci1t),0)</f>
        <v>58.13</v>
      </c>
      <c r="M362" s="152">
        <f>IF(OR(G362&lt;=_differe1t,G362&gt;_noeechmaxi1),IF(_difftotal1t,-L362,0),IF(G362&gt;=_noechremb1t,K362,IF('Données Projet 1 (2)'!B371-(L362*_echfixe1t)&gt;K362-2,K362,'Données Projet 1 (2)'!B371-(L362*_echfixe1t))))+B362</f>
        <v>548.79</v>
      </c>
      <c r="N362" s="154">
        <f t="shared" si="67"/>
        <v>15.6</v>
      </c>
      <c r="O362" s="157">
        <f t="shared" si="61"/>
        <v>622.52</v>
      </c>
      <c r="Q362" s="3"/>
      <c r="R362" s="164"/>
      <c r="S362" s="22"/>
      <c r="T362" s="21"/>
      <c r="U362" s="23"/>
      <c r="V362" s="10"/>
      <c r="W362" s="5" t="str">
        <f t="shared" si="68"/>
        <v/>
      </c>
      <c r="X362" s="7" t="str">
        <f t="shared" si="69"/>
        <v/>
      </c>
      <c r="Y362" s="8" t="str">
        <f t="shared" si="62"/>
        <v/>
      </c>
      <c r="Z362" s="31" t="str">
        <f>IF(AA362=0,"",IF(_ijour122=0,MIN(DATE(YEAR(_debamort122),MONTH(_debamort122)+_moisd12+(W362-1)*_imois122,__jou21),DATE(YEAR(_debamort122),MONTH(_debamort122)+_moisd12+1+(W362-1)*_imois122,0)),DATE(YEAR(_debamort122),MONTH(_debamort122),__jou123+(W362-1)*_ijour122)))</f>
        <v/>
      </c>
      <c r="AA362" s="156">
        <f t="shared" si="70"/>
        <v>0</v>
      </c>
      <c r="AB362" s="153">
        <f>IF(W362&lt;=_noechmaxi1t,ROUND(AA362*'Données Projet 1 (2)'!H371,_nbdeci1t1),0)</f>
        <v>0</v>
      </c>
      <c r="AC362" s="152">
        <f>IF(OR(W362&lt;=_differe1t1t,W362&gt;_noechmaxi1t),IF(_difftotal1t1t,-AB362,0),IF(W362&gt;=_noechremb12,AA362,IF('Données Projet 1 (2)'!I371-(AB362*_echfixe12)&gt;AA362-2,AA362,'Données Projet 1 (2)'!I371-(AB362*_echfixe12))))+R362</f>
        <v>0</v>
      </c>
      <c r="AD362" s="154">
        <f t="shared" si="71"/>
        <v>0</v>
      </c>
      <c r="AE362" s="157">
        <f t="shared" si="63"/>
        <v>0</v>
      </c>
    </row>
    <row r="363" spans="1:31" x14ac:dyDescent="0.2">
      <c r="A363" s="3"/>
      <c r="B363" s="164"/>
      <c r="C363" s="22"/>
      <c r="D363" s="21"/>
      <c r="E363" s="23"/>
      <c r="F363" s="10"/>
      <c r="G363" s="5">
        <f t="shared" si="64"/>
        <v>357</v>
      </c>
      <c r="H363" s="7">
        <f t="shared" si="65"/>
        <v>64</v>
      </c>
      <c r="I363" s="8">
        <f t="shared" si="60"/>
        <v>2038</v>
      </c>
      <c r="J363" s="31">
        <f>IF(K363=0,"",IF(_ijour12=0,MIN(DATE(YEAR(_debamort12),MONTH(_debamort12)+(G363-1)*_imois12,_jour12),DATE(YEAR(_debamort12),MONTH(_debamort12)+1+(G363-1)*_imois12,0)),DATE(YEAR(_debamort12),MONTH(_debamort12),_jour12+(G363-1)*_ijour12)))</f>
        <v>50649</v>
      </c>
      <c r="K363" s="156">
        <f t="shared" si="66"/>
        <v>36951.740000000049</v>
      </c>
      <c r="L363" s="153">
        <f>IF(G363&lt;=_noeechmaxi1,ROUND(K363*'Données Projet 1 (2)'!A372,_nbdeci1t),0)</f>
        <v>57.28</v>
      </c>
      <c r="M363" s="152">
        <f>IF(OR(G363&lt;=_differe1t,G363&gt;_noeechmaxi1),IF(_difftotal1t,-L363,0),IF(G363&gt;=_noechremb1t,K363,IF('Données Projet 1 (2)'!B372-(L363*_echfixe1t)&gt;K363-2,K363,'Données Projet 1 (2)'!B372-(L363*_echfixe1t))))+B363</f>
        <v>549.64</v>
      </c>
      <c r="N363" s="154">
        <f t="shared" si="67"/>
        <v>15.6</v>
      </c>
      <c r="O363" s="157">
        <f t="shared" si="61"/>
        <v>622.52</v>
      </c>
      <c r="Q363" s="3"/>
      <c r="R363" s="164"/>
      <c r="S363" s="22"/>
      <c r="T363" s="21"/>
      <c r="U363" s="23"/>
      <c r="V363" s="10"/>
      <c r="W363" s="5" t="str">
        <f t="shared" si="68"/>
        <v/>
      </c>
      <c r="X363" s="7" t="str">
        <f t="shared" si="69"/>
        <v/>
      </c>
      <c r="Y363" s="8" t="str">
        <f t="shared" si="62"/>
        <v/>
      </c>
      <c r="Z363" s="31" t="str">
        <f>IF(AA363=0,"",IF(_ijour122=0,MIN(DATE(YEAR(_debamort122),MONTH(_debamort122)+(W363-1)*_imois122,__jou123),DATE(YEAR(_debamort122),MONTH(_debamort122)+1+(W363-1)*_imois122,0)),DATE(YEAR(_debamort122),MONTH(_debamort122),__jou123+(W363-1)*_ijour122)))</f>
        <v/>
      </c>
      <c r="AA363" s="156">
        <f t="shared" si="70"/>
        <v>0</v>
      </c>
      <c r="AB363" s="153">
        <f>IF(W363&lt;=_noechmaxi1t,ROUND(AA363*'Données Projet 1 (2)'!H372,_nbdeci1t1),0)</f>
        <v>0</v>
      </c>
      <c r="AC363" s="152">
        <f>IF(OR(W363&lt;=_differe1t1t,W363&gt;_noechmaxi1t),IF(_difftotal1t1t,-AB363,0),IF(W363&gt;=_noechremb12,AA363,IF('Données Projet 1 (2)'!I372-(AB363*_echfixe12)&gt;AA363-2,AA363,'Données Projet 1 (2)'!I372-(AB363*_echfixe12))))+R363</f>
        <v>0</v>
      </c>
      <c r="AD363" s="154">
        <f t="shared" si="71"/>
        <v>0</v>
      </c>
      <c r="AE363" s="157">
        <f t="shared" si="63"/>
        <v>0</v>
      </c>
    </row>
    <row r="364" spans="1:31" x14ac:dyDescent="0.2">
      <c r="A364" s="3"/>
      <c r="B364" s="164"/>
      <c r="C364" s="22"/>
      <c r="D364" s="21"/>
      <c r="E364" s="23"/>
      <c r="F364" s="10"/>
      <c r="G364" s="5">
        <f t="shared" si="64"/>
        <v>358</v>
      </c>
      <c r="H364" s="7">
        <f t="shared" si="65"/>
        <v>63</v>
      </c>
      <c r="I364" s="8">
        <f t="shared" si="60"/>
        <v>2038</v>
      </c>
      <c r="J364" s="31">
        <f>IF(K364=0,"",IF(_ijour12=0,MIN(DATE(YEAR(_debamort12),MONTH(_debamort12)+_MoisD+(G364-1)*_imois12,_jour212),DATE(YEAR(_debamort12),MONTH(_debamort12)+_MoisD+1+(G364-1)*_imois12,0)),DATE(YEAR(_debamort12),MONTH(_debamort12),_jour12+(G364-1)*_ijour12)))</f>
        <v>50679</v>
      </c>
      <c r="K364" s="156">
        <f t="shared" si="66"/>
        <v>36402.100000000049</v>
      </c>
      <c r="L364" s="153">
        <f>IF(G364&lt;=_noeechmaxi1,ROUND(K364*'Données Projet 1 (2)'!A373,_nbdeci1t),0)</f>
        <v>56.42</v>
      </c>
      <c r="M364" s="152">
        <f>IF(OR(G364&lt;=_differe1t,G364&gt;_noeechmaxi1),IF(_difftotal1t,-L364,0),IF(G364&gt;=_noechremb1t,K364,IF('Données Projet 1 (2)'!B373-(L364*_echfixe1t)&gt;K364-2,K364,'Données Projet 1 (2)'!B373-(L364*_echfixe1t))))+B364</f>
        <v>550.5</v>
      </c>
      <c r="N364" s="154">
        <f t="shared" si="67"/>
        <v>15.6</v>
      </c>
      <c r="O364" s="157">
        <f t="shared" si="61"/>
        <v>622.52</v>
      </c>
      <c r="Q364" s="3"/>
      <c r="R364" s="164"/>
      <c r="S364" s="22"/>
      <c r="T364" s="21"/>
      <c r="U364" s="23"/>
      <c r="V364" s="10"/>
      <c r="W364" s="5" t="str">
        <f t="shared" si="68"/>
        <v/>
      </c>
      <c r="X364" s="7" t="str">
        <f t="shared" si="69"/>
        <v/>
      </c>
      <c r="Y364" s="8" t="str">
        <f t="shared" si="62"/>
        <v/>
      </c>
      <c r="Z364" s="31" t="str">
        <f>IF(AA364=0,"",IF(_ijour122=0,MIN(DATE(YEAR(_debamort122),MONTH(_debamort122)+_moisd12+(W364-1)*_imois122,__jou21),DATE(YEAR(_debamort122),MONTH(_debamort122)+_moisd12+1+(W364-1)*_imois122,0)),DATE(YEAR(_debamort122),MONTH(_debamort122),__jou123+(W364-1)*_ijour122)))</f>
        <v/>
      </c>
      <c r="AA364" s="156">
        <f t="shared" si="70"/>
        <v>0</v>
      </c>
      <c r="AB364" s="153">
        <f>IF(W364&lt;=_noechmaxi1t,ROUND(AA364*'Données Projet 1 (2)'!H373,_nbdeci1t1),0)</f>
        <v>0</v>
      </c>
      <c r="AC364" s="152">
        <f>IF(OR(W364&lt;=_differe1t1t,W364&gt;_noechmaxi1t),IF(_difftotal1t1t,-AB364,0),IF(W364&gt;=_noechremb12,AA364,IF('Données Projet 1 (2)'!I373-(AB364*_echfixe12)&gt;AA364-2,AA364,'Données Projet 1 (2)'!I373-(AB364*_echfixe12))))+R364</f>
        <v>0</v>
      </c>
      <c r="AD364" s="154">
        <f t="shared" si="71"/>
        <v>0</v>
      </c>
      <c r="AE364" s="157">
        <f t="shared" si="63"/>
        <v>0</v>
      </c>
    </row>
    <row r="365" spans="1:31" x14ac:dyDescent="0.2">
      <c r="A365" s="3"/>
      <c r="B365" s="164"/>
      <c r="C365" s="22"/>
      <c r="D365" s="21"/>
      <c r="E365" s="23"/>
      <c r="F365" s="10"/>
      <c r="G365" s="5">
        <f t="shared" si="64"/>
        <v>359</v>
      </c>
      <c r="H365" s="7">
        <f t="shared" si="65"/>
        <v>62</v>
      </c>
      <c r="I365" s="8">
        <f t="shared" si="60"/>
        <v>2038</v>
      </c>
      <c r="J365" s="31">
        <f>IF(K365=0,"",IF(_ijour12=0,MIN(DATE(YEAR(_debamort12),MONTH(_debamort12)+(G365-1)*_imois12,_jour12),DATE(YEAR(_debamort12),MONTH(_debamort12)+1+(G365-1)*_imois12,0)),DATE(YEAR(_debamort12),MONTH(_debamort12),_jour12+(G365-1)*_ijour12)))</f>
        <v>50710</v>
      </c>
      <c r="K365" s="156">
        <f t="shared" si="66"/>
        <v>35851.600000000049</v>
      </c>
      <c r="L365" s="153">
        <f>IF(G365&lt;=_noeechmaxi1,ROUND(K365*'Données Projet 1 (2)'!A374,_nbdeci1t),0)</f>
        <v>55.57</v>
      </c>
      <c r="M365" s="152">
        <f>IF(OR(G365&lt;=_differe1t,G365&gt;_noeechmaxi1),IF(_difftotal1t,-L365,0),IF(G365&gt;=_noechremb1t,K365,IF('Données Projet 1 (2)'!B374-(L365*_echfixe1t)&gt;K365-2,K365,'Données Projet 1 (2)'!B374-(L365*_echfixe1t))))+B365</f>
        <v>551.34999999999991</v>
      </c>
      <c r="N365" s="154">
        <f t="shared" si="67"/>
        <v>15.6</v>
      </c>
      <c r="O365" s="157">
        <f t="shared" si="61"/>
        <v>622.52</v>
      </c>
      <c r="Q365" s="3"/>
      <c r="R365" s="164"/>
      <c r="S365" s="22"/>
      <c r="T365" s="21"/>
      <c r="U365" s="23"/>
      <c r="V365" s="10"/>
      <c r="W365" s="5" t="str">
        <f t="shared" si="68"/>
        <v/>
      </c>
      <c r="X365" s="7" t="str">
        <f t="shared" si="69"/>
        <v/>
      </c>
      <c r="Y365" s="8" t="str">
        <f t="shared" si="62"/>
        <v/>
      </c>
      <c r="Z365" s="31" t="str">
        <f>IF(AA365=0,"",IF(_ijour122=0,MIN(DATE(YEAR(_debamort122),MONTH(_debamort122)+(W365-1)*_imois122,__jou123),DATE(YEAR(_debamort122),MONTH(_debamort122)+1+(W365-1)*_imois122,0)),DATE(YEAR(_debamort122),MONTH(_debamort122),__jou123+(W365-1)*_ijour122)))</f>
        <v/>
      </c>
      <c r="AA365" s="156">
        <f t="shared" si="70"/>
        <v>0</v>
      </c>
      <c r="AB365" s="153">
        <f>IF(W365&lt;=_noechmaxi1t,ROUND(AA365*'Données Projet 1 (2)'!H374,_nbdeci1t1),0)</f>
        <v>0</v>
      </c>
      <c r="AC365" s="152">
        <f>IF(OR(W365&lt;=_differe1t1t,W365&gt;_noechmaxi1t),IF(_difftotal1t1t,-AB365,0),IF(W365&gt;=_noechremb12,AA365,IF('Données Projet 1 (2)'!I374-(AB365*_echfixe12)&gt;AA365-2,AA365,'Données Projet 1 (2)'!I374-(AB365*_echfixe12))))+R365</f>
        <v>0</v>
      </c>
      <c r="AD365" s="154">
        <f t="shared" si="71"/>
        <v>0</v>
      </c>
      <c r="AE365" s="157">
        <f t="shared" si="63"/>
        <v>0</v>
      </c>
    </row>
    <row r="366" spans="1:31" x14ac:dyDescent="0.2">
      <c r="A366" s="3"/>
      <c r="B366" s="164"/>
      <c r="C366" s="22"/>
      <c r="D366" s="21"/>
      <c r="E366" s="23"/>
      <c r="F366" s="10"/>
      <c r="G366" s="5">
        <f t="shared" si="64"/>
        <v>360</v>
      </c>
      <c r="H366" s="7">
        <f t="shared" si="65"/>
        <v>61</v>
      </c>
      <c r="I366" s="8">
        <f t="shared" si="60"/>
        <v>2038</v>
      </c>
      <c r="J366" s="31">
        <f>IF(K366=0,"",IF(_ijour12=0,MIN(DATE(YEAR(_debamort12),MONTH(_debamort12)+_MoisD+(G366-1)*_imois12,_jour212),DATE(YEAR(_debamort12),MONTH(_debamort12)+_MoisD+1+(G366-1)*_imois12,0)),DATE(YEAR(_debamort12),MONTH(_debamort12),_jour12+(G366-1)*_ijour12)))</f>
        <v>50740</v>
      </c>
      <c r="K366" s="156">
        <f t="shared" si="66"/>
        <v>35300.250000000051</v>
      </c>
      <c r="L366" s="153">
        <f>IF(G366&lt;=_noeechmaxi1,ROUND(K366*'Données Projet 1 (2)'!A375,_nbdeci1t),0)</f>
        <v>54.72</v>
      </c>
      <c r="M366" s="152">
        <f>IF(OR(G366&lt;=_differe1t,G366&gt;_noeechmaxi1),IF(_difftotal1t,-L366,0),IF(G366&gt;=_noechremb1t,K366,IF('Données Projet 1 (2)'!B375-(L366*_echfixe1t)&gt;K366-2,K366,'Données Projet 1 (2)'!B375-(L366*_echfixe1t))))+B366</f>
        <v>552.19999999999993</v>
      </c>
      <c r="N366" s="154">
        <f t="shared" si="67"/>
        <v>15.6</v>
      </c>
      <c r="O366" s="157">
        <f t="shared" si="61"/>
        <v>622.52</v>
      </c>
      <c r="Q366" s="3"/>
      <c r="R366" s="164"/>
      <c r="S366" s="22"/>
      <c r="T366" s="21"/>
      <c r="U366" s="23"/>
      <c r="V366" s="10"/>
      <c r="W366" s="5" t="str">
        <f t="shared" si="68"/>
        <v/>
      </c>
      <c r="X366" s="7" t="str">
        <f t="shared" si="69"/>
        <v/>
      </c>
      <c r="Y366" s="8" t="str">
        <f t="shared" si="62"/>
        <v/>
      </c>
      <c r="Z366" s="31" t="str">
        <f>IF(AA366=0,"",IF(_ijour122=0,MIN(DATE(YEAR(_debamort122),MONTH(_debamort122)+_moisd12+(W366-1)*_imois122,__jou21),DATE(YEAR(_debamort122),MONTH(_debamort122)+_moisd12+1+(W366-1)*_imois122,0)),DATE(YEAR(_debamort122),MONTH(_debamort122),__jou123+(W366-1)*_ijour122)))</f>
        <v/>
      </c>
      <c r="AA366" s="156">
        <f t="shared" si="70"/>
        <v>0</v>
      </c>
      <c r="AB366" s="153">
        <f>IF(W366&lt;=_noechmaxi1t,ROUND(AA366*'Données Projet 1 (2)'!H375,_nbdeci1t1),0)</f>
        <v>0</v>
      </c>
      <c r="AC366" s="152">
        <f>IF(OR(W366&lt;=_differe1t1t,W366&gt;_noechmaxi1t),IF(_difftotal1t1t,-AB366,0),IF(W366&gt;=_noechremb12,AA366,IF('Données Projet 1 (2)'!I375-(AB366*_echfixe12)&gt;AA366-2,AA366,'Données Projet 1 (2)'!I375-(AB366*_echfixe12))))+R366</f>
        <v>0</v>
      </c>
      <c r="AD366" s="154">
        <f t="shared" si="71"/>
        <v>0</v>
      </c>
      <c r="AE366" s="157">
        <f t="shared" si="63"/>
        <v>0</v>
      </c>
    </row>
    <row r="367" spans="1:31" x14ac:dyDescent="0.2">
      <c r="A367" s="3"/>
      <c r="B367" s="164"/>
      <c r="C367" s="22"/>
      <c r="D367" s="21"/>
      <c r="E367" s="23"/>
      <c r="F367" s="10"/>
      <c r="G367" s="5">
        <f t="shared" si="64"/>
        <v>361</v>
      </c>
      <c r="H367" s="7">
        <f t="shared" si="65"/>
        <v>60</v>
      </c>
      <c r="I367" s="8">
        <f t="shared" si="60"/>
        <v>2039</v>
      </c>
      <c r="J367" s="31">
        <f>IF(K367=0,"",IF(_ijour12=0,MIN(DATE(YEAR(_debamort12),MONTH(_debamort12)+(G367-1)*_imois12,_jour12),DATE(YEAR(_debamort12),MONTH(_debamort12)+1+(G367-1)*_imois12,0)),DATE(YEAR(_debamort12),MONTH(_debamort12),_jour12+(G367-1)*_ijour12)))</f>
        <v>50771</v>
      </c>
      <c r="K367" s="156">
        <f t="shared" si="66"/>
        <v>34748.050000000054</v>
      </c>
      <c r="L367" s="153">
        <f>IF(G367&lt;=_noeechmaxi1,ROUND(K367*'Données Projet 1 (2)'!A376,_nbdeci1t),0)</f>
        <v>53.86</v>
      </c>
      <c r="M367" s="152">
        <f>IF(OR(G367&lt;=_differe1t,G367&gt;_noeechmaxi1),IF(_difftotal1t,-L367,0),IF(G367&gt;=_noechremb1t,K367,IF('Données Projet 1 (2)'!B376-(L367*_echfixe1t)&gt;K367-2,K367,'Données Projet 1 (2)'!B376-(L367*_echfixe1t))))+B367</f>
        <v>553.05999999999995</v>
      </c>
      <c r="N367" s="154">
        <f t="shared" si="67"/>
        <v>15.6</v>
      </c>
      <c r="O367" s="157">
        <f t="shared" si="61"/>
        <v>622.52</v>
      </c>
      <c r="Q367" s="3"/>
      <c r="R367" s="164"/>
      <c r="S367" s="22"/>
      <c r="T367" s="21"/>
      <c r="U367" s="23"/>
      <c r="V367" s="10"/>
      <c r="W367" s="5" t="str">
        <f t="shared" si="68"/>
        <v/>
      </c>
      <c r="X367" s="7" t="str">
        <f t="shared" si="69"/>
        <v/>
      </c>
      <c r="Y367" s="8" t="str">
        <f t="shared" si="62"/>
        <v/>
      </c>
      <c r="Z367" s="31" t="str">
        <f>IF(AA367=0,"",IF(_ijour122=0,MIN(DATE(YEAR(_debamort122),MONTH(_debamort122)+(W367-1)*_imois122,__jou123),DATE(YEAR(_debamort122),MONTH(_debamort122)+1+(W367-1)*_imois122,0)),DATE(YEAR(_debamort122),MONTH(_debamort122),__jou123+(W367-1)*_ijour122)))</f>
        <v/>
      </c>
      <c r="AA367" s="156">
        <f t="shared" si="70"/>
        <v>0</v>
      </c>
      <c r="AB367" s="153">
        <f>IF(W367&lt;=_noechmaxi1t,ROUND(AA367*'Données Projet 1 (2)'!H376,_nbdeci1t1),0)</f>
        <v>0</v>
      </c>
      <c r="AC367" s="152">
        <f>IF(OR(W367&lt;=_differe1t1t,W367&gt;_noechmaxi1t),IF(_difftotal1t1t,-AB367,0),IF(W367&gt;=_noechremb12,AA367,IF('Données Projet 1 (2)'!I376-(AB367*_echfixe12)&gt;AA367-2,AA367,'Données Projet 1 (2)'!I376-(AB367*_echfixe12))))+R367</f>
        <v>0</v>
      </c>
      <c r="AD367" s="154">
        <f t="shared" si="71"/>
        <v>0</v>
      </c>
      <c r="AE367" s="157">
        <f t="shared" si="63"/>
        <v>0</v>
      </c>
    </row>
    <row r="368" spans="1:31" x14ac:dyDescent="0.2">
      <c r="A368" s="3"/>
      <c r="B368" s="164"/>
      <c r="C368" s="22"/>
      <c r="D368" s="21"/>
      <c r="E368" s="23"/>
      <c r="F368" s="10"/>
      <c r="G368" s="5">
        <f t="shared" si="64"/>
        <v>362</v>
      </c>
      <c r="H368" s="7">
        <f t="shared" si="65"/>
        <v>59</v>
      </c>
      <c r="I368" s="8">
        <f t="shared" si="60"/>
        <v>2039</v>
      </c>
      <c r="J368" s="31">
        <f>IF(K368=0,"",IF(_ijour12=0,MIN(DATE(YEAR(_debamort12),MONTH(_debamort12)+_MoisD+(G368-1)*_imois12,_jour212),DATE(YEAR(_debamort12),MONTH(_debamort12)+_MoisD+1+(G368-1)*_imois12,0)),DATE(YEAR(_debamort12),MONTH(_debamort12),_jour12+(G368-1)*_ijour12)))</f>
        <v>50802</v>
      </c>
      <c r="K368" s="156">
        <f t="shared" si="66"/>
        <v>34194.990000000056</v>
      </c>
      <c r="L368" s="153">
        <f>IF(G368&lt;=_noeechmaxi1,ROUND(K368*'Données Projet 1 (2)'!A377,_nbdeci1t),0)</f>
        <v>53</v>
      </c>
      <c r="M368" s="152">
        <f>IF(OR(G368&lt;=_differe1t,G368&gt;_noeechmaxi1),IF(_difftotal1t,-L368,0),IF(G368&gt;=_noechremb1t,K368,IF('Données Projet 1 (2)'!B377-(L368*_echfixe1t)&gt;K368-2,K368,'Données Projet 1 (2)'!B377-(L368*_echfixe1t))))+B368</f>
        <v>553.91999999999996</v>
      </c>
      <c r="N368" s="154">
        <f t="shared" si="67"/>
        <v>15.6</v>
      </c>
      <c r="O368" s="157">
        <f t="shared" si="61"/>
        <v>622.52</v>
      </c>
      <c r="Q368" s="3"/>
      <c r="R368" s="164"/>
      <c r="S368" s="22"/>
      <c r="T368" s="21"/>
      <c r="U368" s="23"/>
      <c r="V368" s="10"/>
      <c r="W368" s="5" t="str">
        <f t="shared" si="68"/>
        <v/>
      </c>
      <c r="X368" s="7" t="str">
        <f t="shared" si="69"/>
        <v/>
      </c>
      <c r="Y368" s="8" t="str">
        <f t="shared" si="62"/>
        <v/>
      </c>
      <c r="Z368" s="31" t="str">
        <f>IF(AA368=0,"",IF(_ijour122=0,MIN(DATE(YEAR(_debamort122),MONTH(_debamort122)+_moisd12+(W368-1)*_imois122,__jou21),DATE(YEAR(_debamort122),MONTH(_debamort122)+_moisd12+1+(W368-1)*_imois122,0)),DATE(YEAR(_debamort122),MONTH(_debamort122),__jou123+(W368-1)*_ijour122)))</f>
        <v/>
      </c>
      <c r="AA368" s="156">
        <f t="shared" si="70"/>
        <v>0</v>
      </c>
      <c r="AB368" s="153">
        <f>IF(W368&lt;=_noechmaxi1t,ROUND(AA368*'Données Projet 1 (2)'!H377,_nbdeci1t1),0)</f>
        <v>0</v>
      </c>
      <c r="AC368" s="152">
        <f>IF(OR(W368&lt;=_differe1t1t,W368&gt;_noechmaxi1t),IF(_difftotal1t1t,-AB368,0),IF(W368&gt;=_noechremb12,AA368,IF('Données Projet 1 (2)'!I377-(AB368*_echfixe12)&gt;AA368-2,AA368,'Données Projet 1 (2)'!I377-(AB368*_echfixe12))))+R368</f>
        <v>0</v>
      </c>
      <c r="AD368" s="154">
        <f t="shared" si="71"/>
        <v>0</v>
      </c>
      <c r="AE368" s="157">
        <f t="shared" si="63"/>
        <v>0</v>
      </c>
    </row>
    <row r="369" spans="1:31" x14ac:dyDescent="0.2">
      <c r="A369" s="3"/>
      <c r="B369" s="164"/>
      <c r="C369" s="22"/>
      <c r="D369" s="21"/>
      <c r="E369" s="23"/>
      <c r="F369" s="10"/>
      <c r="G369" s="5">
        <f t="shared" si="64"/>
        <v>363</v>
      </c>
      <c r="H369" s="7">
        <f t="shared" si="65"/>
        <v>58</v>
      </c>
      <c r="I369" s="8">
        <f t="shared" si="60"/>
        <v>2039</v>
      </c>
      <c r="J369" s="31">
        <f>IF(K369=0,"",IF(_ijour12=0,MIN(DATE(YEAR(_debamort12),MONTH(_debamort12)+(G369-1)*_imois12,_jour12),DATE(YEAR(_debamort12),MONTH(_debamort12)+1+(G369-1)*_imois12,0)),DATE(YEAR(_debamort12),MONTH(_debamort12),_jour12+(G369-1)*_ijour12)))</f>
        <v>50830</v>
      </c>
      <c r="K369" s="156">
        <f t="shared" si="66"/>
        <v>33641.070000000058</v>
      </c>
      <c r="L369" s="153">
        <f>IF(G369&lt;=_noeechmaxi1,ROUND(K369*'Données Projet 1 (2)'!A378,_nbdeci1t),0)</f>
        <v>52.14</v>
      </c>
      <c r="M369" s="152">
        <f>IF(OR(G369&lt;=_differe1t,G369&gt;_noeechmaxi1),IF(_difftotal1t,-L369,0),IF(G369&gt;=_noechremb1t,K369,IF('Données Projet 1 (2)'!B378-(L369*_echfixe1t)&gt;K369-2,K369,'Données Projet 1 (2)'!B378-(L369*_echfixe1t))))+B369</f>
        <v>554.78</v>
      </c>
      <c r="N369" s="154">
        <f t="shared" si="67"/>
        <v>15.6</v>
      </c>
      <c r="O369" s="157">
        <f t="shared" si="61"/>
        <v>622.52</v>
      </c>
      <c r="Q369" s="3"/>
      <c r="R369" s="164"/>
      <c r="S369" s="22"/>
      <c r="T369" s="21"/>
      <c r="U369" s="23"/>
      <c r="V369" s="10"/>
      <c r="W369" s="5" t="str">
        <f t="shared" si="68"/>
        <v/>
      </c>
      <c r="X369" s="7" t="str">
        <f t="shared" si="69"/>
        <v/>
      </c>
      <c r="Y369" s="8" t="str">
        <f t="shared" si="62"/>
        <v/>
      </c>
      <c r="Z369" s="31" t="str">
        <f>IF(AA369=0,"",IF(_ijour122=0,MIN(DATE(YEAR(_debamort122),MONTH(_debamort122)+(W369-1)*_imois122,__jou123),DATE(YEAR(_debamort122),MONTH(_debamort122)+1+(W369-1)*_imois122,0)),DATE(YEAR(_debamort122),MONTH(_debamort122),__jou123+(W369-1)*_ijour122)))</f>
        <v/>
      </c>
      <c r="AA369" s="156">
        <f t="shared" si="70"/>
        <v>0</v>
      </c>
      <c r="AB369" s="153">
        <f>IF(W369&lt;=_noechmaxi1t,ROUND(AA369*'Données Projet 1 (2)'!H378,_nbdeci1t1),0)</f>
        <v>0</v>
      </c>
      <c r="AC369" s="152">
        <f>IF(OR(W369&lt;=_differe1t1t,W369&gt;_noechmaxi1t),IF(_difftotal1t1t,-AB369,0),IF(W369&gt;=_noechremb12,AA369,IF('Données Projet 1 (2)'!I378-(AB369*_echfixe12)&gt;AA369-2,AA369,'Données Projet 1 (2)'!I378-(AB369*_echfixe12))))+R369</f>
        <v>0</v>
      </c>
      <c r="AD369" s="154">
        <f t="shared" si="71"/>
        <v>0</v>
      </c>
      <c r="AE369" s="157">
        <f t="shared" si="63"/>
        <v>0</v>
      </c>
    </row>
    <row r="370" spans="1:31" x14ac:dyDescent="0.2">
      <c r="A370" s="3"/>
      <c r="B370" s="164"/>
      <c r="C370" s="22"/>
      <c r="D370" s="21"/>
      <c r="E370" s="23"/>
      <c r="F370" s="10"/>
      <c r="G370" s="5">
        <f t="shared" si="64"/>
        <v>364</v>
      </c>
      <c r="H370" s="7">
        <f t="shared" si="65"/>
        <v>57</v>
      </c>
      <c r="I370" s="8">
        <f t="shared" si="60"/>
        <v>2039</v>
      </c>
      <c r="J370" s="31">
        <f>IF(K370=0,"",IF(_ijour12=0,MIN(DATE(YEAR(_debamort12),MONTH(_debamort12)+_MoisD+(G370-1)*_imois12,_jour212),DATE(YEAR(_debamort12),MONTH(_debamort12)+_MoisD+1+(G370-1)*_imois12,0)),DATE(YEAR(_debamort12),MONTH(_debamort12),_jour12+(G370-1)*_ijour12)))</f>
        <v>50861</v>
      </c>
      <c r="K370" s="156">
        <f t="shared" si="66"/>
        <v>33086.290000000059</v>
      </c>
      <c r="L370" s="153">
        <f>IF(G370&lt;=_noeechmaxi1,ROUND(K370*'Données Projet 1 (2)'!A379,_nbdeci1t),0)</f>
        <v>51.28</v>
      </c>
      <c r="M370" s="152">
        <f>IF(OR(G370&lt;=_differe1t,G370&gt;_noeechmaxi1),IF(_difftotal1t,-L370,0),IF(G370&gt;=_noechremb1t,K370,IF('Données Projet 1 (2)'!B379-(L370*_echfixe1t)&gt;K370-2,K370,'Données Projet 1 (2)'!B379-(L370*_echfixe1t))))+B370</f>
        <v>555.64</v>
      </c>
      <c r="N370" s="154">
        <f t="shared" si="67"/>
        <v>15.6</v>
      </c>
      <c r="O370" s="157">
        <f t="shared" si="61"/>
        <v>622.52</v>
      </c>
      <c r="Q370" s="3"/>
      <c r="R370" s="164"/>
      <c r="S370" s="22"/>
      <c r="T370" s="21"/>
      <c r="U370" s="23"/>
      <c r="V370" s="10"/>
      <c r="W370" s="5" t="str">
        <f t="shared" si="68"/>
        <v/>
      </c>
      <c r="X370" s="7" t="str">
        <f t="shared" si="69"/>
        <v/>
      </c>
      <c r="Y370" s="8" t="str">
        <f t="shared" si="62"/>
        <v/>
      </c>
      <c r="Z370" s="31" t="str">
        <f>IF(AA370=0,"",IF(_ijour122=0,MIN(DATE(YEAR(_debamort122),MONTH(_debamort122)+_moisd12+(W370-1)*_imois122,__jou21),DATE(YEAR(_debamort122),MONTH(_debamort122)+_moisd12+1+(W370-1)*_imois122,0)),DATE(YEAR(_debamort122),MONTH(_debamort122),__jou123+(W370-1)*_ijour122)))</f>
        <v/>
      </c>
      <c r="AA370" s="156">
        <f t="shared" si="70"/>
        <v>0</v>
      </c>
      <c r="AB370" s="153">
        <f>IF(W370&lt;=_noechmaxi1t,ROUND(AA370*'Données Projet 1 (2)'!H379,_nbdeci1t1),0)</f>
        <v>0</v>
      </c>
      <c r="AC370" s="152">
        <f>IF(OR(W370&lt;=_differe1t1t,W370&gt;_noechmaxi1t),IF(_difftotal1t1t,-AB370,0),IF(W370&gt;=_noechremb12,AA370,IF('Données Projet 1 (2)'!I379-(AB370*_echfixe12)&gt;AA370-2,AA370,'Données Projet 1 (2)'!I379-(AB370*_echfixe12))))+R370</f>
        <v>0</v>
      </c>
      <c r="AD370" s="154">
        <f t="shared" si="71"/>
        <v>0</v>
      </c>
      <c r="AE370" s="157">
        <f t="shared" si="63"/>
        <v>0</v>
      </c>
    </row>
    <row r="371" spans="1:31" x14ac:dyDescent="0.2">
      <c r="A371" s="3"/>
      <c r="B371" s="164"/>
      <c r="C371" s="22"/>
      <c r="D371" s="21"/>
      <c r="E371" s="23"/>
      <c r="F371" s="10"/>
      <c r="G371" s="5">
        <f t="shared" si="64"/>
        <v>365</v>
      </c>
      <c r="H371" s="7">
        <f t="shared" si="65"/>
        <v>56</v>
      </c>
      <c r="I371" s="8">
        <f t="shared" si="60"/>
        <v>2039</v>
      </c>
      <c r="J371" s="31">
        <f>IF(K371=0,"",IF(_ijour12=0,MIN(DATE(YEAR(_debamort12),MONTH(_debamort12)+(G371-1)*_imois12,_jour12),DATE(YEAR(_debamort12),MONTH(_debamort12)+1+(G371-1)*_imois12,0)),DATE(YEAR(_debamort12),MONTH(_debamort12),_jour12+(G371-1)*_ijour12)))</f>
        <v>50891</v>
      </c>
      <c r="K371" s="156">
        <f t="shared" si="66"/>
        <v>32530.65000000006</v>
      </c>
      <c r="L371" s="153">
        <f>IF(G371&lt;=_noeechmaxi1,ROUND(K371*'Données Projet 1 (2)'!A380,_nbdeci1t),0)</f>
        <v>50.42</v>
      </c>
      <c r="M371" s="152">
        <f>IF(OR(G371&lt;=_differe1t,G371&gt;_noeechmaxi1),IF(_difftotal1t,-L371,0),IF(G371&gt;=_noechremb1t,K371,IF('Données Projet 1 (2)'!B380-(L371*_echfixe1t)&gt;K371-2,K371,'Données Projet 1 (2)'!B380-(L371*_echfixe1t))))+B371</f>
        <v>556.5</v>
      </c>
      <c r="N371" s="154">
        <f t="shared" si="67"/>
        <v>15.6</v>
      </c>
      <c r="O371" s="157">
        <f t="shared" si="61"/>
        <v>622.52</v>
      </c>
      <c r="Q371" s="3"/>
      <c r="R371" s="164"/>
      <c r="S371" s="22"/>
      <c r="T371" s="21"/>
      <c r="U371" s="23"/>
      <c r="V371" s="10"/>
      <c r="W371" s="5" t="str">
        <f t="shared" si="68"/>
        <v/>
      </c>
      <c r="X371" s="7" t="str">
        <f t="shared" si="69"/>
        <v/>
      </c>
      <c r="Y371" s="8" t="str">
        <f t="shared" si="62"/>
        <v/>
      </c>
      <c r="Z371" s="31" t="str">
        <f>IF(AA371=0,"",IF(_ijour122=0,MIN(DATE(YEAR(_debamort122),MONTH(_debamort122)+(W371-1)*_imois122,__jou123),DATE(YEAR(_debamort122),MONTH(_debamort122)+1+(W371-1)*_imois122,0)),DATE(YEAR(_debamort122),MONTH(_debamort122),__jou123+(W371-1)*_ijour122)))</f>
        <v/>
      </c>
      <c r="AA371" s="156">
        <f t="shared" si="70"/>
        <v>0</v>
      </c>
      <c r="AB371" s="153">
        <f>IF(W371&lt;=_noechmaxi1t,ROUND(AA371*'Données Projet 1 (2)'!H380,_nbdeci1t1),0)</f>
        <v>0</v>
      </c>
      <c r="AC371" s="152">
        <f>IF(OR(W371&lt;=_differe1t1t,W371&gt;_noechmaxi1t),IF(_difftotal1t1t,-AB371,0),IF(W371&gt;=_noechremb12,AA371,IF('Données Projet 1 (2)'!I380-(AB371*_echfixe12)&gt;AA371-2,AA371,'Données Projet 1 (2)'!I380-(AB371*_echfixe12))))+R371</f>
        <v>0</v>
      </c>
      <c r="AD371" s="154">
        <f t="shared" si="71"/>
        <v>0</v>
      </c>
      <c r="AE371" s="157">
        <f t="shared" si="63"/>
        <v>0</v>
      </c>
    </row>
    <row r="372" spans="1:31" x14ac:dyDescent="0.2">
      <c r="A372" s="3"/>
      <c r="B372" s="164"/>
      <c r="C372" s="22"/>
      <c r="D372" s="21"/>
      <c r="E372" s="23"/>
      <c r="F372" s="10"/>
      <c r="G372" s="5">
        <f t="shared" si="64"/>
        <v>366</v>
      </c>
      <c r="H372" s="7">
        <f t="shared" si="65"/>
        <v>55</v>
      </c>
      <c r="I372" s="8">
        <f t="shared" si="60"/>
        <v>2039</v>
      </c>
      <c r="J372" s="31">
        <f>IF(K372=0,"",IF(_ijour12=0,MIN(DATE(YEAR(_debamort12),MONTH(_debamort12)+_MoisD+(G372-1)*_imois12,_jour212),DATE(YEAR(_debamort12),MONTH(_debamort12)+_MoisD+1+(G372-1)*_imois12,0)),DATE(YEAR(_debamort12),MONTH(_debamort12),_jour12+(G372-1)*_ijour12)))</f>
        <v>50922</v>
      </c>
      <c r="K372" s="156">
        <f t="shared" si="66"/>
        <v>31974.15000000006</v>
      </c>
      <c r="L372" s="153">
        <f>IF(G372&lt;=_noeechmaxi1,ROUND(K372*'Données Projet 1 (2)'!A381,_nbdeci1t),0)</f>
        <v>49.56</v>
      </c>
      <c r="M372" s="152">
        <f>IF(OR(G372&lt;=_differe1t,G372&gt;_noeechmaxi1),IF(_difftotal1t,-L372,0),IF(G372&gt;=_noechremb1t,K372,IF('Données Projet 1 (2)'!B381-(L372*_echfixe1t)&gt;K372-2,K372,'Données Projet 1 (2)'!B381-(L372*_echfixe1t))))+B372</f>
        <v>557.3599999999999</v>
      </c>
      <c r="N372" s="154">
        <f t="shared" si="67"/>
        <v>15.6</v>
      </c>
      <c r="O372" s="157">
        <f t="shared" si="61"/>
        <v>622.51999999999987</v>
      </c>
      <c r="Q372" s="3"/>
      <c r="R372" s="164"/>
      <c r="S372" s="22"/>
      <c r="T372" s="21"/>
      <c r="U372" s="23"/>
      <c r="V372" s="10"/>
      <c r="W372" s="5" t="str">
        <f t="shared" si="68"/>
        <v/>
      </c>
      <c r="X372" s="7" t="str">
        <f t="shared" si="69"/>
        <v/>
      </c>
      <c r="Y372" s="8" t="str">
        <f t="shared" si="62"/>
        <v/>
      </c>
      <c r="Z372" s="31" t="str">
        <f>IF(AA372=0,"",IF(_ijour122=0,MIN(DATE(YEAR(_debamort122),MONTH(_debamort122)+_moisd12+(W372-1)*_imois122,__jou21),DATE(YEAR(_debamort122),MONTH(_debamort122)+_moisd12+1+(W372-1)*_imois122,0)),DATE(YEAR(_debamort122),MONTH(_debamort122),__jou123+(W372-1)*_ijour122)))</f>
        <v/>
      </c>
      <c r="AA372" s="156">
        <f t="shared" si="70"/>
        <v>0</v>
      </c>
      <c r="AB372" s="153">
        <f>IF(W372&lt;=_noechmaxi1t,ROUND(AA372*'Données Projet 1 (2)'!H381,_nbdeci1t1),0)</f>
        <v>0</v>
      </c>
      <c r="AC372" s="152">
        <f>IF(OR(W372&lt;=_differe1t1t,W372&gt;_noechmaxi1t),IF(_difftotal1t1t,-AB372,0),IF(W372&gt;=_noechremb12,AA372,IF('Données Projet 1 (2)'!I381-(AB372*_echfixe12)&gt;AA372-2,AA372,'Données Projet 1 (2)'!I381-(AB372*_echfixe12))))+R372</f>
        <v>0</v>
      </c>
      <c r="AD372" s="154">
        <f t="shared" si="71"/>
        <v>0</v>
      </c>
      <c r="AE372" s="157">
        <f t="shared" si="63"/>
        <v>0</v>
      </c>
    </row>
    <row r="373" spans="1:31" x14ac:dyDescent="0.2">
      <c r="A373" s="3"/>
      <c r="B373" s="164"/>
      <c r="C373" s="22"/>
      <c r="D373" s="21"/>
      <c r="E373" s="23"/>
      <c r="F373" s="10"/>
      <c r="G373" s="5">
        <f t="shared" si="64"/>
        <v>367</v>
      </c>
      <c r="H373" s="7">
        <f t="shared" si="65"/>
        <v>54</v>
      </c>
      <c r="I373" s="8">
        <f t="shared" si="60"/>
        <v>2039</v>
      </c>
      <c r="J373" s="31">
        <f>IF(K373=0,"",IF(_ijour12=0,MIN(DATE(YEAR(_debamort12),MONTH(_debamort12)+(G373-1)*_imois12,_jour12),DATE(YEAR(_debamort12),MONTH(_debamort12)+1+(G373-1)*_imois12,0)),DATE(YEAR(_debamort12),MONTH(_debamort12),_jour12+(G373-1)*_ijour12)))</f>
        <v>50952</v>
      </c>
      <c r="K373" s="156">
        <f t="shared" si="66"/>
        <v>31416.790000000059</v>
      </c>
      <c r="L373" s="153">
        <f>IF(G373&lt;=_noeechmaxi1,ROUND(K373*'Données Projet 1 (2)'!A382,_nbdeci1t),0)</f>
        <v>48.7</v>
      </c>
      <c r="M373" s="152">
        <f>IF(OR(G373&lt;=_differe1t,G373&gt;_noeechmaxi1),IF(_difftotal1t,-L373,0),IF(G373&gt;=_noechremb1t,K373,IF('Données Projet 1 (2)'!B382-(L373*_echfixe1t)&gt;K373-2,K373,'Données Projet 1 (2)'!B382-(L373*_echfixe1t))))+B373</f>
        <v>558.21999999999991</v>
      </c>
      <c r="N373" s="154">
        <f t="shared" si="67"/>
        <v>15.6</v>
      </c>
      <c r="O373" s="157">
        <f t="shared" si="61"/>
        <v>622.52</v>
      </c>
      <c r="Q373" s="3"/>
      <c r="R373" s="164"/>
      <c r="S373" s="22"/>
      <c r="T373" s="21"/>
      <c r="U373" s="23"/>
      <c r="V373" s="10"/>
      <c r="W373" s="5" t="str">
        <f t="shared" si="68"/>
        <v/>
      </c>
      <c r="X373" s="7" t="str">
        <f t="shared" si="69"/>
        <v/>
      </c>
      <c r="Y373" s="8" t="str">
        <f t="shared" si="62"/>
        <v/>
      </c>
      <c r="Z373" s="31" t="str">
        <f>IF(AA373=0,"",IF(_ijour122=0,MIN(DATE(YEAR(_debamort122),MONTH(_debamort122)+(W373-1)*_imois122,__jou123),DATE(YEAR(_debamort122),MONTH(_debamort122)+1+(W373-1)*_imois122,0)),DATE(YEAR(_debamort122),MONTH(_debamort122),__jou123+(W373-1)*_ijour122)))</f>
        <v/>
      </c>
      <c r="AA373" s="156">
        <f t="shared" si="70"/>
        <v>0</v>
      </c>
      <c r="AB373" s="153">
        <f>IF(W373&lt;=_noechmaxi1t,ROUND(AA373*'Données Projet 1 (2)'!H382,_nbdeci1t1),0)</f>
        <v>0</v>
      </c>
      <c r="AC373" s="152">
        <f>IF(OR(W373&lt;=_differe1t1t,W373&gt;_noechmaxi1t),IF(_difftotal1t1t,-AB373,0),IF(W373&gt;=_noechremb12,AA373,IF('Données Projet 1 (2)'!I382-(AB373*_echfixe12)&gt;AA373-2,AA373,'Données Projet 1 (2)'!I382-(AB373*_echfixe12))))+R373</f>
        <v>0</v>
      </c>
      <c r="AD373" s="154">
        <f t="shared" si="71"/>
        <v>0</v>
      </c>
      <c r="AE373" s="157">
        <f t="shared" si="63"/>
        <v>0</v>
      </c>
    </row>
    <row r="374" spans="1:31" x14ac:dyDescent="0.2">
      <c r="A374" s="3"/>
      <c r="B374" s="164"/>
      <c r="C374" s="22"/>
      <c r="D374" s="21"/>
      <c r="E374" s="23"/>
      <c r="F374" s="10"/>
      <c r="G374" s="5">
        <f t="shared" si="64"/>
        <v>368</v>
      </c>
      <c r="H374" s="7">
        <f t="shared" si="65"/>
        <v>53</v>
      </c>
      <c r="I374" s="8">
        <f t="shared" si="60"/>
        <v>2039</v>
      </c>
      <c r="J374" s="31">
        <f>IF(K374=0,"",IF(_ijour12=0,MIN(DATE(YEAR(_debamort12),MONTH(_debamort12)+_MoisD+(G374-1)*_imois12,_jour212),DATE(YEAR(_debamort12),MONTH(_debamort12)+_MoisD+1+(G374-1)*_imois12,0)),DATE(YEAR(_debamort12),MONTH(_debamort12),_jour12+(G374-1)*_ijour12)))</f>
        <v>50983</v>
      </c>
      <c r="K374" s="156">
        <f t="shared" si="66"/>
        <v>30858.570000000058</v>
      </c>
      <c r="L374" s="153">
        <f>IF(G374&lt;=_noeechmaxi1,ROUND(K374*'Données Projet 1 (2)'!A383,_nbdeci1t),0)</f>
        <v>47.83</v>
      </c>
      <c r="M374" s="152">
        <f>IF(OR(G374&lt;=_differe1t,G374&gt;_noeechmaxi1),IF(_difftotal1t,-L374,0),IF(G374&gt;=_noechremb1t,K374,IF('Données Projet 1 (2)'!B383-(L374*_echfixe1t)&gt;K374-2,K374,'Données Projet 1 (2)'!B383-(L374*_echfixe1t))))+B374</f>
        <v>559.08999999999992</v>
      </c>
      <c r="N374" s="154">
        <f t="shared" si="67"/>
        <v>15.6</v>
      </c>
      <c r="O374" s="157">
        <f t="shared" si="61"/>
        <v>622.52</v>
      </c>
      <c r="Q374" s="3"/>
      <c r="R374" s="164"/>
      <c r="S374" s="22"/>
      <c r="T374" s="21"/>
      <c r="U374" s="23"/>
      <c r="V374" s="10"/>
      <c r="W374" s="5" t="str">
        <f t="shared" si="68"/>
        <v/>
      </c>
      <c r="X374" s="7" t="str">
        <f t="shared" si="69"/>
        <v/>
      </c>
      <c r="Y374" s="8" t="str">
        <f t="shared" si="62"/>
        <v/>
      </c>
      <c r="Z374" s="31" t="str">
        <f>IF(AA374=0,"",IF(_ijour122=0,MIN(DATE(YEAR(_debamort122),MONTH(_debamort122)+_moisd12+(W374-1)*_imois122,__jou21),DATE(YEAR(_debamort122),MONTH(_debamort122)+_moisd12+1+(W374-1)*_imois122,0)),DATE(YEAR(_debamort122),MONTH(_debamort122),__jou123+(W374-1)*_ijour122)))</f>
        <v/>
      </c>
      <c r="AA374" s="156">
        <f t="shared" si="70"/>
        <v>0</v>
      </c>
      <c r="AB374" s="153">
        <f>IF(W374&lt;=_noechmaxi1t,ROUND(AA374*'Données Projet 1 (2)'!H383,_nbdeci1t1),0)</f>
        <v>0</v>
      </c>
      <c r="AC374" s="152">
        <f>IF(OR(W374&lt;=_differe1t1t,W374&gt;_noechmaxi1t),IF(_difftotal1t1t,-AB374,0),IF(W374&gt;=_noechremb12,AA374,IF('Données Projet 1 (2)'!I383-(AB374*_echfixe12)&gt;AA374-2,AA374,'Données Projet 1 (2)'!I383-(AB374*_echfixe12))))+R374</f>
        <v>0</v>
      </c>
      <c r="AD374" s="154">
        <f t="shared" si="71"/>
        <v>0</v>
      </c>
      <c r="AE374" s="157">
        <f t="shared" si="63"/>
        <v>0</v>
      </c>
    </row>
    <row r="375" spans="1:31" x14ac:dyDescent="0.2">
      <c r="A375" s="3"/>
      <c r="B375" s="164"/>
      <c r="C375" s="22"/>
      <c r="D375" s="21"/>
      <c r="E375" s="23"/>
      <c r="F375" s="10"/>
      <c r="G375" s="5">
        <f t="shared" si="64"/>
        <v>369</v>
      </c>
      <c r="H375" s="7">
        <f t="shared" si="65"/>
        <v>52</v>
      </c>
      <c r="I375" s="8">
        <f t="shared" si="60"/>
        <v>2039</v>
      </c>
      <c r="J375" s="31">
        <f>IF(K375=0,"",IF(_ijour12=0,MIN(DATE(YEAR(_debamort12),MONTH(_debamort12)+(G375-1)*_imois12,_jour12),DATE(YEAR(_debamort12),MONTH(_debamort12)+1+(G375-1)*_imois12,0)),DATE(YEAR(_debamort12),MONTH(_debamort12),_jour12+(G375-1)*_ijour12)))</f>
        <v>51014</v>
      </c>
      <c r="K375" s="156">
        <f t="shared" si="66"/>
        <v>30299.480000000058</v>
      </c>
      <c r="L375" s="153">
        <f>IF(G375&lt;=_noeechmaxi1,ROUND(K375*'Données Projet 1 (2)'!A384,_nbdeci1t),0)</f>
        <v>46.96</v>
      </c>
      <c r="M375" s="152">
        <f>IF(OR(G375&lt;=_differe1t,G375&gt;_noeechmaxi1),IF(_difftotal1t,-L375,0),IF(G375&gt;=_noechremb1t,K375,IF('Données Projet 1 (2)'!B384-(L375*_echfixe1t)&gt;K375-2,K375,'Données Projet 1 (2)'!B384-(L375*_echfixe1t))))+B375</f>
        <v>559.95999999999992</v>
      </c>
      <c r="N375" s="154">
        <f t="shared" si="67"/>
        <v>15.6</v>
      </c>
      <c r="O375" s="157">
        <f t="shared" si="61"/>
        <v>622.52</v>
      </c>
      <c r="Q375" s="3"/>
      <c r="R375" s="164"/>
      <c r="S375" s="22"/>
      <c r="T375" s="21"/>
      <c r="U375" s="23"/>
      <c r="V375" s="10"/>
      <c r="W375" s="5" t="str">
        <f t="shared" si="68"/>
        <v/>
      </c>
      <c r="X375" s="7" t="str">
        <f t="shared" si="69"/>
        <v/>
      </c>
      <c r="Y375" s="8" t="str">
        <f t="shared" si="62"/>
        <v/>
      </c>
      <c r="Z375" s="31" t="str">
        <f>IF(AA375=0,"",IF(_ijour122=0,MIN(DATE(YEAR(_debamort122),MONTH(_debamort122)+(W375-1)*_imois122,__jou123),DATE(YEAR(_debamort122),MONTH(_debamort122)+1+(W375-1)*_imois122,0)),DATE(YEAR(_debamort122),MONTH(_debamort122),__jou123+(W375-1)*_ijour122)))</f>
        <v/>
      </c>
      <c r="AA375" s="156">
        <f t="shared" si="70"/>
        <v>0</v>
      </c>
      <c r="AB375" s="153">
        <f>IF(W375&lt;=_noechmaxi1t,ROUND(AA375*'Données Projet 1 (2)'!H384,_nbdeci1t1),0)</f>
        <v>0</v>
      </c>
      <c r="AC375" s="152">
        <f>IF(OR(W375&lt;=_differe1t1t,W375&gt;_noechmaxi1t),IF(_difftotal1t1t,-AB375,0),IF(W375&gt;=_noechremb12,AA375,IF('Données Projet 1 (2)'!I384-(AB375*_echfixe12)&gt;AA375-2,AA375,'Données Projet 1 (2)'!I384-(AB375*_echfixe12))))+R375</f>
        <v>0</v>
      </c>
      <c r="AD375" s="154">
        <f t="shared" si="71"/>
        <v>0</v>
      </c>
      <c r="AE375" s="157">
        <f t="shared" si="63"/>
        <v>0</v>
      </c>
    </row>
    <row r="376" spans="1:31" x14ac:dyDescent="0.2">
      <c r="A376" s="3"/>
      <c r="B376" s="164"/>
      <c r="C376" s="22"/>
      <c r="D376" s="21"/>
      <c r="E376" s="23"/>
      <c r="F376" s="10"/>
      <c r="G376" s="5">
        <f t="shared" si="64"/>
        <v>370</v>
      </c>
      <c r="H376" s="7">
        <f t="shared" si="65"/>
        <v>51</v>
      </c>
      <c r="I376" s="8">
        <f t="shared" si="60"/>
        <v>2039</v>
      </c>
      <c r="J376" s="31">
        <f>IF(K376=0,"",IF(_ijour12=0,MIN(DATE(YEAR(_debamort12),MONTH(_debamort12)+_MoisD+(G376-1)*_imois12,_jour212),DATE(YEAR(_debamort12),MONTH(_debamort12)+_MoisD+1+(G376-1)*_imois12,0)),DATE(YEAR(_debamort12),MONTH(_debamort12),_jour12+(G376-1)*_ijour12)))</f>
        <v>51044</v>
      </c>
      <c r="K376" s="156">
        <f t="shared" si="66"/>
        <v>29739.520000000059</v>
      </c>
      <c r="L376" s="153">
        <f>IF(G376&lt;=_noeechmaxi1,ROUND(K376*'Données Projet 1 (2)'!A385,_nbdeci1t),0)</f>
        <v>46.1</v>
      </c>
      <c r="M376" s="152">
        <f>IF(OR(G376&lt;=_differe1t,G376&gt;_noeechmaxi1),IF(_difftotal1t,-L376,0),IF(G376&gt;=_noechremb1t,K376,IF('Données Projet 1 (2)'!B385-(L376*_echfixe1t)&gt;K376-2,K376,'Données Projet 1 (2)'!B385-(L376*_echfixe1t))))+B376</f>
        <v>560.81999999999994</v>
      </c>
      <c r="N376" s="154">
        <f t="shared" si="67"/>
        <v>15.6</v>
      </c>
      <c r="O376" s="157">
        <f t="shared" si="61"/>
        <v>622.52</v>
      </c>
      <c r="Q376" s="3"/>
      <c r="R376" s="164"/>
      <c r="S376" s="22"/>
      <c r="T376" s="21"/>
      <c r="U376" s="23"/>
      <c r="V376" s="10"/>
      <c r="W376" s="5" t="str">
        <f t="shared" si="68"/>
        <v/>
      </c>
      <c r="X376" s="7" t="str">
        <f t="shared" si="69"/>
        <v/>
      </c>
      <c r="Y376" s="8" t="str">
        <f t="shared" si="62"/>
        <v/>
      </c>
      <c r="Z376" s="31" t="str">
        <f>IF(AA376=0,"",IF(_ijour122=0,MIN(DATE(YEAR(_debamort122),MONTH(_debamort122)+_moisd12+(W376-1)*_imois122,__jou21),DATE(YEAR(_debamort122),MONTH(_debamort122)+_moisd12+1+(W376-1)*_imois122,0)),DATE(YEAR(_debamort122),MONTH(_debamort122),__jou123+(W376-1)*_ijour122)))</f>
        <v/>
      </c>
      <c r="AA376" s="156">
        <f t="shared" si="70"/>
        <v>0</v>
      </c>
      <c r="AB376" s="153">
        <f>IF(W376&lt;=_noechmaxi1t,ROUND(AA376*'Données Projet 1 (2)'!H385,_nbdeci1t1),0)</f>
        <v>0</v>
      </c>
      <c r="AC376" s="152">
        <f>IF(OR(W376&lt;=_differe1t1t,W376&gt;_noechmaxi1t),IF(_difftotal1t1t,-AB376,0),IF(W376&gt;=_noechremb12,AA376,IF('Données Projet 1 (2)'!I385-(AB376*_echfixe12)&gt;AA376-2,AA376,'Données Projet 1 (2)'!I385-(AB376*_echfixe12))))+R376</f>
        <v>0</v>
      </c>
      <c r="AD376" s="154">
        <f t="shared" si="71"/>
        <v>0</v>
      </c>
      <c r="AE376" s="157">
        <f t="shared" si="63"/>
        <v>0</v>
      </c>
    </row>
    <row r="377" spans="1:31" x14ac:dyDescent="0.2">
      <c r="A377" s="3"/>
      <c r="B377" s="164"/>
      <c r="C377" s="22"/>
      <c r="D377" s="21"/>
      <c r="E377" s="23"/>
      <c r="F377" s="10"/>
      <c r="G377" s="5">
        <f t="shared" si="64"/>
        <v>371</v>
      </c>
      <c r="H377" s="7">
        <f t="shared" si="65"/>
        <v>50</v>
      </c>
      <c r="I377" s="8">
        <f t="shared" si="60"/>
        <v>2039</v>
      </c>
      <c r="J377" s="31">
        <f>IF(K377=0,"",IF(_ijour12=0,MIN(DATE(YEAR(_debamort12),MONTH(_debamort12)+(G377-1)*_imois12,_jour12),DATE(YEAR(_debamort12),MONTH(_debamort12)+1+(G377-1)*_imois12,0)),DATE(YEAR(_debamort12),MONTH(_debamort12),_jour12+(G377-1)*_ijour12)))</f>
        <v>51075</v>
      </c>
      <c r="K377" s="156">
        <f t="shared" si="66"/>
        <v>29178.700000000059</v>
      </c>
      <c r="L377" s="153">
        <f>IF(G377&lt;=_noeechmaxi1,ROUND(K377*'Données Projet 1 (2)'!A386,_nbdeci1t),0)</f>
        <v>45.23</v>
      </c>
      <c r="M377" s="152">
        <f>IF(OR(G377&lt;=_differe1t,G377&gt;_noeechmaxi1),IF(_difftotal1t,-L377,0),IF(G377&gt;=_noechremb1t,K377,IF('Données Projet 1 (2)'!B386-(L377*_echfixe1t)&gt;K377-2,K377,'Données Projet 1 (2)'!B386-(L377*_echfixe1t))))+B377</f>
        <v>561.68999999999994</v>
      </c>
      <c r="N377" s="154">
        <f t="shared" si="67"/>
        <v>15.6</v>
      </c>
      <c r="O377" s="157">
        <f t="shared" si="61"/>
        <v>622.52</v>
      </c>
      <c r="Q377" s="3"/>
      <c r="R377" s="164"/>
      <c r="S377" s="22"/>
      <c r="T377" s="21"/>
      <c r="U377" s="23"/>
      <c r="V377" s="10"/>
      <c r="W377" s="5" t="str">
        <f t="shared" si="68"/>
        <v/>
      </c>
      <c r="X377" s="7" t="str">
        <f t="shared" si="69"/>
        <v/>
      </c>
      <c r="Y377" s="8" t="str">
        <f t="shared" si="62"/>
        <v/>
      </c>
      <c r="Z377" s="31" t="str">
        <f>IF(AA377=0,"",IF(_ijour122=0,MIN(DATE(YEAR(_debamort122),MONTH(_debamort122)+(W377-1)*_imois122,__jou123),DATE(YEAR(_debamort122),MONTH(_debamort122)+1+(W377-1)*_imois122,0)),DATE(YEAR(_debamort122),MONTH(_debamort122),__jou123+(W377-1)*_ijour122)))</f>
        <v/>
      </c>
      <c r="AA377" s="156">
        <f t="shared" si="70"/>
        <v>0</v>
      </c>
      <c r="AB377" s="153">
        <f>IF(W377&lt;=_noechmaxi1t,ROUND(AA377*'Données Projet 1 (2)'!H386,_nbdeci1t1),0)</f>
        <v>0</v>
      </c>
      <c r="AC377" s="152">
        <f>IF(OR(W377&lt;=_differe1t1t,W377&gt;_noechmaxi1t),IF(_difftotal1t1t,-AB377,0),IF(W377&gt;=_noechremb12,AA377,IF('Données Projet 1 (2)'!I386-(AB377*_echfixe12)&gt;AA377-2,AA377,'Données Projet 1 (2)'!I386-(AB377*_echfixe12))))+R377</f>
        <v>0</v>
      </c>
      <c r="AD377" s="154">
        <f t="shared" si="71"/>
        <v>0</v>
      </c>
      <c r="AE377" s="157">
        <f t="shared" si="63"/>
        <v>0</v>
      </c>
    </row>
    <row r="378" spans="1:31" x14ac:dyDescent="0.2">
      <c r="A378" s="3"/>
      <c r="B378" s="164"/>
      <c r="C378" s="22"/>
      <c r="D378" s="21"/>
      <c r="E378" s="23"/>
      <c r="F378" s="10"/>
      <c r="G378" s="5">
        <f t="shared" si="64"/>
        <v>372</v>
      </c>
      <c r="H378" s="7">
        <f t="shared" si="65"/>
        <v>49</v>
      </c>
      <c r="I378" s="8">
        <f t="shared" si="60"/>
        <v>2039</v>
      </c>
      <c r="J378" s="31">
        <f>IF(K378=0,"",IF(_ijour12=0,MIN(DATE(YEAR(_debamort12),MONTH(_debamort12)+_MoisD+(G378-1)*_imois12,_jour212),DATE(YEAR(_debamort12),MONTH(_debamort12)+_MoisD+1+(G378-1)*_imois12,0)),DATE(YEAR(_debamort12),MONTH(_debamort12),_jour12+(G378-1)*_ijour12)))</f>
        <v>51105</v>
      </c>
      <c r="K378" s="156">
        <f t="shared" si="66"/>
        <v>28617.01000000006</v>
      </c>
      <c r="L378" s="153">
        <f>IF(G378&lt;=_noeechmaxi1,ROUND(K378*'Données Projet 1 (2)'!A387,_nbdeci1t),0)</f>
        <v>44.36</v>
      </c>
      <c r="M378" s="152">
        <f>IF(OR(G378&lt;=_differe1t,G378&gt;_noeechmaxi1),IF(_difftotal1t,-L378,0),IF(G378&gt;=_noechremb1t,K378,IF('Données Projet 1 (2)'!B387-(L378*_echfixe1t)&gt;K378-2,K378,'Données Projet 1 (2)'!B387-(L378*_echfixe1t))))+B378</f>
        <v>562.55999999999995</v>
      </c>
      <c r="N378" s="154">
        <f t="shared" si="67"/>
        <v>15.6</v>
      </c>
      <c r="O378" s="157">
        <f t="shared" si="61"/>
        <v>622.52</v>
      </c>
      <c r="Q378" s="3"/>
      <c r="R378" s="164"/>
      <c r="S378" s="22"/>
      <c r="T378" s="21"/>
      <c r="U378" s="23"/>
      <c r="V378" s="10"/>
      <c r="W378" s="5" t="str">
        <f t="shared" si="68"/>
        <v/>
      </c>
      <c r="X378" s="7" t="str">
        <f t="shared" si="69"/>
        <v/>
      </c>
      <c r="Y378" s="8" t="str">
        <f t="shared" si="62"/>
        <v/>
      </c>
      <c r="Z378" s="31" t="str">
        <f>IF(AA378=0,"",IF(_ijour122=0,MIN(DATE(YEAR(_debamort122),MONTH(_debamort122)+_moisd12+(W378-1)*_imois122,__jou21),DATE(YEAR(_debamort122),MONTH(_debamort122)+_moisd12+1+(W378-1)*_imois122,0)),DATE(YEAR(_debamort122),MONTH(_debamort122),__jou123+(W378-1)*_ijour122)))</f>
        <v/>
      </c>
      <c r="AA378" s="156">
        <f t="shared" si="70"/>
        <v>0</v>
      </c>
      <c r="AB378" s="153">
        <f>IF(W378&lt;=_noechmaxi1t,ROUND(AA378*'Données Projet 1 (2)'!H387,_nbdeci1t1),0)</f>
        <v>0</v>
      </c>
      <c r="AC378" s="152">
        <f>IF(OR(W378&lt;=_differe1t1t,W378&gt;_noechmaxi1t),IF(_difftotal1t1t,-AB378,0),IF(W378&gt;=_noechremb12,AA378,IF('Données Projet 1 (2)'!I387-(AB378*_echfixe12)&gt;AA378-2,AA378,'Données Projet 1 (2)'!I387-(AB378*_echfixe12))))+R378</f>
        <v>0</v>
      </c>
      <c r="AD378" s="154">
        <f t="shared" si="71"/>
        <v>0</v>
      </c>
      <c r="AE378" s="157">
        <f t="shared" si="63"/>
        <v>0</v>
      </c>
    </row>
    <row r="379" spans="1:31" x14ac:dyDescent="0.2">
      <c r="A379" s="3"/>
      <c r="B379" s="164"/>
      <c r="C379" s="22"/>
      <c r="D379" s="21"/>
      <c r="E379" s="23"/>
      <c r="F379" s="10"/>
      <c r="G379" s="5">
        <f t="shared" si="64"/>
        <v>373</v>
      </c>
      <c r="H379" s="7">
        <f t="shared" si="65"/>
        <v>48</v>
      </c>
      <c r="I379" s="8">
        <f t="shared" si="60"/>
        <v>2040</v>
      </c>
      <c r="J379" s="31">
        <f>IF(K379=0,"",IF(_ijour12=0,MIN(DATE(YEAR(_debamort12),MONTH(_debamort12)+(G379-1)*_imois12,_jour12),DATE(YEAR(_debamort12),MONTH(_debamort12)+1+(G379-1)*_imois12,0)),DATE(YEAR(_debamort12),MONTH(_debamort12),_jour12+(G379-1)*_ijour12)))</f>
        <v>51136</v>
      </c>
      <c r="K379" s="156">
        <f t="shared" si="66"/>
        <v>28054.450000000059</v>
      </c>
      <c r="L379" s="153">
        <f>IF(G379&lt;=_noeechmaxi1,ROUND(K379*'Données Projet 1 (2)'!A388,_nbdeci1t),0)</f>
        <v>43.48</v>
      </c>
      <c r="M379" s="152">
        <f>IF(OR(G379&lt;=_differe1t,G379&gt;_noeechmaxi1),IF(_difftotal1t,-L379,0),IF(G379&gt;=_noechremb1t,K379,IF('Données Projet 1 (2)'!B388-(L379*_echfixe1t)&gt;K379-2,K379,'Données Projet 1 (2)'!B388-(L379*_echfixe1t))))+B379</f>
        <v>563.43999999999994</v>
      </c>
      <c r="N379" s="154">
        <f t="shared" si="67"/>
        <v>15.6</v>
      </c>
      <c r="O379" s="157">
        <f t="shared" si="61"/>
        <v>622.52</v>
      </c>
      <c r="Q379" s="3"/>
      <c r="R379" s="164"/>
      <c r="S379" s="22"/>
      <c r="T379" s="21"/>
      <c r="U379" s="23"/>
      <c r="V379" s="10"/>
      <c r="W379" s="5" t="str">
        <f t="shared" si="68"/>
        <v/>
      </c>
      <c r="X379" s="7" t="str">
        <f t="shared" si="69"/>
        <v/>
      </c>
      <c r="Y379" s="8" t="str">
        <f t="shared" si="62"/>
        <v/>
      </c>
      <c r="Z379" s="31" t="str">
        <f>IF(AA379=0,"",IF(_ijour122=0,MIN(DATE(YEAR(_debamort122),MONTH(_debamort122)+(W379-1)*_imois122,__jou123),DATE(YEAR(_debamort122),MONTH(_debamort122)+1+(W379-1)*_imois122,0)),DATE(YEAR(_debamort122),MONTH(_debamort122),__jou123+(W379-1)*_ijour122)))</f>
        <v/>
      </c>
      <c r="AA379" s="156">
        <f t="shared" si="70"/>
        <v>0</v>
      </c>
      <c r="AB379" s="153">
        <f>IF(W379&lt;=_noechmaxi1t,ROUND(AA379*'Données Projet 1 (2)'!H388,_nbdeci1t1),0)</f>
        <v>0</v>
      </c>
      <c r="AC379" s="152">
        <f>IF(OR(W379&lt;=_differe1t1t,W379&gt;_noechmaxi1t),IF(_difftotal1t1t,-AB379,0),IF(W379&gt;=_noechremb12,AA379,IF('Données Projet 1 (2)'!I388-(AB379*_echfixe12)&gt;AA379-2,AA379,'Données Projet 1 (2)'!I388-(AB379*_echfixe12))))+R379</f>
        <v>0</v>
      </c>
      <c r="AD379" s="154">
        <f t="shared" si="71"/>
        <v>0</v>
      </c>
      <c r="AE379" s="157">
        <f t="shared" si="63"/>
        <v>0</v>
      </c>
    </row>
    <row r="380" spans="1:31" x14ac:dyDescent="0.2">
      <c r="A380" s="3"/>
      <c r="B380" s="164"/>
      <c r="C380" s="22"/>
      <c r="D380" s="21"/>
      <c r="E380" s="23"/>
      <c r="F380" s="10"/>
      <c r="G380" s="5">
        <f t="shared" si="64"/>
        <v>374</v>
      </c>
      <c r="H380" s="7">
        <f t="shared" si="65"/>
        <v>47</v>
      </c>
      <c r="I380" s="8">
        <f t="shared" si="60"/>
        <v>2040</v>
      </c>
      <c r="J380" s="31">
        <f>IF(K380=0,"",IF(_ijour12=0,MIN(DATE(YEAR(_debamort12),MONTH(_debamort12)+_MoisD+(G380-1)*_imois12,_jour212),DATE(YEAR(_debamort12),MONTH(_debamort12)+_MoisD+1+(G380-1)*_imois12,0)),DATE(YEAR(_debamort12),MONTH(_debamort12),_jour12+(G380-1)*_ijour12)))</f>
        <v>51167</v>
      </c>
      <c r="K380" s="156">
        <f t="shared" si="66"/>
        <v>27491.01000000006</v>
      </c>
      <c r="L380" s="153">
        <f>IF(G380&lt;=_noeechmaxi1,ROUND(K380*'Données Projet 1 (2)'!A389,_nbdeci1t),0)</f>
        <v>42.61</v>
      </c>
      <c r="M380" s="152">
        <f>IF(OR(G380&lt;=_differe1t,G380&gt;_noeechmaxi1),IF(_difftotal1t,-L380,0),IF(G380&gt;=_noechremb1t,K380,IF('Données Projet 1 (2)'!B389-(L380*_echfixe1t)&gt;K380-2,K380,'Données Projet 1 (2)'!B389-(L380*_echfixe1t))))+B380</f>
        <v>564.30999999999995</v>
      </c>
      <c r="N380" s="154">
        <f t="shared" si="67"/>
        <v>15.6</v>
      </c>
      <c r="O380" s="157">
        <f t="shared" si="61"/>
        <v>622.52</v>
      </c>
      <c r="Q380" s="3"/>
      <c r="R380" s="164"/>
      <c r="S380" s="22"/>
      <c r="T380" s="21"/>
      <c r="U380" s="23"/>
      <c r="V380" s="10"/>
      <c r="W380" s="5" t="str">
        <f t="shared" si="68"/>
        <v/>
      </c>
      <c r="X380" s="7" t="str">
        <f t="shared" si="69"/>
        <v/>
      </c>
      <c r="Y380" s="8" t="str">
        <f t="shared" si="62"/>
        <v/>
      </c>
      <c r="Z380" s="31" t="str">
        <f>IF(AA380=0,"",IF(_ijour122=0,MIN(DATE(YEAR(_debamort122),MONTH(_debamort122)+_moisd12+(W380-1)*_imois122,__jou21),DATE(YEAR(_debamort122),MONTH(_debamort122)+_moisd12+1+(W380-1)*_imois122,0)),DATE(YEAR(_debamort122),MONTH(_debamort122),__jou123+(W380-1)*_ijour122)))</f>
        <v/>
      </c>
      <c r="AA380" s="156">
        <f t="shared" si="70"/>
        <v>0</v>
      </c>
      <c r="AB380" s="153">
        <f>IF(W380&lt;=_noechmaxi1t,ROUND(AA380*'Données Projet 1 (2)'!H389,_nbdeci1t1),0)</f>
        <v>0</v>
      </c>
      <c r="AC380" s="152">
        <f>IF(OR(W380&lt;=_differe1t1t,W380&gt;_noechmaxi1t),IF(_difftotal1t1t,-AB380,0),IF(W380&gt;=_noechremb12,AA380,IF('Données Projet 1 (2)'!I389-(AB380*_echfixe12)&gt;AA380-2,AA380,'Données Projet 1 (2)'!I389-(AB380*_echfixe12))))+R380</f>
        <v>0</v>
      </c>
      <c r="AD380" s="154">
        <f t="shared" si="71"/>
        <v>0</v>
      </c>
      <c r="AE380" s="157">
        <f t="shared" si="63"/>
        <v>0</v>
      </c>
    </row>
    <row r="381" spans="1:31" x14ac:dyDescent="0.2">
      <c r="A381" s="3"/>
      <c r="B381" s="164"/>
      <c r="C381" s="22"/>
      <c r="D381" s="21"/>
      <c r="E381" s="23"/>
      <c r="F381" s="10"/>
      <c r="G381" s="5">
        <f t="shared" si="64"/>
        <v>375</v>
      </c>
      <c r="H381" s="7">
        <f t="shared" si="65"/>
        <v>46</v>
      </c>
      <c r="I381" s="8">
        <f t="shared" si="60"/>
        <v>2040</v>
      </c>
      <c r="J381" s="31">
        <f>IF(K381=0,"",IF(_ijour12=0,MIN(DATE(YEAR(_debamort12),MONTH(_debamort12)+(G381-1)*_imois12,_jour12),DATE(YEAR(_debamort12),MONTH(_debamort12)+1+(G381-1)*_imois12,0)),DATE(YEAR(_debamort12),MONTH(_debamort12),_jour12+(G381-1)*_ijour12)))</f>
        <v>51196</v>
      </c>
      <c r="K381" s="156">
        <f t="shared" si="66"/>
        <v>26926.700000000059</v>
      </c>
      <c r="L381" s="153">
        <f>IF(G381&lt;=_noeechmaxi1,ROUND(K381*'Données Projet 1 (2)'!A390,_nbdeci1t),0)</f>
        <v>41.74</v>
      </c>
      <c r="M381" s="152">
        <f>IF(OR(G381&lt;=_differe1t,G381&gt;_noeechmaxi1),IF(_difftotal1t,-L381,0),IF(G381&gt;=_noechremb1t,K381,IF('Données Projet 1 (2)'!B390-(L381*_echfixe1t)&gt;K381-2,K381,'Données Projet 1 (2)'!B390-(L381*_echfixe1t))))+B381</f>
        <v>565.17999999999995</v>
      </c>
      <c r="N381" s="154">
        <f t="shared" si="67"/>
        <v>15.6</v>
      </c>
      <c r="O381" s="157">
        <f t="shared" si="61"/>
        <v>622.52</v>
      </c>
      <c r="Q381" s="3"/>
      <c r="R381" s="164"/>
      <c r="S381" s="22"/>
      <c r="T381" s="21"/>
      <c r="U381" s="23"/>
      <c r="V381" s="10"/>
      <c r="W381" s="5" t="str">
        <f t="shared" si="68"/>
        <v/>
      </c>
      <c r="X381" s="7" t="str">
        <f t="shared" si="69"/>
        <v/>
      </c>
      <c r="Y381" s="8" t="str">
        <f t="shared" si="62"/>
        <v/>
      </c>
      <c r="Z381" s="31" t="str">
        <f>IF(AA381=0,"",IF(_ijour122=0,MIN(DATE(YEAR(_debamort122),MONTH(_debamort122)+(W381-1)*_imois122,__jou123),DATE(YEAR(_debamort122),MONTH(_debamort122)+1+(W381-1)*_imois122,0)),DATE(YEAR(_debamort122),MONTH(_debamort122),__jou123+(W381-1)*_ijour122)))</f>
        <v/>
      </c>
      <c r="AA381" s="156">
        <f t="shared" si="70"/>
        <v>0</v>
      </c>
      <c r="AB381" s="153">
        <f>IF(W381&lt;=_noechmaxi1t,ROUND(AA381*'Données Projet 1 (2)'!H390,_nbdeci1t1),0)</f>
        <v>0</v>
      </c>
      <c r="AC381" s="152">
        <f>IF(OR(W381&lt;=_differe1t1t,W381&gt;_noechmaxi1t),IF(_difftotal1t1t,-AB381,0),IF(W381&gt;=_noechremb12,AA381,IF('Données Projet 1 (2)'!I390-(AB381*_echfixe12)&gt;AA381-2,AA381,'Données Projet 1 (2)'!I390-(AB381*_echfixe12))))+R381</f>
        <v>0</v>
      </c>
      <c r="AD381" s="154">
        <f t="shared" si="71"/>
        <v>0</v>
      </c>
      <c r="AE381" s="157">
        <f t="shared" si="63"/>
        <v>0</v>
      </c>
    </row>
    <row r="382" spans="1:31" x14ac:dyDescent="0.2">
      <c r="A382" s="3"/>
      <c r="B382" s="164"/>
      <c r="C382" s="22"/>
      <c r="D382" s="21"/>
      <c r="E382" s="23"/>
      <c r="F382" s="10"/>
      <c r="G382" s="5">
        <f t="shared" si="64"/>
        <v>376</v>
      </c>
      <c r="H382" s="7">
        <f t="shared" si="65"/>
        <v>45</v>
      </c>
      <c r="I382" s="8">
        <f t="shared" si="60"/>
        <v>2040</v>
      </c>
      <c r="J382" s="31">
        <f>IF(K382=0,"",IF(_ijour12=0,MIN(DATE(YEAR(_debamort12),MONTH(_debamort12)+_MoisD+(G382-1)*_imois12,_jour212),DATE(YEAR(_debamort12),MONTH(_debamort12)+_MoisD+1+(G382-1)*_imois12,0)),DATE(YEAR(_debamort12),MONTH(_debamort12),_jour12+(G382-1)*_ijour12)))</f>
        <v>51227</v>
      </c>
      <c r="K382" s="156">
        <f t="shared" si="66"/>
        <v>26361.520000000059</v>
      </c>
      <c r="L382" s="153">
        <f>IF(G382&lt;=_noeechmaxi1,ROUND(K382*'Données Projet 1 (2)'!A391,_nbdeci1t),0)</f>
        <v>40.86</v>
      </c>
      <c r="M382" s="152">
        <f>IF(OR(G382&lt;=_differe1t,G382&gt;_noeechmaxi1),IF(_difftotal1t,-L382,0),IF(G382&gt;=_noechremb1t,K382,IF('Données Projet 1 (2)'!B391-(L382*_echfixe1t)&gt;K382-2,K382,'Données Projet 1 (2)'!B391-(L382*_echfixe1t))))+B382</f>
        <v>566.05999999999995</v>
      </c>
      <c r="N382" s="154">
        <f t="shared" si="67"/>
        <v>15.6</v>
      </c>
      <c r="O382" s="157">
        <f t="shared" si="61"/>
        <v>622.52</v>
      </c>
      <c r="Q382" s="3"/>
      <c r="R382" s="164"/>
      <c r="S382" s="22"/>
      <c r="T382" s="21"/>
      <c r="U382" s="23"/>
      <c r="V382" s="10"/>
      <c r="W382" s="5" t="str">
        <f t="shared" si="68"/>
        <v/>
      </c>
      <c r="X382" s="7" t="str">
        <f t="shared" si="69"/>
        <v/>
      </c>
      <c r="Y382" s="8" t="str">
        <f t="shared" si="62"/>
        <v/>
      </c>
      <c r="Z382" s="31" t="str">
        <f>IF(AA382=0,"",IF(_ijour122=0,MIN(DATE(YEAR(_debamort122),MONTH(_debamort122)+_moisd12+(W382-1)*_imois122,__jou21),DATE(YEAR(_debamort122),MONTH(_debamort122)+_moisd12+1+(W382-1)*_imois122,0)),DATE(YEAR(_debamort122),MONTH(_debamort122),__jou123+(W382-1)*_ijour122)))</f>
        <v/>
      </c>
      <c r="AA382" s="156">
        <f t="shared" si="70"/>
        <v>0</v>
      </c>
      <c r="AB382" s="153">
        <f>IF(W382&lt;=_noechmaxi1t,ROUND(AA382*'Données Projet 1 (2)'!H391,_nbdeci1t1),0)</f>
        <v>0</v>
      </c>
      <c r="AC382" s="152">
        <f>IF(OR(W382&lt;=_differe1t1t,W382&gt;_noechmaxi1t),IF(_difftotal1t1t,-AB382,0),IF(W382&gt;=_noechremb12,AA382,IF('Données Projet 1 (2)'!I391-(AB382*_echfixe12)&gt;AA382-2,AA382,'Données Projet 1 (2)'!I391-(AB382*_echfixe12))))+R382</f>
        <v>0</v>
      </c>
      <c r="AD382" s="154">
        <f t="shared" si="71"/>
        <v>0</v>
      </c>
      <c r="AE382" s="157">
        <f t="shared" si="63"/>
        <v>0</v>
      </c>
    </row>
    <row r="383" spans="1:31" x14ac:dyDescent="0.2">
      <c r="A383" s="3"/>
      <c r="B383" s="164"/>
      <c r="C383" s="22"/>
      <c r="D383" s="21"/>
      <c r="E383" s="23"/>
      <c r="F383" s="10"/>
      <c r="G383" s="5">
        <f t="shared" si="64"/>
        <v>377</v>
      </c>
      <c r="H383" s="7">
        <f t="shared" si="65"/>
        <v>44</v>
      </c>
      <c r="I383" s="8">
        <f t="shared" si="60"/>
        <v>2040</v>
      </c>
      <c r="J383" s="31">
        <f>IF(K383=0,"",IF(_ijour12=0,MIN(DATE(YEAR(_debamort12),MONTH(_debamort12)+(G383-1)*_imois12,_jour12),DATE(YEAR(_debamort12),MONTH(_debamort12)+1+(G383-1)*_imois12,0)),DATE(YEAR(_debamort12),MONTH(_debamort12),_jour12+(G383-1)*_ijour12)))</f>
        <v>51257</v>
      </c>
      <c r="K383" s="156">
        <f t="shared" si="66"/>
        <v>25795.460000000057</v>
      </c>
      <c r="L383" s="153">
        <f>IF(G383&lt;=_noeechmaxi1,ROUND(K383*'Données Projet 1 (2)'!A392,_nbdeci1t),0)</f>
        <v>39.979999999999997</v>
      </c>
      <c r="M383" s="152">
        <f>IF(OR(G383&lt;=_differe1t,G383&gt;_noeechmaxi1),IF(_difftotal1t,-L383,0),IF(G383&gt;=_noechremb1t,K383,IF('Données Projet 1 (2)'!B392-(L383*_echfixe1t)&gt;K383-2,K383,'Données Projet 1 (2)'!B392-(L383*_echfixe1t))))+B383</f>
        <v>566.93999999999994</v>
      </c>
      <c r="N383" s="154">
        <f t="shared" si="67"/>
        <v>15.6</v>
      </c>
      <c r="O383" s="157">
        <f t="shared" si="61"/>
        <v>622.52</v>
      </c>
      <c r="Q383" s="3"/>
      <c r="R383" s="164"/>
      <c r="S383" s="22"/>
      <c r="T383" s="21"/>
      <c r="U383" s="23"/>
      <c r="V383" s="10"/>
      <c r="W383" s="5" t="str">
        <f t="shared" si="68"/>
        <v/>
      </c>
      <c r="X383" s="7" t="str">
        <f t="shared" si="69"/>
        <v/>
      </c>
      <c r="Y383" s="8" t="str">
        <f t="shared" si="62"/>
        <v/>
      </c>
      <c r="Z383" s="31" t="str">
        <f>IF(AA383=0,"",IF(_ijour122=0,MIN(DATE(YEAR(_debamort122),MONTH(_debamort122)+(W383-1)*_imois122,__jou123),DATE(YEAR(_debamort122),MONTH(_debamort122)+1+(W383-1)*_imois122,0)),DATE(YEAR(_debamort122),MONTH(_debamort122),__jou123+(W383-1)*_ijour122)))</f>
        <v/>
      </c>
      <c r="AA383" s="156">
        <f t="shared" si="70"/>
        <v>0</v>
      </c>
      <c r="AB383" s="153">
        <f>IF(W383&lt;=_noechmaxi1t,ROUND(AA383*'Données Projet 1 (2)'!H392,_nbdeci1t1),0)</f>
        <v>0</v>
      </c>
      <c r="AC383" s="152">
        <f>IF(OR(W383&lt;=_differe1t1t,W383&gt;_noechmaxi1t),IF(_difftotal1t1t,-AB383,0),IF(W383&gt;=_noechremb12,AA383,IF('Données Projet 1 (2)'!I392-(AB383*_echfixe12)&gt;AA383-2,AA383,'Données Projet 1 (2)'!I392-(AB383*_echfixe12))))+R383</f>
        <v>0</v>
      </c>
      <c r="AD383" s="154">
        <f t="shared" si="71"/>
        <v>0</v>
      </c>
      <c r="AE383" s="157">
        <f t="shared" si="63"/>
        <v>0</v>
      </c>
    </row>
    <row r="384" spans="1:31" x14ac:dyDescent="0.2">
      <c r="A384" s="3"/>
      <c r="B384" s="164"/>
      <c r="C384" s="22"/>
      <c r="D384" s="21"/>
      <c r="E384" s="23"/>
      <c r="F384" s="10"/>
      <c r="G384" s="5">
        <f t="shared" si="64"/>
        <v>378</v>
      </c>
      <c r="H384" s="7">
        <f t="shared" si="65"/>
        <v>43</v>
      </c>
      <c r="I384" s="8">
        <f t="shared" si="60"/>
        <v>2040</v>
      </c>
      <c r="J384" s="31">
        <f>IF(K384=0,"",IF(_ijour12=0,MIN(DATE(YEAR(_debamort12),MONTH(_debamort12)+_MoisD+(G384-1)*_imois12,_jour212),DATE(YEAR(_debamort12),MONTH(_debamort12)+_MoisD+1+(G384-1)*_imois12,0)),DATE(YEAR(_debamort12),MONTH(_debamort12),_jour12+(G384-1)*_ijour12)))</f>
        <v>51288</v>
      </c>
      <c r="K384" s="156">
        <f t="shared" si="66"/>
        <v>25228.520000000059</v>
      </c>
      <c r="L384" s="153">
        <f>IF(G384&lt;=_noeechmaxi1,ROUND(K384*'Données Projet 1 (2)'!A393,_nbdeci1t),0)</f>
        <v>39.1</v>
      </c>
      <c r="M384" s="152">
        <f>IF(OR(G384&lt;=_differe1t,G384&gt;_noeechmaxi1),IF(_difftotal1t,-L384,0),IF(G384&gt;=_noechremb1t,K384,IF('Données Projet 1 (2)'!B393-(L384*_echfixe1t)&gt;K384-2,K384,'Données Projet 1 (2)'!B393-(L384*_echfixe1t))))+B384</f>
        <v>567.81999999999994</v>
      </c>
      <c r="N384" s="154">
        <f t="shared" si="67"/>
        <v>15.6</v>
      </c>
      <c r="O384" s="157">
        <f t="shared" si="61"/>
        <v>622.52</v>
      </c>
      <c r="Q384" s="3"/>
      <c r="R384" s="164"/>
      <c r="S384" s="22"/>
      <c r="T384" s="21"/>
      <c r="U384" s="23"/>
      <c r="V384" s="10"/>
      <c r="W384" s="5" t="str">
        <f t="shared" si="68"/>
        <v/>
      </c>
      <c r="X384" s="7" t="str">
        <f t="shared" si="69"/>
        <v/>
      </c>
      <c r="Y384" s="8" t="str">
        <f t="shared" si="62"/>
        <v/>
      </c>
      <c r="Z384" s="31" t="str">
        <f>IF(AA384=0,"",IF(_ijour122=0,MIN(DATE(YEAR(_debamort122),MONTH(_debamort122)+_moisd12+(W384-1)*_imois122,__jou21),DATE(YEAR(_debamort122),MONTH(_debamort122)+_moisd12+1+(W384-1)*_imois122,0)),DATE(YEAR(_debamort122),MONTH(_debamort122),__jou123+(W384-1)*_ijour122)))</f>
        <v/>
      </c>
      <c r="AA384" s="156">
        <f t="shared" si="70"/>
        <v>0</v>
      </c>
      <c r="AB384" s="153">
        <f>IF(W384&lt;=_noechmaxi1t,ROUND(AA384*'Données Projet 1 (2)'!H393,_nbdeci1t1),0)</f>
        <v>0</v>
      </c>
      <c r="AC384" s="152">
        <f>IF(OR(W384&lt;=_differe1t1t,W384&gt;_noechmaxi1t),IF(_difftotal1t1t,-AB384,0),IF(W384&gt;=_noechremb12,AA384,IF('Données Projet 1 (2)'!I393-(AB384*_echfixe12)&gt;AA384-2,AA384,'Données Projet 1 (2)'!I393-(AB384*_echfixe12))))+R384</f>
        <v>0</v>
      </c>
      <c r="AD384" s="154">
        <f t="shared" si="71"/>
        <v>0</v>
      </c>
      <c r="AE384" s="157">
        <f t="shared" si="63"/>
        <v>0</v>
      </c>
    </row>
    <row r="385" spans="1:31" x14ac:dyDescent="0.2">
      <c r="A385" s="3"/>
      <c r="B385" s="164"/>
      <c r="C385" s="22"/>
      <c r="D385" s="21"/>
      <c r="E385" s="23"/>
      <c r="F385" s="10"/>
      <c r="G385" s="5">
        <f t="shared" si="64"/>
        <v>379</v>
      </c>
      <c r="H385" s="7">
        <f t="shared" si="65"/>
        <v>42</v>
      </c>
      <c r="I385" s="8">
        <f t="shared" si="60"/>
        <v>2040</v>
      </c>
      <c r="J385" s="31">
        <f>IF(K385=0,"",IF(_ijour12=0,MIN(DATE(YEAR(_debamort12),MONTH(_debamort12)+(G385-1)*_imois12,_jour12),DATE(YEAR(_debamort12),MONTH(_debamort12)+1+(G385-1)*_imois12,0)),DATE(YEAR(_debamort12),MONTH(_debamort12),_jour12+(G385-1)*_ijour12)))</f>
        <v>51318</v>
      </c>
      <c r="K385" s="156">
        <f t="shared" si="66"/>
        <v>24660.700000000059</v>
      </c>
      <c r="L385" s="153">
        <f>IF(G385&lt;=_noeechmaxi1,ROUND(K385*'Données Projet 1 (2)'!A394,_nbdeci1t),0)</f>
        <v>38.22</v>
      </c>
      <c r="M385" s="152">
        <f>IF(OR(G385&lt;=_differe1t,G385&gt;_noeechmaxi1),IF(_difftotal1t,-L385,0),IF(G385&gt;=_noechremb1t,K385,IF('Données Projet 1 (2)'!B394-(L385*_echfixe1t)&gt;K385-2,K385,'Données Projet 1 (2)'!B394-(L385*_echfixe1t))))+B385</f>
        <v>568.69999999999993</v>
      </c>
      <c r="N385" s="154">
        <f t="shared" si="67"/>
        <v>15.6</v>
      </c>
      <c r="O385" s="157">
        <f t="shared" si="61"/>
        <v>622.52</v>
      </c>
      <c r="Q385" s="3"/>
      <c r="R385" s="164"/>
      <c r="S385" s="22"/>
      <c r="T385" s="21"/>
      <c r="U385" s="23"/>
      <c r="V385" s="10"/>
      <c r="W385" s="5" t="str">
        <f t="shared" si="68"/>
        <v/>
      </c>
      <c r="X385" s="7" t="str">
        <f t="shared" si="69"/>
        <v/>
      </c>
      <c r="Y385" s="8" t="str">
        <f t="shared" si="62"/>
        <v/>
      </c>
      <c r="Z385" s="31" t="str">
        <f>IF(AA385=0,"",IF(_ijour122=0,MIN(DATE(YEAR(_debamort122),MONTH(_debamort122)+(W385-1)*_imois122,__jou123),DATE(YEAR(_debamort122),MONTH(_debamort122)+1+(W385-1)*_imois122,0)),DATE(YEAR(_debamort122),MONTH(_debamort122),__jou123+(W385-1)*_ijour122)))</f>
        <v/>
      </c>
      <c r="AA385" s="156">
        <f t="shared" si="70"/>
        <v>0</v>
      </c>
      <c r="AB385" s="153">
        <f>IF(W385&lt;=_noechmaxi1t,ROUND(AA385*'Données Projet 1 (2)'!H394,_nbdeci1t1),0)</f>
        <v>0</v>
      </c>
      <c r="AC385" s="152">
        <f>IF(OR(W385&lt;=_differe1t1t,W385&gt;_noechmaxi1t),IF(_difftotal1t1t,-AB385,0),IF(W385&gt;=_noechremb12,AA385,IF('Données Projet 1 (2)'!I394-(AB385*_echfixe12)&gt;AA385-2,AA385,'Données Projet 1 (2)'!I394-(AB385*_echfixe12))))+R385</f>
        <v>0</v>
      </c>
      <c r="AD385" s="154">
        <f t="shared" si="71"/>
        <v>0</v>
      </c>
      <c r="AE385" s="157">
        <f t="shared" si="63"/>
        <v>0</v>
      </c>
    </row>
    <row r="386" spans="1:31" x14ac:dyDescent="0.2">
      <c r="A386" s="3"/>
      <c r="B386" s="164"/>
      <c r="C386" s="22"/>
      <c r="D386" s="21"/>
      <c r="E386" s="23"/>
      <c r="F386" s="10"/>
      <c r="G386" s="5">
        <f t="shared" si="64"/>
        <v>380</v>
      </c>
      <c r="H386" s="7">
        <f t="shared" si="65"/>
        <v>41</v>
      </c>
      <c r="I386" s="8">
        <f t="shared" si="60"/>
        <v>2040</v>
      </c>
      <c r="J386" s="31">
        <f>IF(K386=0,"",IF(_ijour12=0,MIN(DATE(YEAR(_debamort12),MONTH(_debamort12)+_MoisD+(G386-1)*_imois12,_jour212),DATE(YEAR(_debamort12),MONTH(_debamort12)+_MoisD+1+(G386-1)*_imois12,0)),DATE(YEAR(_debamort12),MONTH(_debamort12),_jour12+(G386-1)*_ijour12)))</f>
        <v>51349</v>
      </c>
      <c r="K386" s="156">
        <f t="shared" si="66"/>
        <v>24092.000000000058</v>
      </c>
      <c r="L386" s="153">
        <f>IF(G386&lt;=_noeechmaxi1,ROUND(K386*'Données Projet 1 (2)'!A395,_nbdeci1t),0)</f>
        <v>37.340000000000003</v>
      </c>
      <c r="M386" s="152">
        <f>IF(OR(G386&lt;=_differe1t,G386&gt;_noeechmaxi1),IF(_difftotal1t,-L386,0),IF(G386&gt;=_noechremb1t,K386,IF('Données Projet 1 (2)'!B395-(L386*_echfixe1t)&gt;K386-2,K386,'Données Projet 1 (2)'!B395-(L386*_echfixe1t))))+B386</f>
        <v>569.57999999999993</v>
      </c>
      <c r="N386" s="154">
        <f t="shared" si="67"/>
        <v>15.6</v>
      </c>
      <c r="O386" s="157">
        <f t="shared" si="61"/>
        <v>622.52</v>
      </c>
      <c r="Q386" s="3"/>
      <c r="R386" s="164"/>
      <c r="S386" s="22"/>
      <c r="T386" s="21"/>
      <c r="U386" s="23"/>
      <c r="V386" s="10"/>
      <c r="W386" s="5" t="str">
        <f t="shared" si="68"/>
        <v/>
      </c>
      <c r="X386" s="7" t="str">
        <f t="shared" si="69"/>
        <v/>
      </c>
      <c r="Y386" s="8" t="str">
        <f t="shared" si="62"/>
        <v/>
      </c>
      <c r="Z386" s="31" t="str">
        <f>IF(AA386=0,"",IF(_ijour122=0,MIN(DATE(YEAR(_debamort122),MONTH(_debamort122)+_moisd12+(W386-1)*_imois122,__jou21),DATE(YEAR(_debamort122),MONTH(_debamort122)+_moisd12+1+(W386-1)*_imois122,0)),DATE(YEAR(_debamort122),MONTH(_debamort122),__jou123+(W386-1)*_ijour122)))</f>
        <v/>
      </c>
      <c r="AA386" s="156">
        <f t="shared" si="70"/>
        <v>0</v>
      </c>
      <c r="AB386" s="153">
        <f>IF(W386&lt;=_noechmaxi1t,ROUND(AA386*'Données Projet 1 (2)'!H395,_nbdeci1t1),0)</f>
        <v>0</v>
      </c>
      <c r="AC386" s="152">
        <f>IF(OR(W386&lt;=_differe1t1t,W386&gt;_noechmaxi1t),IF(_difftotal1t1t,-AB386,0),IF(W386&gt;=_noechremb12,AA386,IF('Données Projet 1 (2)'!I395-(AB386*_echfixe12)&gt;AA386-2,AA386,'Données Projet 1 (2)'!I395-(AB386*_echfixe12))))+R386</f>
        <v>0</v>
      </c>
      <c r="AD386" s="154">
        <f t="shared" si="71"/>
        <v>0</v>
      </c>
      <c r="AE386" s="157">
        <f t="shared" si="63"/>
        <v>0</v>
      </c>
    </row>
    <row r="387" spans="1:31" x14ac:dyDescent="0.2">
      <c r="A387" s="3"/>
      <c r="B387" s="164"/>
      <c r="C387" s="22"/>
      <c r="D387" s="21"/>
      <c r="E387" s="23"/>
      <c r="F387" s="10"/>
      <c r="G387" s="5">
        <f t="shared" si="64"/>
        <v>381</v>
      </c>
      <c r="H387" s="7">
        <f t="shared" si="65"/>
        <v>40</v>
      </c>
      <c r="I387" s="8">
        <f t="shared" si="60"/>
        <v>2040</v>
      </c>
      <c r="J387" s="31">
        <f>IF(K387=0,"",IF(_ijour12=0,MIN(DATE(YEAR(_debamort12),MONTH(_debamort12)+(G387-1)*_imois12,_jour12),DATE(YEAR(_debamort12),MONTH(_debamort12)+1+(G387-1)*_imois12,0)),DATE(YEAR(_debamort12),MONTH(_debamort12),_jour12+(G387-1)*_ijour12)))</f>
        <v>51380</v>
      </c>
      <c r="K387" s="156">
        <f t="shared" si="66"/>
        <v>23522.420000000056</v>
      </c>
      <c r="L387" s="153">
        <f>IF(G387&lt;=_noeechmaxi1,ROUND(K387*'Données Projet 1 (2)'!A396,_nbdeci1t),0)</f>
        <v>36.46</v>
      </c>
      <c r="M387" s="152">
        <f>IF(OR(G387&lt;=_differe1t,G387&gt;_noeechmaxi1),IF(_difftotal1t,-L387,0),IF(G387&gt;=_noechremb1t,K387,IF('Données Projet 1 (2)'!B396-(L387*_echfixe1t)&gt;K387-2,K387,'Données Projet 1 (2)'!B396-(L387*_echfixe1t))))+B387</f>
        <v>570.45999999999992</v>
      </c>
      <c r="N387" s="154">
        <f t="shared" si="67"/>
        <v>15.6</v>
      </c>
      <c r="O387" s="157">
        <f t="shared" si="61"/>
        <v>622.52</v>
      </c>
      <c r="Q387" s="3"/>
      <c r="R387" s="164"/>
      <c r="S387" s="22"/>
      <c r="T387" s="21"/>
      <c r="U387" s="23"/>
      <c r="V387" s="10"/>
      <c r="W387" s="5" t="str">
        <f t="shared" si="68"/>
        <v/>
      </c>
      <c r="X387" s="7" t="str">
        <f t="shared" si="69"/>
        <v/>
      </c>
      <c r="Y387" s="8" t="str">
        <f t="shared" si="62"/>
        <v/>
      </c>
      <c r="Z387" s="31" t="str">
        <f>IF(AA387=0,"",IF(_ijour122=0,MIN(DATE(YEAR(_debamort122),MONTH(_debamort122)+(W387-1)*_imois122,__jou123),DATE(YEAR(_debamort122),MONTH(_debamort122)+1+(W387-1)*_imois122,0)),DATE(YEAR(_debamort122),MONTH(_debamort122),__jou123+(W387-1)*_ijour122)))</f>
        <v/>
      </c>
      <c r="AA387" s="156">
        <f t="shared" si="70"/>
        <v>0</v>
      </c>
      <c r="AB387" s="153">
        <f>IF(W387&lt;=_noechmaxi1t,ROUND(AA387*'Données Projet 1 (2)'!H396,_nbdeci1t1),0)</f>
        <v>0</v>
      </c>
      <c r="AC387" s="152">
        <f>IF(OR(W387&lt;=_differe1t1t,W387&gt;_noechmaxi1t),IF(_difftotal1t1t,-AB387,0),IF(W387&gt;=_noechremb12,AA387,IF('Données Projet 1 (2)'!I396-(AB387*_echfixe12)&gt;AA387-2,AA387,'Données Projet 1 (2)'!I396-(AB387*_echfixe12))))+R387</f>
        <v>0</v>
      </c>
      <c r="AD387" s="154">
        <f t="shared" si="71"/>
        <v>0</v>
      </c>
      <c r="AE387" s="157">
        <f t="shared" si="63"/>
        <v>0</v>
      </c>
    </row>
    <row r="388" spans="1:31" x14ac:dyDescent="0.2">
      <c r="A388" s="3"/>
      <c r="B388" s="164"/>
      <c r="C388" s="22"/>
      <c r="D388" s="21"/>
      <c r="E388" s="23"/>
      <c r="F388" s="10"/>
      <c r="G388" s="5">
        <f t="shared" si="64"/>
        <v>382</v>
      </c>
      <c r="H388" s="7">
        <f t="shared" si="65"/>
        <v>39</v>
      </c>
      <c r="I388" s="8">
        <f t="shared" si="60"/>
        <v>2040</v>
      </c>
      <c r="J388" s="31">
        <f>IF(K388=0,"",IF(_ijour12=0,MIN(DATE(YEAR(_debamort12),MONTH(_debamort12)+_MoisD+(G388-1)*_imois12,_jour212),DATE(YEAR(_debamort12),MONTH(_debamort12)+_MoisD+1+(G388-1)*_imois12,0)),DATE(YEAR(_debamort12),MONTH(_debamort12),_jour12+(G388-1)*_ijour12)))</f>
        <v>51410</v>
      </c>
      <c r="K388" s="156">
        <f t="shared" si="66"/>
        <v>22951.960000000057</v>
      </c>
      <c r="L388" s="153">
        <f>IF(G388&lt;=_noeechmaxi1,ROUND(K388*'Données Projet 1 (2)'!A397,_nbdeci1t),0)</f>
        <v>35.58</v>
      </c>
      <c r="M388" s="152">
        <f>IF(OR(G388&lt;=_differe1t,G388&gt;_noeechmaxi1),IF(_difftotal1t,-L388,0),IF(G388&gt;=_noechremb1t,K388,IF('Données Projet 1 (2)'!B397-(L388*_echfixe1t)&gt;K388-2,K388,'Données Projet 1 (2)'!B397-(L388*_echfixe1t))))+B388</f>
        <v>571.33999999999992</v>
      </c>
      <c r="N388" s="154">
        <f t="shared" si="67"/>
        <v>15.6</v>
      </c>
      <c r="O388" s="157">
        <f t="shared" si="61"/>
        <v>622.52</v>
      </c>
      <c r="Q388" s="3"/>
      <c r="R388" s="164"/>
      <c r="S388" s="22"/>
      <c r="T388" s="21"/>
      <c r="U388" s="23"/>
      <c r="V388" s="10"/>
      <c r="W388" s="5" t="str">
        <f t="shared" si="68"/>
        <v/>
      </c>
      <c r="X388" s="7" t="str">
        <f t="shared" si="69"/>
        <v/>
      </c>
      <c r="Y388" s="8" t="str">
        <f t="shared" si="62"/>
        <v/>
      </c>
      <c r="Z388" s="31" t="str">
        <f>IF(AA388=0,"",IF(_ijour122=0,MIN(DATE(YEAR(_debamort122),MONTH(_debamort122)+_moisd12+(W388-1)*_imois122,__jou21),DATE(YEAR(_debamort122),MONTH(_debamort122)+_moisd12+1+(W388-1)*_imois122,0)),DATE(YEAR(_debamort122),MONTH(_debamort122),__jou123+(W388-1)*_ijour122)))</f>
        <v/>
      </c>
      <c r="AA388" s="156">
        <f t="shared" si="70"/>
        <v>0</v>
      </c>
      <c r="AB388" s="153">
        <f>IF(W388&lt;=_noechmaxi1t,ROUND(AA388*'Données Projet 1 (2)'!H397,_nbdeci1t1),0)</f>
        <v>0</v>
      </c>
      <c r="AC388" s="152">
        <f>IF(OR(W388&lt;=_differe1t1t,W388&gt;_noechmaxi1t),IF(_difftotal1t1t,-AB388,0),IF(W388&gt;=_noechremb12,AA388,IF('Données Projet 1 (2)'!I397-(AB388*_echfixe12)&gt;AA388-2,AA388,'Données Projet 1 (2)'!I397-(AB388*_echfixe12))))+R388</f>
        <v>0</v>
      </c>
      <c r="AD388" s="154">
        <f t="shared" si="71"/>
        <v>0</v>
      </c>
      <c r="AE388" s="157">
        <f t="shared" si="63"/>
        <v>0</v>
      </c>
    </row>
    <row r="389" spans="1:31" x14ac:dyDescent="0.2">
      <c r="A389" s="3"/>
      <c r="B389" s="164"/>
      <c r="C389" s="22"/>
      <c r="D389" s="21"/>
      <c r="E389" s="23"/>
      <c r="F389" s="10"/>
      <c r="G389" s="5">
        <f t="shared" si="64"/>
        <v>383</v>
      </c>
      <c r="H389" s="7">
        <f t="shared" si="65"/>
        <v>38</v>
      </c>
      <c r="I389" s="8">
        <f t="shared" si="60"/>
        <v>2040</v>
      </c>
      <c r="J389" s="31">
        <f>IF(K389=0,"",IF(_ijour12=0,MIN(DATE(YEAR(_debamort12),MONTH(_debamort12)+(G389-1)*_imois12,_jour12),DATE(YEAR(_debamort12),MONTH(_debamort12)+1+(G389-1)*_imois12,0)),DATE(YEAR(_debamort12),MONTH(_debamort12),_jour12+(G389-1)*_ijour12)))</f>
        <v>51441</v>
      </c>
      <c r="K389" s="156">
        <f t="shared" si="66"/>
        <v>22380.620000000057</v>
      </c>
      <c r="L389" s="153">
        <f>IF(G389&lt;=_noeechmaxi1,ROUND(K389*'Données Projet 1 (2)'!A398,_nbdeci1t),0)</f>
        <v>34.69</v>
      </c>
      <c r="M389" s="152">
        <f>IF(OR(G389&lt;=_differe1t,G389&gt;_noeechmaxi1),IF(_difftotal1t,-L389,0),IF(G389&gt;=_noechremb1t,K389,IF('Données Projet 1 (2)'!B398-(L389*_echfixe1t)&gt;K389-2,K389,'Données Projet 1 (2)'!B398-(L389*_echfixe1t))))+B389</f>
        <v>572.23</v>
      </c>
      <c r="N389" s="154">
        <f t="shared" si="67"/>
        <v>15.6</v>
      </c>
      <c r="O389" s="157">
        <f t="shared" si="61"/>
        <v>622.5200000000001</v>
      </c>
      <c r="Q389" s="3"/>
      <c r="R389" s="164"/>
      <c r="S389" s="22"/>
      <c r="T389" s="21"/>
      <c r="U389" s="23"/>
      <c r="V389" s="10"/>
      <c r="W389" s="5" t="str">
        <f t="shared" si="68"/>
        <v/>
      </c>
      <c r="X389" s="7" t="str">
        <f t="shared" si="69"/>
        <v/>
      </c>
      <c r="Y389" s="8" t="str">
        <f t="shared" si="62"/>
        <v/>
      </c>
      <c r="Z389" s="31" t="str">
        <f>IF(AA389=0,"",IF(_ijour122=0,MIN(DATE(YEAR(_debamort122),MONTH(_debamort122)+(W389-1)*_imois122,__jou123),DATE(YEAR(_debamort122),MONTH(_debamort122)+1+(W389-1)*_imois122,0)),DATE(YEAR(_debamort122),MONTH(_debamort122),__jou123+(W389-1)*_ijour122)))</f>
        <v/>
      </c>
      <c r="AA389" s="156">
        <f t="shared" si="70"/>
        <v>0</v>
      </c>
      <c r="AB389" s="153">
        <f>IF(W389&lt;=_noechmaxi1t,ROUND(AA389*'Données Projet 1 (2)'!H398,_nbdeci1t1),0)</f>
        <v>0</v>
      </c>
      <c r="AC389" s="152">
        <f>IF(OR(W389&lt;=_differe1t1t,W389&gt;_noechmaxi1t),IF(_difftotal1t1t,-AB389,0),IF(W389&gt;=_noechremb12,AA389,IF('Données Projet 1 (2)'!I398-(AB389*_echfixe12)&gt;AA389-2,AA389,'Données Projet 1 (2)'!I398-(AB389*_echfixe12))))+R389</f>
        <v>0</v>
      </c>
      <c r="AD389" s="154">
        <f t="shared" si="71"/>
        <v>0</v>
      </c>
      <c r="AE389" s="157">
        <f t="shared" si="63"/>
        <v>0</v>
      </c>
    </row>
    <row r="390" spans="1:31" x14ac:dyDescent="0.2">
      <c r="A390" s="3"/>
      <c r="B390" s="164"/>
      <c r="C390" s="22"/>
      <c r="D390" s="21"/>
      <c r="E390" s="23"/>
      <c r="F390" s="10"/>
      <c r="G390" s="5">
        <f t="shared" si="64"/>
        <v>384</v>
      </c>
      <c r="H390" s="7">
        <f t="shared" si="65"/>
        <v>37</v>
      </c>
      <c r="I390" s="8">
        <f t="shared" ref="I390:I439" si="72">IF(ISNUMBER(J390),YEAR(J390),"")</f>
        <v>2040</v>
      </c>
      <c r="J390" s="31">
        <f>IF(K390=0,"",IF(_ijour12=0,MIN(DATE(YEAR(_debamort12),MONTH(_debamort12)+_MoisD+(G390-1)*_imois12,_jour212),DATE(YEAR(_debamort12),MONTH(_debamort12)+_MoisD+1+(G390-1)*_imois12,0)),DATE(YEAR(_debamort12),MONTH(_debamort12),_jour12+(G390-1)*_ijour12)))</f>
        <v>51471</v>
      </c>
      <c r="K390" s="156">
        <f t="shared" si="66"/>
        <v>21808.390000000058</v>
      </c>
      <c r="L390" s="153">
        <f>IF(G390&lt;=_noeechmaxi1,ROUND(K390*'Données Projet 1 (2)'!A399,_nbdeci1t),0)</f>
        <v>33.799999999999997</v>
      </c>
      <c r="M390" s="152">
        <f>IF(OR(G390&lt;=_differe1t,G390&gt;_noeechmaxi1),IF(_difftotal1t,-L390,0),IF(G390&gt;=_noechremb1t,K390,IF('Données Projet 1 (2)'!B399-(L390*_echfixe1t)&gt;K390-2,K390,'Données Projet 1 (2)'!B399-(L390*_echfixe1t))))+B390</f>
        <v>573.12</v>
      </c>
      <c r="N390" s="154">
        <f t="shared" si="67"/>
        <v>15.6</v>
      </c>
      <c r="O390" s="157">
        <f t="shared" ref="O390:O439" si="73">SUM(L390:N390)</f>
        <v>622.52</v>
      </c>
      <c r="Q390" s="3"/>
      <c r="R390" s="164"/>
      <c r="S390" s="22"/>
      <c r="T390" s="21"/>
      <c r="U390" s="23"/>
      <c r="V390" s="10"/>
      <c r="W390" s="5" t="str">
        <f t="shared" si="68"/>
        <v/>
      </c>
      <c r="X390" s="7" t="str">
        <f t="shared" si="69"/>
        <v/>
      </c>
      <c r="Y390" s="8" t="str">
        <f t="shared" ref="Y390:Y439" si="74">IF(ISNUMBER(Z390),YEAR(Z390),"")</f>
        <v/>
      </c>
      <c r="Z390" s="31" t="str">
        <f>IF(AA390=0,"",IF(_ijour122=0,MIN(DATE(YEAR(_debamort122),MONTH(_debamort122)+_moisd12+(W390-1)*_imois122,__jou21),DATE(YEAR(_debamort122),MONTH(_debamort122)+_moisd12+1+(W390-1)*_imois122,0)),DATE(YEAR(_debamort122),MONTH(_debamort122),__jou123+(W390-1)*_ijour122)))</f>
        <v/>
      </c>
      <c r="AA390" s="156">
        <f t="shared" si="70"/>
        <v>0</v>
      </c>
      <c r="AB390" s="153">
        <f>IF(W390&lt;=_noechmaxi1t,ROUND(AA390*'Données Projet 1 (2)'!H399,_nbdeci1t1),0)</f>
        <v>0</v>
      </c>
      <c r="AC390" s="152">
        <f>IF(OR(W390&lt;=_differe1t1t,W390&gt;_noechmaxi1t),IF(_difftotal1t1t,-AB390,0),IF(W390&gt;=_noechremb12,AA390,IF('Données Projet 1 (2)'!I399-(AB390*_echfixe12)&gt;AA390-2,AA390,'Données Projet 1 (2)'!I399-(AB390*_echfixe12))))+R390</f>
        <v>0</v>
      </c>
      <c r="AD390" s="154">
        <f t="shared" si="71"/>
        <v>0</v>
      </c>
      <c r="AE390" s="157">
        <f t="shared" ref="AE390:AE439" si="75">SUM(AB390:AD390)</f>
        <v>0</v>
      </c>
    </row>
    <row r="391" spans="1:31" x14ac:dyDescent="0.2">
      <c r="A391" s="3"/>
      <c r="B391" s="164"/>
      <c r="C391" s="22"/>
      <c r="D391" s="21"/>
      <c r="E391" s="23"/>
      <c r="F391" s="10"/>
      <c r="G391" s="5">
        <f t="shared" ref="G391:G439" si="76">IF(K391=0,"",G390+1)</f>
        <v>385</v>
      </c>
      <c r="H391" s="7">
        <f t="shared" ref="H391:H439" si="77">IF(K391&gt;0,_nbech123+_differe1t+1-G391,"")</f>
        <v>36</v>
      </c>
      <c r="I391" s="8">
        <f t="shared" si="72"/>
        <v>2041</v>
      </c>
      <c r="J391" s="31">
        <f>IF(K391=0,"",IF(_ijour12=0,MIN(DATE(YEAR(_debamort12),MONTH(_debamort12)+(G391-1)*_imois12,_jour12),DATE(YEAR(_debamort12),MONTH(_debamort12)+1+(G391-1)*_imois12,0)),DATE(YEAR(_debamort12),MONTH(_debamort12),_jour12+(G391-1)*_ijour12)))</f>
        <v>51502</v>
      </c>
      <c r="K391" s="156">
        <f t="shared" ref="K391:K439" si="78">K390-M390</f>
        <v>21235.270000000059</v>
      </c>
      <c r="L391" s="153">
        <f>IF(G391&lt;=_noeechmaxi1,ROUND(K391*'Données Projet 1 (2)'!A400,_nbdeci1t),0)</f>
        <v>32.909999999999997</v>
      </c>
      <c r="M391" s="152">
        <f>IF(OR(G391&lt;=_differe1t,G391&gt;_noeechmaxi1),IF(_difftotal1t,-L391,0),IF(G391&gt;=_noechremb1t,K391,IF('Données Projet 1 (2)'!B400-(L391*_echfixe1t)&gt;K391-2,K391,'Données Projet 1 (2)'!B400-(L391*_echfixe1t))))+B391</f>
        <v>574.01</v>
      </c>
      <c r="N391" s="154">
        <f t="shared" ref="N391:N439" si="79">IF(OR(K391=0,G391&gt;_noeechmaxi1),0,ROUND(_fraisf12+_fraisv12*K391,_nbdeci1t))+E391</f>
        <v>15.6</v>
      </c>
      <c r="O391" s="157">
        <f t="shared" si="73"/>
        <v>622.52</v>
      </c>
      <c r="Q391" s="3"/>
      <c r="R391" s="164"/>
      <c r="S391" s="22"/>
      <c r="T391" s="21"/>
      <c r="U391" s="23"/>
      <c r="V391" s="10"/>
      <c r="W391" s="5" t="str">
        <f t="shared" ref="W391:W439" si="80">IF(AA391=0,"",W390+1)</f>
        <v/>
      </c>
      <c r="X391" s="7" t="str">
        <f t="shared" ref="X391:X439" si="81">IF(AA391&gt;0,_nbech1234+_differe1t1t+1-W391,"")</f>
        <v/>
      </c>
      <c r="Y391" s="8" t="str">
        <f t="shared" si="74"/>
        <v/>
      </c>
      <c r="Z391" s="31" t="str">
        <f>IF(AA391=0,"",IF(_ijour122=0,MIN(DATE(YEAR(_debamort122),MONTH(_debamort122)+(W391-1)*_imois122,__jou123),DATE(YEAR(_debamort122),MONTH(_debamort122)+1+(W391-1)*_imois122,0)),DATE(YEAR(_debamort122),MONTH(_debamort122),__jou123+(W391-1)*_ijour122)))</f>
        <v/>
      </c>
      <c r="AA391" s="156">
        <f t="shared" ref="AA391:AA439" si="82">AA390-AC390</f>
        <v>0</v>
      </c>
      <c r="AB391" s="153">
        <f>IF(W391&lt;=_noechmaxi1t,ROUND(AA391*'Données Projet 1 (2)'!H400,_nbdeci1t1),0)</f>
        <v>0</v>
      </c>
      <c r="AC391" s="152">
        <f>IF(OR(W391&lt;=_differe1t1t,W391&gt;_noechmaxi1t),IF(_difftotal1t1t,-AB391,0),IF(W391&gt;=_noechremb12,AA391,IF('Données Projet 1 (2)'!I400-(AB391*_echfixe12)&gt;AA391-2,AA391,'Données Projet 1 (2)'!I400-(AB391*_echfixe12))))+R391</f>
        <v>0</v>
      </c>
      <c r="AD391" s="154">
        <f t="shared" ref="AD391:AD439" si="83">IF(OR(AA391=0,W391&gt;_noechmaxi1t),0,ROUND(_fraisf123+_fraisv123*AA391,_nbdeci1t1))+U391</f>
        <v>0</v>
      </c>
      <c r="AE391" s="157">
        <f t="shared" si="75"/>
        <v>0</v>
      </c>
    </row>
    <row r="392" spans="1:31" x14ac:dyDescent="0.2">
      <c r="A392" s="3"/>
      <c r="B392" s="164"/>
      <c r="C392" s="22"/>
      <c r="D392" s="21"/>
      <c r="E392" s="23"/>
      <c r="F392" s="10"/>
      <c r="G392" s="5">
        <f t="shared" si="76"/>
        <v>386</v>
      </c>
      <c r="H392" s="7">
        <f t="shared" si="77"/>
        <v>35</v>
      </c>
      <c r="I392" s="8">
        <f t="shared" si="72"/>
        <v>2041</v>
      </c>
      <c r="J392" s="31">
        <f>IF(K392=0,"",IF(_ijour12=0,MIN(DATE(YEAR(_debamort12),MONTH(_debamort12)+_MoisD+(G392-1)*_imois12,_jour212),DATE(YEAR(_debamort12),MONTH(_debamort12)+_MoisD+1+(G392-1)*_imois12,0)),DATE(YEAR(_debamort12),MONTH(_debamort12),_jour12+(G392-1)*_ijour12)))</f>
        <v>51533</v>
      </c>
      <c r="K392" s="156">
        <f t="shared" si="78"/>
        <v>20661.26000000006</v>
      </c>
      <c r="L392" s="153">
        <f>IF(G392&lt;=_noeechmaxi1,ROUND(K392*'Données Projet 1 (2)'!A401,_nbdeci1t),0)</f>
        <v>32.020000000000003</v>
      </c>
      <c r="M392" s="152">
        <f>IF(OR(G392&lt;=_differe1t,G392&gt;_noeechmaxi1),IF(_difftotal1t,-L392,0),IF(G392&gt;=_noechremb1t,K392,IF('Données Projet 1 (2)'!B401-(L392*_echfixe1t)&gt;K392-2,K392,'Données Projet 1 (2)'!B401-(L392*_echfixe1t))))+B392</f>
        <v>574.9</v>
      </c>
      <c r="N392" s="154">
        <f t="shared" si="79"/>
        <v>15.6</v>
      </c>
      <c r="O392" s="157">
        <f t="shared" si="73"/>
        <v>622.52</v>
      </c>
      <c r="Q392" s="3"/>
      <c r="R392" s="164"/>
      <c r="S392" s="22"/>
      <c r="T392" s="21"/>
      <c r="U392" s="23"/>
      <c r="V392" s="10"/>
      <c r="W392" s="5" t="str">
        <f t="shared" si="80"/>
        <v/>
      </c>
      <c r="X392" s="7" t="str">
        <f t="shared" si="81"/>
        <v/>
      </c>
      <c r="Y392" s="8" t="str">
        <f t="shared" si="74"/>
        <v/>
      </c>
      <c r="Z392" s="31" t="str">
        <f>IF(AA392=0,"",IF(_ijour122=0,MIN(DATE(YEAR(_debamort122),MONTH(_debamort122)+_moisd12+(W392-1)*_imois122,__jou21),DATE(YEAR(_debamort122),MONTH(_debamort122)+_moisd12+1+(W392-1)*_imois122,0)),DATE(YEAR(_debamort122),MONTH(_debamort122),__jou123+(W392-1)*_ijour122)))</f>
        <v/>
      </c>
      <c r="AA392" s="156">
        <f t="shared" si="82"/>
        <v>0</v>
      </c>
      <c r="AB392" s="153">
        <f>IF(W392&lt;=_noechmaxi1t,ROUND(AA392*'Données Projet 1 (2)'!H401,_nbdeci1t1),0)</f>
        <v>0</v>
      </c>
      <c r="AC392" s="152">
        <f>IF(OR(W392&lt;=_differe1t1t,W392&gt;_noechmaxi1t),IF(_difftotal1t1t,-AB392,0),IF(W392&gt;=_noechremb12,AA392,IF('Données Projet 1 (2)'!I401-(AB392*_echfixe12)&gt;AA392-2,AA392,'Données Projet 1 (2)'!I401-(AB392*_echfixe12))))+R392</f>
        <v>0</v>
      </c>
      <c r="AD392" s="154">
        <f t="shared" si="83"/>
        <v>0</v>
      </c>
      <c r="AE392" s="157">
        <f t="shared" si="75"/>
        <v>0</v>
      </c>
    </row>
    <row r="393" spans="1:31" x14ac:dyDescent="0.2">
      <c r="A393" s="3"/>
      <c r="B393" s="164"/>
      <c r="C393" s="22"/>
      <c r="D393" s="21"/>
      <c r="E393" s="23"/>
      <c r="F393" s="10"/>
      <c r="G393" s="5">
        <f t="shared" si="76"/>
        <v>387</v>
      </c>
      <c r="H393" s="7">
        <f t="shared" si="77"/>
        <v>34</v>
      </c>
      <c r="I393" s="8">
        <f t="shared" si="72"/>
        <v>2041</v>
      </c>
      <c r="J393" s="31">
        <f>IF(K393=0,"",IF(_ijour12=0,MIN(DATE(YEAR(_debamort12),MONTH(_debamort12)+(G393-1)*_imois12,_jour12),DATE(YEAR(_debamort12),MONTH(_debamort12)+1+(G393-1)*_imois12,0)),DATE(YEAR(_debamort12),MONTH(_debamort12),_jour12+(G393-1)*_ijour12)))</f>
        <v>51561</v>
      </c>
      <c r="K393" s="156">
        <f t="shared" si="78"/>
        <v>20086.360000000059</v>
      </c>
      <c r="L393" s="153">
        <f>IF(G393&lt;=_noeechmaxi1,ROUND(K393*'Données Projet 1 (2)'!A402,_nbdeci1t),0)</f>
        <v>31.13</v>
      </c>
      <c r="M393" s="152">
        <f>IF(OR(G393&lt;=_differe1t,G393&gt;_noeechmaxi1),IF(_difftotal1t,-L393,0),IF(G393&gt;=_noechremb1t,K393,IF('Données Projet 1 (2)'!B402-(L393*_echfixe1t)&gt;K393-2,K393,'Données Projet 1 (2)'!B402-(L393*_echfixe1t))))+B393</f>
        <v>575.79</v>
      </c>
      <c r="N393" s="154">
        <f t="shared" si="79"/>
        <v>15.6</v>
      </c>
      <c r="O393" s="157">
        <f t="shared" si="73"/>
        <v>622.52</v>
      </c>
      <c r="Q393" s="3"/>
      <c r="R393" s="164"/>
      <c r="S393" s="22"/>
      <c r="T393" s="21"/>
      <c r="U393" s="23"/>
      <c r="V393" s="10"/>
      <c r="W393" s="5" t="str">
        <f t="shared" si="80"/>
        <v/>
      </c>
      <c r="X393" s="7" t="str">
        <f t="shared" si="81"/>
        <v/>
      </c>
      <c r="Y393" s="8" t="str">
        <f t="shared" si="74"/>
        <v/>
      </c>
      <c r="Z393" s="31" t="str">
        <f>IF(AA393=0,"",IF(_ijour122=0,MIN(DATE(YEAR(_debamort122),MONTH(_debamort122)+(W393-1)*_imois122,__jou123),DATE(YEAR(_debamort122),MONTH(_debamort122)+1+(W393-1)*_imois122,0)),DATE(YEAR(_debamort122),MONTH(_debamort122),__jou123+(W393-1)*_ijour122)))</f>
        <v/>
      </c>
      <c r="AA393" s="156">
        <f t="shared" si="82"/>
        <v>0</v>
      </c>
      <c r="AB393" s="153">
        <f>IF(W393&lt;=_noechmaxi1t,ROUND(AA393*'Données Projet 1 (2)'!H402,_nbdeci1t1),0)</f>
        <v>0</v>
      </c>
      <c r="AC393" s="152">
        <f>IF(OR(W393&lt;=_differe1t1t,W393&gt;_noechmaxi1t),IF(_difftotal1t1t,-AB393,0),IF(W393&gt;=_noechremb12,AA393,IF('Données Projet 1 (2)'!I402-(AB393*_echfixe12)&gt;AA393-2,AA393,'Données Projet 1 (2)'!I402-(AB393*_echfixe12))))+R393</f>
        <v>0</v>
      </c>
      <c r="AD393" s="154">
        <f t="shared" si="83"/>
        <v>0</v>
      </c>
      <c r="AE393" s="157">
        <f t="shared" si="75"/>
        <v>0</v>
      </c>
    </row>
    <row r="394" spans="1:31" x14ac:dyDescent="0.2">
      <c r="A394" s="3"/>
      <c r="B394" s="164"/>
      <c r="C394" s="22"/>
      <c r="D394" s="21"/>
      <c r="E394" s="23"/>
      <c r="F394" s="10"/>
      <c r="G394" s="5">
        <f t="shared" si="76"/>
        <v>388</v>
      </c>
      <c r="H394" s="7">
        <f t="shared" si="77"/>
        <v>33</v>
      </c>
      <c r="I394" s="8">
        <f t="shared" si="72"/>
        <v>2041</v>
      </c>
      <c r="J394" s="31">
        <f>IF(K394=0,"",IF(_ijour12=0,MIN(DATE(YEAR(_debamort12),MONTH(_debamort12)+_MoisD+(G394-1)*_imois12,_jour212),DATE(YEAR(_debamort12),MONTH(_debamort12)+_MoisD+1+(G394-1)*_imois12,0)),DATE(YEAR(_debamort12),MONTH(_debamort12),_jour12+(G394-1)*_ijour12)))</f>
        <v>51592</v>
      </c>
      <c r="K394" s="156">
        <f t="shared" si="78"/>
        <v>19510.570000000058</v>
      </c>
      <c r="L394" s="153">
        <f>IF(G394&lt;=_noeechmaxi1,ROUND(K394*'Données Projet 1 (2)'!A403,_nbdeci1t),0)</f>
        <v>30.24</v>
      </c>
      <c r="M394" s="152">
        <f>IF(OR(G394&lt;=_differe1t,G394&gt;_noeechmaxi1),IF(_difftotal1t,-L394,0),IF(G394&gt;=_noechremb1t,K394,IF('Données Projet 1 (2)'!B403-(L394*_echfixe1t)&gt;K394-2,K394,'Données Projet 1 (2)'!B403-(L394*_echfixe1t))))+B394</f>
        <v>576.67999999999995</v>
      </c>
      <c r="N394" s="154">
        <f t="shared" si="79"/>
        <v>15.6</v>
      </c>
      <c r="O394" s="157">
        <f t="shared" si="73"/>
        <v>622.52</v>
      </c>
      <c r="Q394" s="3"/>
      <c r="R394" s="164"/>
      <c r="S394" s="22"/>
      <c r="T394" s="21"/>
      <c r="U394" s="23"/>
      <c r="V394" s="10"/>
      <c r="W394" s="5" t="str">
        <f t="shared" si="80"/>
        <v/>
      </c>
      <c r="X394" s="7" t="str">
        <f t="shared" si="81"/>
        <v/>
      </c>
      <c r="Y394" s="8" t="str">
        <f t="shared" si="74"/>
        <v/>
      </c>
      <c r="Z394" s="31" t="str">
        <f>IF(AA394=0,"",IF(_ijour122=0,MIN(DATE(YEAR(_debamort122),MONTH(_debamort122)+_moisd12+(W394-1)*_imois122,__jou21),DATE(YEAR(_debamort122),MONTH(_debamort122)+_moisd12+1+(W394-1)*_imois122,0)),DATE(YEAR(_debamort122),MONTH(_debamort122),__jou123+(W394-1)*_ijour122)))</f>
        <v/>
      </c>
      <c r="AA394" s="156">
        <f t="shared" si="82"/>
        <v>0</v>
      </c>
      <c r="AB394" s="153">
        <f>IF(W394&lt;=_noechmaxi1t,ROUND(AA394*'Données Projet 1 (2)'!H403,_nbdeci1t1),0)</f>
        <v>0</v>
      </c>
      <c r="AC394" s="152">
        <f>IF(OR(W394&lt;=_differe1t1t,W394&gt;_noechmaxi1t),IF(_difftotal1t1t,-AB394,0),IF(W394&gt;=_noechremb12,AA394,IF('Données Projet 1 (2)'!I403-(AB394*_echfixe12)&gt;AA394-2,AA394,'Données Projet 1 (2)'!I403-(AB394*_echfixe12))))+R394</f>
        <v>0</v>
      </c>
      <c r="AD394" s="154">
        <f t="shared" si="83"/>
        <v>0</v>
      </c>
      <c r="AE394" s="157">
        <f t="shared" si="75"/>
        <v>0</v>
      </c>
    </row>
    <row r="395" spans="1:31" x14ac:dyDescent="0.2">
      <c r="A395" s="3"/>
      <c r="B395" s="164"/>
      <c r="C395" s="22"/>
      <c r="D395" s="21"/>
      <c r="E395" s="23"/>
      <c r="F395" s="10"/>
      <c r="G395" s="5">
        <f t="shared" si="76"/>
        <v>389</v>
      </c>
      <c r="H395" s="7">
        <f t="shared" si="77"/>
        <v>32</v>
      </c>
      <c r="I395" s="8">
        <f t="shared" si="72"/>
        <v>2041</v>
      </c>
      <c r="J395" s="31">
        <f>IF(K395=0,"",IF(_ijour12=0,MIN(DATE(YEAR(_debamort12),MONTH(_debamort12)+(G395-1)*_imois12,_jour12),DATE(YEAR(_debamort12),MONTH(_debamort12)+1+(G395-1)*_imois12,0)),DATE(YEAR(_debamort12),MONTH(_debamort12),_jour12+(G395-1)*_ijour12)))</f>
        <v>51622</v>
      </c>
      <c r="K395" s="156">
        <f t="shared" si="78"/>
        <v>18933.890000000058</v>
      </c>
      <c r="L395" s="153">
        <f>IF(G395&lt;=_noeechmaxi1,ROUND(K395*'Données Projet 1 (2)'!A404,_nbdeci1t),0)</f>
        <v>29.35</v>
      </c>
      <c r="M395" s="152">
        <f>IF(OR(G395&lt;=_differe1t,G395&gt;_noeechmaxi1),IF(_difftotal1t,-L395,0),IF(G395&gt;=_noechremb1t,K395,IF('Données Projet 1 (2)'!B404-(L395*_echfixe1t)&gt;K395-2,K395,'Données Projet 1 (2)'!B404-(L395*_echfixe1t))))+B395</f>
        <v>577.56999999999994</v>
      </c>
      <c r="N395" s="154">
        <f t="shared" si="79"/>
        <v>15.6</v>
      </c>
      <c r="O395" s="157">
        <f t="shared" si="73"/>
        <v>622.52</v>
      </c>
      <c r="Q395" s="3"/>
      <c r="R395" s="164"/>
      <c r="S395" s="22"/>
      <c r="T395" s="21"/>
      <c r="U395" s="23"/>
      <c r="V395" s="10"/>
      <c r="W395" s="5" t="str">
        <f t="shared" si="80"/>
        <v/>
      </c>
      <c r="X395" s="7" t="str">
        <f t="shared" si="81"/>
        <v/>
      </c>
      <c r="Y395" s="8" t="str">
        <f t="shared" si="74"/>
        <v/>
      </c>
      <c r="Z395" s="31" t="str">
        <f>IF(AA395=0,"",IF(_ijour122=0,MIN(DATE(YEAR(_debamort122),MONTH(_debamort122)+(W395-1)*_imois122,__jou123),DATE(YEAR(_debamort122),MONTH(_debamort122)+1+(W395-1)*_imois122,0)),DATE(YEAR(_debamort122),MONTH(_debamort122),__jou123+(W395-1)*_ijour122)))</f>
        <v/>
      </c>
      <c r="AA395" s="156">
        <f t="shared" si="82"/>
        <v>0</v>
      </c>
      <c r="AB395" s="153">
        <f>IF(W395&lt;=_noechmaxi1t,ROUND(AA395*'Données Projet 1 (2)'!H404,_nbdeci1t1),0)</f>
        <v>0</v>
      </c>
      <c r="AC395" s="152">
        <f>IF(OR(W395&lt;=_differe1t1t,W395&gt;_noechmaxi1t),IF(_difftotal1t1t,-AB395,0),IF(W395&gt;=_noechremb12,AA395,IF('Données Projet 1 (2)'!I404-(AB395*_echfixe12)&gt;AA395-2,AA395,'Données Projet 1 (2)'!I404-(AB395*_echfixe12))))+R395</f>
        <v>0</v>
      </c>
      <c r="AD395" s="154">
        <f t="shared" si="83"/>
        <v>0</v>
      </c>
      <c r="AE395" s="157">
        <f t="shared" si="75"/>
        <v>0</v>
      </c>
    </row>
    <row r="396" spans="1:31" x14ac:dyDescent="0.2">
      <c r="A396" s="3"/>
      <c r="B396" s="164"/>
      <c r="C396" s="22"/>
      <c r="D396" s="21"/>
      <c r="E396" s="23"/>
      <c r="F396" s="10"/>
      <c r="G396" s="5">
        <f t="shared" si="76"/>
        <v>390</v>
      </c>
      <c r="H396" s="7">
        <f t="shared" si="77"/>
        <v>31</v>
      </c>
      <c r="I396" s="8">
        <f t="shared" si="72"/>
        <v>2041</v>
      </c>
      <c r="J396" s="31">
        <f>IF(K396=0,"",IF(_ijour12=0,MIN(DATE(YEAR(_debamort12),MONTH(_debamort12)+_MoisD+(G396-1)*_imois12,_jour212),DATE(YEAR(_debamort12),MONTH(_debamort12)+_MoisD+1+(G396-1)*_imois12,0)),DATE(YEAR(_debamort12),MONTH(_debamort12),_jour12+(G396-1)*_ijour12)))</f>
        <v>51653</v>
      </c>
      <c r="K396" s="156">
        <f t="shared" si="78"/>
        <v>18356.320000000058</v>
      </c>
      <c r="L396" s="153">
        <f>IF(G396&lt;=_noeechmaxi1,ROUND(K396*'Données Projet 1 (2)'!A405,_nbdeci1t),0)</f>
        <v>28.45</v>
      </c>
      <c r="M396" s="152">
        <f>IF(OR(G396&lt;=_differe1t,G396&gt;_noeechmaxi1),IF(_difftotal1t,-L396,0),IF(G396&gt;=_noechremb1t,K396,IF('Données Projet 1 (2)'!B405-(L396*_echfixe1t)&gt;K396-2,K396,'Données Projet 1 (2)'!B405-(L396*_echfixe1t))))+B396</f>
        <v>578.46999999999991</v>
      </c>
      <c r="N396" s="154">
        <f t="shared" si="79"/>
        <v>15.6</v>
      </c>
      <c r="O396" s="157">
        <f t="shared" si="73"/>
        <v>622.52</v>
      </c>
      <c r="Q396" s="3"/>
      <c r="R396" s="164"/>
      <c r="S396" s="22"/>
      <c r="T396" s="21"/>
      <c r="U396" s="23"/>
      <c r="V396" s="10"/>
      <c r="W396" s="5" t="str">
        <f t="shared" si="80"/>
        <v/>
      </c>
      <c r="X396" s="7" t="str">
        <f t="shared" si="81"/>
        <v/>
      </c>
      <c r="Y396" s="8" t="str">
        <f t="shared" si="74"/>
        <v/>
      </c>
      <c r="Z396" s="31" t="str">
        <f>IF(AA396=0,"",IF(_ijour122=0,MIN(DATE(YEAR(_debamort122),MONTH(_debamort122)+_moisd12+(W396-1)*_imois122,__jou21),DATE(YEAR(_debamort122),MONTH(_debamort122)+_moisd12+1+(W396-1)*_imois122,0)),DATE(YEAR(_debamort122),MONTH(_debamort122),__jou123+(W396-1)*_ijour122)))</f>
        <v/>
      </c>
      <c r="AA396" s="156">
        <f t="shared" si="82"/>
        <v>0</v>
      </c>
      <c r="AB396" s="153">
        <f>IF(W396&lt;=_noechmaxi1t,ROUND(AA396*'Données Projet 1 (2)'!H405,_nbdeci1t1),0)</f>
        <v>0</v>
      </c>
      <c r="AC396" s="152">
        <f>IF(OR(W396&lt;=_differe1t1t,W396&gt;_noechmaxi1t),IF(_difftotal1t1t,-AB396,0),IF(W396&gt;=_noechremb12,AA396,IF('Données Projet 1 (2)'!I405-(AB396*_echfixe12)&gt;AA396-2,AA396,'Données Projet 1 (2)'!I405-(AB396*_echfixe12))))+R396</f>
        <v>0</v>
      </c>
      <c r="AD396" s="154">
        <f t="shared" si="83"/>
        <v>0</v>
      </c>
      <c r="AE396" s="157">
        <f t="shared" si="75"/>
        <v>0</v>
      </c>
    </row>
    <row r="397" spans="1:31" x14ac:dyDescent="0.2">
      <c r="A397" s="3"/>
      <c r="B397" s="164"/>
      <c r="C397" s="22"/>
      <c r="D397" s="21"/>
      <c r="E397" s="23"/>
      <c r="F397" s="10"/>
      <c r="G397" s="5">
        <f t="shared" si="76"/>
        <v>391</v>
      </c>
      <c r="H397" s="7">
        <f t="shared" si="77"/>
        <v>30</v>
      </c>
      <c r="I397" s="8">
        <f t="shared" si="72"/>
        <v>2041</v>
      </c>
      <c r="J397" s="31">
        <f>IF(K397=0,"",IF(_ijour12=0,MIN(DATE(YEAR(_debamort12),MONTH(_debamort12)+(G397-1)*_imois12,_jour12),DATE(YEAR(_debamort12),MONTH(_debamort12)+1+(G397-1)*_imois12,0)),DATE(YEAR(_debamort12),MONTH(_debamort12),_jour12+(G397-1)*_ijour12)))</f>
        <v>51683</v>
      </c>
      <c r="K397" s="156">
        <f t="shared" si="78"/>
        <v>17777.850000000057</v>
      </c>
      <c r="L397" s="153">
        <f>IF(G397&lt;=_noeechmaxi1,ROUND(K397*'Données Projet 1 (2)'!A406,_nbdeci1t),0)</f>
        <v>27.56</v>
      </c>
      <c r="M397" s="152">
        <f>IF(OR(G397&lt;=_differe1t,G397&gt;_noeechmaxi1),IF(_difftotal1t,-L397,0),IF(G397&gt;=_noechremb1t,K397,IF('Données Projet 1 (2)'!B406-(L397*_echfixe1t)&gt;K397-2,K397,'Données Projet 1 (2)'!B406-(L397*_echfixe1t))))+B397</f>
        <v>579.36</v>
      </c>
      <c r="N397" s="154">
        <f t="shared" si="79"/>
        <v>15.6</v>
      </c>
      <c r="O397" s="157">
        <f t="shared" si="73"/>
        <v>622.52</v>
      </c>
      <c r="Q397" s="3"/>
      <c r="R397" s="164"/>
      <c r="S397" s="22"/>
      <c r="T397" s="21"/>
      <c r="U397" s="23"/>
      <c r="V397" s="10"/>
      <c r="W397" s="5" t="str">
        <f t="shared" si="80"/>
        <v/>
      </c>
      <c r="X397" s="7" t="str">
        <f t="shared" si="81"/>
        <v/>
      </c>
      <c r="Y397" s="8" t="str">
        <f t="shared" si="74"/>
        <v/>
      </c>
      <c r="Z397" s="31" t="str">
        <f>IF(AA397=0,"",IF(_ijour122=0,MIN(DATE(YEAR(_debamort122),MONTH(_debamort122)+(W397-1)*_imois122,__jou123),DATE(YEAR(_debamort122),MONTH(_debamort122)+1+(W397-1)*_imois122,0)),DATE(YEAR(_debamort122),MONTH(_debamort122),__jou123+(W397-1)*_ijour122)))</f>
        <v/>
      </c>
      <c r="AA397" s="156">
        <f t="shared" si="82"/>
        <v>0</v>
      </c>
      <c r="AB397" s="153">
        <f>IF(W397&lt;=_noechmaxi1t,ROUND(AA397*'Données Projet 1 (2)'!H406,_nbdeci1t1),0)</f>
        <v>0</v>
      </c>
      <c r="AC397" s="152">
        <f>IF(OR(W397&lt;=_differe1t1t,W397&gt;_noechmaxi1t),IF(_difftotal1t1t,-AB397,0),IF(W397&gt;=_noechremb12,AA397,IF('Données Projet 1 (2)'!I406-(AB397*_echfixe12)&gt;AA397-2,AA397,'Données Projet 1 (2)'!I406-(AB397*_echfixe12))))+R397</f>
        <v>0</v>
      </c>
      <c r="AD397" s="154">
        <f t="shared" si="83"/>
        <v>0</v>
      </c>
      <c r="AE397" s="157">
        <f t="shared" si="75"/>
        <v>0</v>
      </c>
    </row>
    <row r="398" spans="1:31" x14ac:dyDescent="0.2">
      <c r="A398" s="3"/>
      <c r="B398" s="164"/>
      <c r="C398" s="22"/>
      <c r="D398" s="21"/>
      <c r="E398" s="23"/>
      <c r="F398" s="10"/>
      <c r="G398" s="5">
        <f t="shared" si="76"/>
        <v>392</v>
      </c>
      <c r="H398" s="7">
        <f t="shared" si="77"/>
        <v>29</v>
      </c>
      <c r="I398" s="8">
        <f t="shared" si="72"/>
        <v>2041</v>
      </c>
      <c r="J398" s="31">
        <f>IF(K398=0,"",IF(_ijour12=0,MIN(DATE(YEAR(_debamort12),MONTH(_debamort12)+_MoisD+(G398-1)*_imois12,_jour212),DATE(YEAR(_debamort12),MONTH(_debamort12)+_MoisD+1+(G398-1)*_imois12,0)),DATE(YEAR(_debamort12),MONTH(_debamort12),_jour12+(G398-1)*_ijour12)))</f>
        <v>51714</v>
      </c>
      <c r="K398" s="156">
        <f t="shared" si="78"/>
        <v>17198.490000000056</v>
      </c>
      <c r="L398" s="153">
        <f>IF(G398&lt;=_noeechmaxi1,ROUND(K398*'Données Projet 1 (2)'!A407,_nbdeci1t),0)</f>
        <v>26.66</v>
      </c>
      <c r="M398" s="152">
        <f>IF(OR(G398&lt;=_differe1t,G398&gt;_noeechmaxi1),IF(_difftotal1t,-L398,0),IF(G398&gt;=_noechremb1t,K398,IF('Données Projet 1 (2)'!B407-(L398*_echfixe1t)&gt;K398-2,K398,'Données Projet 1 (2)'!B407-(L398*_echfixe1t))))+B398</f>
        <v>580.26</v>
      </c>
      <c r="N398" s="154">
        <f t="shared" si="79"/>
        <v>15.6</v>
      </c>
      <c r="O398" s="157">
        <f t="shared" si="73"/>
        <v>622.52</v>
      </c>
      <c r="Q398" s="3"/>
      <c r="R398" s="164"/>
      <c r="S398" s="22"/>
      <c r="T398" s="21"/>
      <c r="U398" s="23"/>
      <c r="V398" s="10"/>
      <c r="W398" s="5" t="str">
        <f t="shared" si="80"/>
        <v/>
      </c>
      <c r="X398" s="7" t="str">
        <f t="shared" si="81"/>
        <v/>
      </c>
      <c r="Y398" s="8" t="str">
        <f t="shared" si="74"/>
        <v/>
      </c>
      <c r="Z398" s="31" t="str">
        <f>IF(AA398=0,"",IF(_ijour122=0,MIN(DATE(YEAR(_debamort122),MONTH(_debamort122)+_moisd12+(W398-1)*_imois122,__jou21),DATE(YEAR(_debamort122),MONTH(_debamort122)+_moisd12+1+(W398-1)*_imois122,0)),DATE(YEAR(_debamort122),MONTH(_debamort122),__jou123+(W398-1)*_ijour122)))</f>
        <v/>
      </c>
      <c r="AA398" s="156">
        <f t="shared" si="82"/>
        <v>0</v>
      </c>
      <c r="AB398" s="153">
        <f>IF(W398&lt;=_noechmaxi1t,ROUND(AA398*'Données Projet 1 (2)'!H407,_nbdeci1t1),0)</f>
        <v>0</v>
      </c>
      <c r="AC398" s="152">
        <f>IF(OR(W398&lt;=_differe1t1t,W398&gt;_noechmaxi1t),IF(_difftotal1t1t,-AB398,0),IF(W398&gt;=_noechremb12,AA398,IF('Données Projet 1 (2)'!I407-(AB398*_echfixe12)&gt;AA398-2,AA398,'Données Projet 1 (2)'!I407-(AB398*_echfixe12))))+R398</f>
        <v>0</v>
      </c>
      <c r="AD398" s="154">
        <f t="shared" si="83"/>
        <v>0</v>
      </c>
      <c r="AE398" s="157">
        <f t="shared" si="75"/>
        <v>0</v>
      </c>
    </row>
    <row r="399" spans="1:31" x14ac:dyDescent="0.2">
      <c r="A399" s="3"/>
      <c r="B399" s="164"/>
      <c r="C399" s="22"/>
      <c r="D399" s="21"/>
      <c r="E399" s="23"/>
      <c r="F399" s="10"/>
      <c r="G399" s="5">
        <f t="shared" si="76"/>
        <v>393</v>
      </c>
      <c r="H399" s="7">
        <f t="shared" si="77"/>
        <v>28</v>
      </c>
      <c r="I399" s="8">
        <f t="shared" si="72"/>
        <v>2041</v>
      </c>
      <c r="J399" s="31">
        <f>IF(K399=0,"",IF(_ijour12=0,MIN(DATE(YEAR(_debamort12),MONTH(_debamort12)+(G399-1)*_imois12,_jour12),DATE(YEAR(_debamort12),MONTH(_debamort12)+1+(G399-1)*_imois12,0)),DATE(YEAR(_debamort12),MONTH(_debamort12),_jour12+(G399-1)*_ijour12)))</f>
        <v>51745</v>
      </c>
      <c r="K399" s="156">
        <f t="shared" si="78"/>
        <v>16618.230000000058</v>
      </c>
      <c r="L399" s="153">
        <f>IF(G399&lt;=_noeechmaxi1,ROUND(K399*'Données Projet 1 (2)'!A408,_nbdeci1t),0)</f>
        <v>25.76</v>
      </c>
      <c r="M399" s="152">
        <f>IF(OR(G399&lt;=_differe1t,G399&gt;_noeechmaxi1),IF(_difftotal1t,-L399,0),IF(G399&gt;=_noechremb1t,K399,IF('Données Projet 1 (2)'!B408-(L399*_echfixe1t)&gt;K399-2,K399,'Données Projet 1 (2)'!B408-(L399*_echfixe1t))))+B399</f>
        <v>581.16</v>
      </c>
      <c r="N399" s="154">
        <f t="shared" si="79"/>
        <v>15.6</v>
      </c>
      <c r="O399" s="157">
        <f t="shared" si="73"/>
        <v>622.52</v>
      </c>
      <c r="Q399" s="3"/>
      <c r="R399" s="164"/>
      <c r="S399" s="22"/>
      <c r="T399" s="21"/>
      <c r="U399" s="23"/>
      <c r="V399" s="10"/>
      <c r="W399" s="5" t="str">
        <f t="shared" si="80"/>
        <v/>
      </c>
      <c r="X399" s="7" t="str">
        <f t="shared" si="81"/>
        <v/>
      </c>
      <c r="Y399" s="8" t="str">
        <f t="shared" si="74"/>
        <v/>
      </c>
      <c r="Z399" s="31" t="str">
        <f>IF(AA399=0,"",IF(_ijour122=0,MIN(DATE(YEAR(_debamort122),MONTH(_debamort122)+(W399-1)*_imois122,__jou123),DATE(YEAR(_debamort122),MONTH(_debamort122)+1+(W399-1)*_imois122,0)),DATE(YEAR(_debamort122),MONTH(_debamort122),__jou123+(W399-1)*_ijour122)))</f>
        <v/>
      </c>
      <c r="AA399" s="156">
        <f t="shared" si="82"/>
        <v>0</v>
      </c>
      <c r="AB399" s="153">
        <f>IF(W399&lt;=_noechmaxi1t,ROUND(AA399*'Données Projet 1 (2)'!H408,_nbdeci1t1),0)</f>
        <v>0</v>
      </c>
      <c r="AC399" s="152">
        <f>IF(OR(W399&lt;=_differe1t1t,W399&gt;_noechmaxi1t),IF(_difftotal1t1t,-AB399,0),IF(W399&gt;=_noechremb12,AA399,IF('Données Projet 1 (2)'!I408-(AB399*_echfixe12)&gt;AA399-2,AA399,'Données Projet 1 (2)'!I408-(AB399*_echfixe12))))+R399</f>
        <v>0</v>
      </c>
      <c r="AD399" s="154">
        <f t="shared" si="83"/>
        <v>0</v>
      </c>
      <c r="AE399" s="157">
        <f t="shared" si="75"/>
        <v>0</v>
      </c>
    </row>
    <row r="400" spans="1:31" x14ac:dyDescent="0.2">
      <c r="A400" s="3"/>
      <c r="B400" s="164"/>
      <c r="C400" s="22"/>
      <c r="D400" s="21"/>
      <c r="E400" s="23"/>
      <c r="F400" s="10"/>
      <c r="G400" s="5">
        <f t="shared" si="76"/>
        <v>394</v>
      </c>
      <c r="H400" s="7">
        <f t="shared" si="77"/>
        <v>27</v>
      </c>
      <c r="I400" s="8">
        <f t="shared" si="72"/>
        <v>2041</v>
      </c>
      <c r="J400" s="31">
        <f>IF(K400=0,"",IF(_ijour12=0,MIN(DATE(YEAR(_debamort12),MONTH(_debamort12)+_MoisD+(G400-1)*_imois12,_jour212),DATE(YEAR(_debamort12),MONTH(_debamort12)+_MoisD+1+(G400-1)*_imois12,0)),DATE(YEAR(_debamort12),MONTH(_debamort12),_jour12+(G400-1)*_ijour12)))</f>
        <v>51775</v>
      </c>
      <c r="K400" s="156">
        <f t="shared" si="78"/>
        <v>16037.070000000058</v>
      </c>
      <c r="L400" s="153">
        <f>IF(G400&lt;=_noeechmaxi1,ROUND(K400*'Données Projet 1 (2)'!A409,_nbdeci1t),0)</f>
        <v>24.86</v>
      </c>
      <c r="M400" s="152">
        <f>IF(OR(G400&lt;=_differe1t,G400&gt;_noeechmaxi1),IF(_difftotal1t,-L400,0),IF(G400&gt;=_noechremb1t,K400,IF('Données Projet 1 (2)'!B409-(L400*_echfixe1t)&gt;K400-2,K400,'Données Projet 1 (2)'!B409-(L400*_echfixe1t))))+B400</f>
        <v>582.05999999999995</v>
      </c>
      <c r="N400" s="154">
        <f t="shared" si="79"/>
        <v>15.6</v>
      </c>
      <c r="O400" s="157">
        <f t="shared" si="73"/>
        <v>622.52</v>
      </c>
      <c r="Q400" s="3"/>
      <c r="R400" s="164"/>
      <c r="S400" s="22"/>
      <c r="T400" s="21"/>
      <c r="U400" s="23"/>
      <c r="V400" s="10"/>
      <c r="W400" s="5" t="str">
        <f t="shared" si="80"/>
        <v/>
      </c>
      <c r="X400" s="7" t="str">
        <f t="shared" si="81"/>
        <v/>
      </c>
      <c r="Y400" s="8" t="str">
        <f t="shared" si="74"/>
        <v/>
      </c>
      <c r="Z400" s="31" t="str">
        <f>IF(AA400=0,"",IF(_ijour122=0,MIN(DATE(YEAR(_debamort122),MONTH(_debamort122)+_moisd12+(W400-1)*_imois122,__jou21),DATE(YEAR(_debamort122),MONTH(_debamort122)+_moisd12+1+(W400-1)*_imois122,0)),DATE(YEAR(_debamort122),MONTH(_debamort122),__jou123+(W400-1)*_ijour122)))</f>
        <v/>
      </c>
      <c r="AA400" s="156">
        <f t="shared" si="82"/>
        <v>0</v>
      </c>
      <c r="AB400" s="153">
        <f>IF(W400&lt;=_noechmaxi1t,ROUND(AA400*'Données Projet 1 (2)'!H409,_nbdeci1t1),0)</f>
        <v>0</v>
      </c>
      <c r="AC400" s="152">
        <f>IF(OR(W400&lt;=_differe1t1t,W400&gt;_noechmaxi1t),IF(_difftotal1t1t,-AB400,0),IF(W400&gt;=_noechremb12,AA400,IF('Données Projet 1 (2)'!I409-(AB400*_echfixe12)&gt;AA400-2,AA400,'Données Projet 1 (2)'!I409-(AB400*_echfixe12))))+R400</f>
        <v>0</v>
      </c>
      <c r="AD400" s="154">
        <f t="shared" si="83"/>
        <v>0</v>
      </c>
      <c r="AE400" s="157">
        <f t="shared" si="75"/>
        <v>0</v>
      </c>
    </row>
    <row r="401" spans="1:31" x14ac:dyDescent="0.2">
      <c r="A401" s="3"/>
      <c r="B401" s="164"/>
      <c r="C401" s="22"/>
      <c r="D401" s="21"/>
      <c r="E401" s="23"/>
      <c r="F401" s="10"/>
      <c r="G401" s="5">
        <f t="shared" si="76"/>
        <v>395</v>
      </c>
      <c r="H401" s="7">
        <f t="shared" si="77"/>
        <v>26</v>
      </c>
      <c r="I401" s="8">
        <f t="shared" si="72"/>
        <v>2041</v>
      </c>
      <c r="J401" s="31">
        <f>IF(K401=0,"",IF(_ijour12=0,MIN(DATE(YEAR(_debamort12),MONTH(_debamort12)+(G401-1)*_imois12,_jour12),DATE(YEAR(_debamort12),MONTH(_debamort12)+1+(G401-1)*_imois12,0)),DATE(YEAR(_debamort12),MONTH(_debamort12),_jour12+(G401-1)*_ijour12)))</f>
        <v>51806</v>
      </c>
      <c r="K401" s="156">
        <f t="shared" si="78"/>
        <v>15455.010000000058</v>
      </c>
      <c r="L401" s="153">
        <f>IF(G401&lt;=_noeechmaxi1,ROUND(K401*'Données Projet 1 (2)'!A410,_nbdeci1t),0)</f>
        <v>23.96</v>
      </c>
      <c r="M401" s="152">
        <f>IF(OR(G401&lt;=_differe1t,G401&gt;_noeechmaxi1),IF(_difftotal1t,-L401,0),IF(G401&gt;=_noechremb1t,K401,IF('Données Projet 1 (2)'!B410-(L401*_echfixe1t)&gt;K401-2,K401,'Données Projet 1 (2)'!B410-(L401*_echfixe1t))))+B401</f>
        <v>582.95999999999992</v>
      </c>
      <c r="N401" s="154">
        <f t="shared" si="79"/>
        <v>15.6</v>
      </c>
      <c r="O401" s="157">
        <f t="shared" si="73"/>
        <v>622.52</v>
      </c>
      <c r="Q401" s="3"/>
      <c r="R401" s="164"/>
      <c r="S401" s="22"/>
      <c r="T401" s="21"/>
      <c r="U401" s="23"/>
      <c r="V401" s="10"/>
      <c r="W401" s="5" t="str">
        <f t="shared" si="80"/>
        <v/>
      </c>
      <c r="X401" s="7" t="str">
        <f t="shared" si="81"/>
        <v/>
      </c>
      <c r="Y401" s="8" t="str">
        <f t="shared" si="74"/>
        <v/>
      </c>
      <c r="Z401" s="31" t="str">
        <f>IF(AA401=0,"",IF(_ijour122=0,MIN(DATE(YEAR(_debamort122),MONTH(_debamort122)+(W401-1)*_imois122,__jou123),DATE(YEAR(_debamort122),MONTH(_debamort122)+1+(W401-1)*_imois122,0)),DATE(YEAR(_debamort122),MONTH(_debamort122),__jou123+(W401-1)*_ijour122)))</f>
        <v/>
      </c>
      <c r="AA401" s="156">
        <f t="shared" si="82"/>
        <v>0</v>
      </c>
      <c r="AB401" s="153">
        <f>IF(W401&lt;=_noechmaxi1t,ROUND(AA401*'Données Projet 1 (2)'!H410,_nbdeci1t1),0)</f>
        <v>0</v>
      </c>
      <c r="AC401" s="152">
        <f>IF(OR(W401&lt;=_differe1t1t,W401&gt;_noechmaxi1t),IF(_difftotal1t1t,-AB401,0),IF(W401&gt;=_noechremb12,AA401,IF('Données Projet 1 (2)'!I410-(AB401*_echfixe12)&gt;AA401-2,AA401,'Données Projet 1 (2)'!I410-(AB401*_echfixe12))))+R401</f>
        <v>0</v>
      </c>
      <c r="AD401" s="154">
        <f t="shared" si="83"/>
        <v>0</v>
      </c>
      <c r="AE401" s="157">
        <f t="shared" si="75"/>
        <v>0</v>
      </c>
    </row>
    <row r="402" spans="1:31" x14ac:dyDescent="0.2">
      <c r="A402" s="3"/>
      <c r="B402" s="164"/>
      <c r="C402" s="22"/>
      <c r="D402" s="21"/>
      <c r="E402" s="23"/>
      <c r="F402" s="10"/>
      <c r="G402" s="5">
        <f t="shared" si="76"/>
        <v>396</v>
      </c>
      <c r="H402" s="7">
        <f t="shared" si="77"/>
        <v>25</v>
      </c>
      <c r="I402" s="8">
        <f t="shared" si="72"/>
        <v>2041</v>
      </c>
      <c r="J402" s="31">
        <f>IF(K402=0,"",IF(_ijour12=0,MIN(DATE(YEAR(_debamort12),MONTH(_debamort12)+_MoisD+(G402-1)*_imois12,_jour212),DATE(YEAR(_debamort12),MONTH(_debamort12)+_MoisD+1+(G402-1)*_imois12,0)),DATE(YEAR(_debamort12),MONTH(_debamort12),_jour12+(G402-1)*_ijour12)))</f>
        <v>51836</v>
      </c>
      <c r="K402" s="156">
        <f t="shared" si="78"/>
        <v>14872.050000000059</v>
      </c>
      <c r="L402" s="153">
        <f>IF(G402&lt;=_noeechmaxi1,ROUND(K402*'Données Projet 1 (2)'!A411,_nbdeci1t),0)</f>
        <v>23.05</v>
      </c>
      <c r="M402" s="152">
        <f>IF(OR(G402&lt;=_differe1t,G402&gt;_noeechmaxi1),IF(_difftotal1t,-L402,0),IF(G402&gt;=_noechremb1t,K402,IF('Données Projet 1 (2)'!B411-(L402*_echfixe1t)&gt;K402-2,K402,'Données Projet 1 (2)'!B411-(L402*_echfixe1t))))+B402</f>
        <v>583.87</v>
      </c>
      <c r="N402" s="154">
        <f t="shared" si="79"/>
        <v>15.6</v>
      </c>
      <c r="O402" s="157">
        <f t="shared" si="73"/>
        <v>622.52</v>
      </c>
      <c r="Q402" s="3"/>
      <c r="R402" s="164"/>
      <c r="S402" s="22"/>
      <c r="T402" s="21"/>
      <c r="U402" s="23"/>
      <c r="V402" s="10"/>
      <c r="W402" s="5" t="str">
        <f t="shared" si="80"/>
        <v/>
      </c>
      <c r="X402" s="7" t="str">
        <f t="shared" si="81"/>
        <v/>
      </c>
      <c r="Y402" s="8" t="str">
        <f t="shared" si="74"/>
        <v/>
      </c>
      <c r="Z402" s="31" t="str">
        <f>IF(AA402=0,"",IF(_ijour122=0,MIN(DATE(YEAR(_debamort122),MONTH(_debamort122)+_moisd12+(W402-1)*_imois122,__jou21),DATE(YEAR(_debamort122),MONTH(_debamort122)+_moisd12+1+(W402-1)*_imois122,0)),DATE(YEAR(_debamort122),MONTH(_debamort122),__jou123+(W402-1)*_ijour122)))</f>
        <v/>
      </c>
      <c r="AA402" s="156">
        <f t="shared" si="82"/>
        <v>0</v>
      </c>
      <c r="AB402" s="153">
        <f>IF(W402&lt;=_noechmaxi1t,ROUND(AA402*'Données Projet 1 (2)'!H411,_nbdeci1t1),0)</f>
        <v>0</v>
      </c>
      <c r="AC402" s="152">
        <f>IF(OR(W402&lt;=_differe1t1t,W402&gt;_noechmaxi1t),IF(_difftotal1t1t,-AB402,0),IF(W402&gt;=_noechremb12,AA402,IF('Données Projet 1 (2)'!I411-(AB402*_echfixe12)&gt;AA402-2,AA402,'Données Projet 1 (2)'!I411-(AB402*_echfixe12))))+R402</f>
        <v>0</v>
      </c>
      <c r="AD402" s="154">
        <f t="shared" si="83"/>
        <v>0</v>
      </c>
      <c r="AE402" s="157">
        <f t="shared" si="75"/>
        <v>0</v>
      </c>
    </row>
    <row r="403" spans="1:31" x14ac:dyDescent="0.2">
      <c r="A403" s="3"/>
      <c r="B403" s="164"/>
      <c r="C403" s="22"/>
      <c r="D403" s="21"/>
      <c r="E403" s="23"/>
      <c r="F403" s="10"/>
      <c r="G403" s="5">
        <f t="shared" si="76"/>
        <v>397</v>
      </c>
      <c r="H403" s="7">
        <f t="shared" si="77"/>
        <v>24</v>
      </c>
      <c r="I403" s="8">
        <f t="shared" si="72"/>
        <v>2042</v>
      </c>
      <c r="J403" s="31">
        <f>IF(K403=0,"",IF(_ijour12=0,MIN(DATE(YEAR(_debamort12),MONTH(_debamort12)+(G403-1)*_imois12,_jour12),DATE(YEAR(_debamort12),MONTH(_debamort12)+1+(G403-1)*_imois12,0)),DATE(YEAR(_debamort12),MONTH(_debamort12),_jour12+(G403-1)*_ijour12)))</f>
        <v>51867</v>
      </c>
      <c r="K403" s="156">
        <f t="shared" si="78"/>
        <v>14288.180000000058</v>
      </c>
      <c r="L403" s="153">
        <f>IF(G403&lt;=_noeechmaxi1,ROUND(K403*'Données Projet 1 (2)'!A412,_nbdeci1t),0)</f>
        <v>22.15</v>
      </c>
      <c r="M403" s="152">
        <f>IF(OR(G403&lt;=_differe1t,G403&gt;_noeechmaxi1),IF(_difftotal1t,-L403,0),IF(G403&gt;=_noechremb1t,K403,IF('Données Projet 1 (2)'!B412-(L403*_echfixe1t)&gt;K403-2,K403,'Données Projet 1 (2)'!B412-(L403*_echfixe1t))))+B403</f>
        <v>584.77</v>
      </c>
      <c r="N403" s="154">
        <f t="shared" si="79"/>
        <v>15.6</v>
      </c>
      <c r="O403" s="157">
        <f t="shared" si="73"/>
        <v>622.52</v>
      </c>
      <c r="Q403" s="3"/>
      <c r="R403" s="164"/>
      <c r="S403" s="22"/>
      <c r="T403" s="21"/>
      <c r="U403" s="23"/>
      <c r="V403" s="10"/>
      <c r="W403" s="5" t="str">
        <f t="shared" si="80"/>
        <v/>
      </c>
      <c r="X403" s="7" t="str">
        <f t="shared" si="81"/>
        <v/>
      </c>
      <c r="Y403" s="8" t="str">
        <f t="shared" si="74"/>
        <v/>
      </c>
      <c r="Z403" s="31" t="str">
        <f>IF(AA403=0,"",IF(_ijour122=0,MIN(DATE(YEAR(_debamort122),MONTH(_debamort122)+(W403-1)*_imois122,__jou123),DATE(YEAR(_debamort122),MONTH(_debamort122)+1+(W403-1)*_imois122,0)),DATE(YEAR(_debamort122),MONTH(_debamort122),__jou123+(W403-1)*_ijour122)))</f>
        <v/>
      </c>
      <c r="AA403" s="156">
        <f t="shared" si="82"/>
        <v>0</v>
      </c>
      <c r="AB403" s="153">
        <f>IF(W403&lt;=_noechmaxi1t,ROUND(AA403*'Données Projet 1 (2)'!H412,_nbdeci1t1),0)</f>
        <v>0</v>
      </c>
      <c r="AC403" s="152">
        <f>IF(OR(W403&lt;=_differe1t1t,W403&gt;_noechmaxi1t),IF(_difftotal1t1t,-AB403,0),IF(W403&gt;=_noechremb12,AA403,IF('Données Projet 1 (2)'!I412-(AB403*_echfixe12)&gt;AA403-2,AA403,'Données Projet 1 (2)'!I412-(AB403*_echfixe12))))+R403</f>
        <v>0</v>
      </c>
      <c r="AD403" s="154">
        <f t="shared" si="83"/>
        <v>0</v>
      </c>
      <c r="AE403" s="157">
        <f t="shared" si="75"/>
        <v>0</v>
      </c>
    </row>
    <row r="404" spans="1:31" x14ac:dyDescent="0.2">
      <c r="A404" s="3"/>
      <c r="B404" s="164"/>
      <c r="C404" s="22"/>
      <c r="D404" s="21"/>
      <c r="E404" s="23"/>
      <c r="F404" s="10"/>
      <c r="G404" s="5">
        <f t="shared" si="76"/>
        <v>398</v>
      </c>
      <c r="H404" s="7">
        <f t="shared" si="77"/>
        <v>23</v>
      </c>
      <c r="I404" s="8">
        <f t="shared" si="72"/>
        <v>2042</v>
      </c>
      <c r="J404" s="31">
        <f>IF(K404=0,"",IF(_ijour12=0,MIN(DATE(YEAR(_debamort12),MONTH(_debamort12)+_MoisD+(G404-1)*_imois12,_jour212),DATE(YEAR(_debamort12),MONTH(_debamort12)+_MoisD+1+(G404-1)*_imois12,0)),DATE(YEAR(_debamort12),MONTH(_debamort12),_jour12+(G404-1)*_ijour12)))</f>
        <v>51898</v>
      </c>
      <c r="K404" s="156">
        <f t="shared" si="78"/>
        <v>13703.410000000058</v>
      </c>
      <c r="L404" s="153">
        <f>IF(G404&lt;=_noeechmaxi1,ROUND(K404*'Données Projet 1 (2)'!A413,_nbdeci1t),0)</f>
        <v>21.24</v>
      </c>
      <c r="M404" s="152">
        <f>IF(OR(G404&lt;=_differe1t,G404&gt;_noeechmaxi1),IF(_difftotal1t,-L404,0),IF(G404&gt;=_noechremb1t,K404,IF('Données Projet 1 (2)'!B413-(L404*_echfixe1t)&gt;K404-2,K404,'Données Projet 1 (2)'!B413-(L404*_echfixe1t))))+B404</f>
        <v>585.67999999999995</v>
      </c>
      <c r="N404" s="154">
        <f t="shared" si="79"/>
        <v>15.6</v>
      </c>
      <c r="O404" s="157">
        <f t="shared" si="73"/>
        <v>622.52</v>
      </c>
      <c r="Q404" s="3"/>
      <c r="R404" s="164"/>
      <c r="S404" s="22"/>
      <c r="T404" s="21"/>
      <c r="U404" s="23"/>
      <c r="V404" s="10"/>
      <c r="W404" s="5" t="str">
        <f t="shared" si="80"/>
        <v/>
      </c>
      <c r="X404" s="7" t="str">
        <f t="shared" si="81"/>
        <v/>
      </c>
      <c r="Y404" s="8" t="str">
        <f t="shared" si="74"/>
        <v/>
      </c>
      <c r="Z404" s="31" t="str">
        <f>IF(AA404=0,"",IF(_ijour122=0,MIN(DATE(YEAR(_debamort122),MONTH(_debamort122)+_moisd12+(W404-1)*_imois122,__jou21),DATE(YEAR(_debamort122),MONTH(_debamort122)+_moisd12+1+(W404-1)*_imois122,0)),DATE(YEAR(_debamort122),MONTH(_debamort122),__jou123+(W404-1)*_ijour122)))</f>
        <v/>
      </c>
      <c r="AA404" s="156">
        <f t="shared" si="82"/>
        <v>0</v>
      </c>
      <c r="AB404" s="153">
        <f>IF(W404&lt;=_noechmaxi1t,ROUND(AA404*'Données Projet 1 (2)'!H413,_nbdeci1t1),0)</f>
        <v>0</v>
      </c>
      <c r="AC404" s="152">
        <f>IF(OR(W404&lt;=_differe1t1t,W404&gt;_noechmaxi1t),IF(_difftotal1t1t,-AB404,0),IF(W404&gt;=_noechremb12,AA404,IF('Données Projet 1 (2)'!I413-(AB404*_echfixe12)&gt;AA404-2,AA404,'Données Projet 1 (2)'!I413-(AB404*_echfixe12))))+R404</f>
        <v>0</v>
      </c>
      <c r="AD404" s="154">
        <f t="shared" si="83"/>
        <v>0</v>
      </c>
      <c r="AE404" s="157">
        <f t="shared" si="75"/>
        <v>0</v>
      </c>
    </row>
    <row r="405" spans="1:31" x14ac:dyDescent="0.2">
      <c r="A405" s="3"/>
      <c r="B405" s="164"/>
      <c r="C405" s="22"/>
      <c r="D405" s="21"/>
      <c r="E405" s="23"/>
      <c r="F405" s="10"/>
      <c r="G405" s="5">
        <f t="shared" si="76"/>
        <v>399</v>
      </c>
      <c r="H405" s="7">
        <f t="shared" si="77"/>
        <v>22</v>
      </c>
      <c r="I405" s="8">
        <f t="shared" si="72"/>
        <v>2042</v>
      </c>
      <c r="J405" s="31">
        <f>IF(K405=0,"",IF(_ijour12=0,MIN(DATE(YEAR(_debamort12),MONTH(_debamort12)+(G405-1)*_imois12,_jour12),DATE(YEAR(_debamort12),MONTH(_debamort12)+1+(G405-1)*_imois12,0)),DATE(YEAR(_debamort12),MONTH(_debamort12),_jour12+(G405-1)*_ijour12)))</f>
        <v>51926</v>
      </c>
      <c r="K405" s="156">
        <f t="shared" si="78"/>
        <v>13117.730000000058</v>
      </c>
      <c r="L405" s="153">
        <f>IF(G405&lt;=_noeechmaxi1,ROUND(K405*'Données Projet 1 (2)'!A414,_nbdeci1t),0)</f>
        <v>20.329999999999998</v>
      </c>
      <c r="M405" s="152">
        <f>IF(OR(G405&lt;=_differe1t,G405&gt;_noeechmaxi1),IF(_difftotal1t,-L405,0),IF(G405&gt;=_noechremb1t,K405,IF('Données Projet 1 (2)'!B414-(L405*_echfixe1t)&gt;K405-2,K405,'Données Projet 1 (2)'!B414-(L405*_echfixe1t))))+B405</f>
        <v>586.58999999999992</v>
      </c>
      <c r="N405" s="154">
        <f t="shared" si="79"/>
        <v>15.6</v>
      </c>
      <c r="O405" s="157">
        <f t="shared" si="73"/>
        <v>622.52</v>
      </c>
      <c r="Q405" s="3"/>
      <c r="R405" s="164"/>
      <c r="S405" s="22"/>
      <c r="T405" s="21"/>
      <c r="U405" s="23"/>
      <c r="V405" s="10"/>
      <c r="W405" s="5" t="str">
        <f t="shared" si="80"/>
        <v/>
      </c>
      <c r="X405" s="7" t="str">
        <f t="shared" si="81"/>
        <v/>
      </c>
      <c r="Y405" s="8" t="str">
        <f t="shared" si="74"/>
        <v/>
      </c>
      <c r="Z405" s="31" t="str">
        <f>IF(AA405=0,"",IF(_ijour122=0,MIN(DATE(YEAR(_debamort122),MONTH(_debamort122)+(W405-1)*_imois122,__jou123),DATE(YEAR(_debamort122),MONTH(_debamort122)+1+(W405-1)*_imois122,0)),DATE(YEAR(_debamort122),MONTH(_debamort122),__jou123+(W405-1)*_ijour122)))</f>
        <v/>
      </c>
      <c r="AA405" s="156">
        <f t="shared" si="82"/>
        <v>0</v>
      </c>
      <c r="AB405" s="153">
        <f>IF(W405&lt;=_noechmaxi1t,ROUND(AA405*'Données Projet 1 (2)'!H414,_nbdeci1t1),0)</f>
        <v>0</v>
      </c>
      <c r="AC405" s="152">
        <f>IF(OR(W405&lt;=_differe1t1t,W405&gt;_noechmaxi1t),IF(_difftotal1t1t,-AB405,0),IF(W405&gt;=_noechremb12,AA405,IF('Données Projet 1 (2)'!I414-(AB405*_echfixe12)&gt;AA405-2,AA405,'Données Projet 1 (2)'!I414-(AB405*_echfixe12))))+R405</f>
        <v>0</v>
      </c>
      <c r="AD405" s="154">
        <f t="shared" si="83"/>
        <v>0</v>
      </c>
      <c r="AE405" s="157">
        <f t="shared" si="75"/>
        <v>0</v>
      </c>
    </row>
    <row r="406" spans="1:31" x14ac:dyDescent="0.2">
      <c r="A406" s="3"/>
      <c r="B406" s="164"/>
      <c r="C406" s="22"/>
      <c r="D406" s="21"/>
      <c r="E406" s="23"/>
      <c r="F406" s="10"/>
      <c r="G406" s="5">
        <f t="shared" si="76"/>
        <v>400</v>
      </c>
      <c r="H406" s="7">
        <f t="shared" si="77"/>
        <v>21</v>
      </c>
      <c r="I406" s="8">
        <f t="shared" si="72"/>
        <v>2042</v>
      </c>
      <c r="J406" s="31">
        <f>IF(K406=0,"",IF(_ijour12=0,MIN(DATE(YEAR(_debamort12),MONTH(_debamort12)+_MoisD+(G406-1)*_imois12,_jour212),DATE(YEAR(_debamort12),MONTH(_debamort12)+_MoisD+1+(G406-1)*_imois12,0)),DATE(YEAR(_debamort12),MONTH(_debamort12),_jour12+(G406-1)*_ijour12)))</f>
        <v>51957</v>
      </c>
      <c r="K406" s="156">
        <f t="shared" si="78"/>
        <v>12531.140000000058</v>
      </c>
      <c r="L406" s="153">
        <f>IF(G406&lt;=_noeechmaxi1,ROUND(K406*'Données Projet 1 (2)'!A415,_nbdeci1t),0)</f>
        <v>19.420000000000002</v>
      </c>
      <c r="M406" s="152">
        <f>IF(OR(G406&lt;=_differe1t,G406&gt;_noeechmaxi1),IF(_difftotal1t,-L406,0),IF(G406&gt;=_noechremb1t,K406,IF('Données Projet 1 (2)'!B415-(L406*_echfixe1t)&gt;K406-2,K406,'Données Projet 1 (2)'!B415-(L406*_echfixe1t))))+B406</f>
        <v>587.5</v>
      </c>
      <c r="N406" s="154">
        <f t="shared" si="79"/>
        <v>15.6</v>
      </c>
      <c r="O406" s="157">
        <f t="shared" si="73"/>
        <v>622.52</v>
      </c>
      <c r="Q406" s="3"/>
      <c r="R406" s="164"/>
      <c r="S406" s="22"/>
      <c r="T406" s="21"/>
      <c r="U406" s="23"/>
      <c r="V406" s="10"/>
      <c r="W406" s="5" t="str">
        <f t="shared" si="80"/>
        <v/>
      </c>
      <c r="X406" s="7" t="str">
        <f t="shared" si="81"/>
        <v/>
      </c>
      <c r="Y406" s="8" t="str">
        <f t="shared" si="74"/>
        <v/>
      </c>
      <c r="Z406" s="31" t="str">
        <f>IF(AA406=0,"",IF(_ijour122=0,MIN(DATE(YEAR(_debamort122),MONTH(_debamort122)+_moisd12+(W406-1)*_imois122,__jou21),DATE(YEAR(_debamort122),MONTH(_debamort122)+_moisd12+1+(W406-1)*_imois122,0)),DATE(YEAR(_debamort122),MONTH(_debamort122),__jou123+(W406-1)*_ijour122)))</f>
        <v/>
      </c>
      <c r="AA406" s="156">
        <f t="shared" si="82"/>
        <v>0</v>
      </c>
      <c r="AB406" s="153">
        <f>IF(W406&lt;=_noechmaxi1t,ROUND(AA406*'Données Projet 1 (2)'!H415,_nbdeci1t1),0)</f>
        <v>0</v>
      </c>
      <c r="AC406" s="152">
        <f>IF(OR(W406&lt;=_differe1t1t,W406&gt;_noechmaxi1t),IF(_difftotal1t1t,-AB406,0),IF(W406&gt;=_noechremb12,AA406,IF('Données Projet 1 (2)'!I415-(AB406*_echfixe12)&gt;AA406-2,AA406,'Données Projet 1 (2)'!I415-(AB406*_echfixe12))))+R406</f>
        <v>0</v>
      </c>
      <c r="AD406" s="154">
        <f t="shared" si="83"/>
        <v>0</v>
      </c>
      <c r="AE406" s="157">
        <f t="shared" si="75"/>
        <v>0</v>
      </c>
    </row>
    <row r="407" spans="1:31" x14ac:dyDescent="0.2">
      <c r="A407" s="3"/>
      <c r="B407" s="164"/>
      <c r="C407" s="22"/>
      <c r="D407" s="21"/>
      <c r="E407" s="23"/>
      <c r="F407" s="10"/>
      <c r="G407" s="5">
        <f t="shared" si="76"/>
        <v>401</v>
      </c>
      <c r="H407" s="7">
        <f t="shared" si="77"/>
        <v>20</v>
      </c>
      <c r="I407" s="8">
        <f t="shared" si="72"/>
        <v>2042</v>
      </c>
      <c r="J407" s="31">
        <f>IF(K407=0,"",IF(_ijour12=0,MIN(DATE(YEAR(_debamort12),MONTH(_debamort12)+(G407-1)*_imois12,_jour12),DATE(YEAR(_debamort12),MONTH(_debamort12)+1+(G407-1)*_imois12,0)),DATE(YEAR(_debamort12),MONTH(_debamort12),_jour12+(G407-1)*_ijour12)))</f>
        <v>51987</v>
      </c>
      <c r="K407" s="156">
        <f t="shared" si="78"/>
        <v>11943.640000000058</v>
      </c>
      <c r="L407" s="153">
        <f>IF(G407&lt;=_noeechmaxi1,ROUND(K407*'Données Projet 1 (2)'!A416,_nbdeci1t),0)</f>
        <v>18.510000000000002</v>
      </c>
      <c r="M407" s="152">
        <f>IF(OR(G407&lt;=_differe1t,G407&gt;_noeechmaxi1),IF(_difftotal1t,-L407,0),IF(G407&gt;=_noechremb1t,K407,IF('Données Projet 1 (2)'!B416-(L407*_echfixe1t)&gt;K407-2,K407,'Données Projet 1 (2)'!B416-(L407*_echfixe1t))))+B407</f>
        <v>588.41</v>
      </c>
      <c r="N407" s="154">
        <f t="shared" si="79"/>
        <v>15.6</v>
      </c>
      <c r="O407" s="157">
        <f t="shared" si="73"/>
        <v>622.52</v>
      </c>
      <c r="Q407" s="3"/>
      <c r="R407" s="164"/>
      <c r="S407" s="22"/>
      <c r="T407" s="21"/>
      <c r="U407" s="23"/>
      <c r="V407" s="10"/>
      <c r="W407" s="5" t="str">
        <f t="shared" si="80"/>
        <v/>
      </c>
      <c r="X407" s="7" t="str">
        <f t="shared" si="81"/>
        <v/>
      </c>
      <c r="Y407" s="8" t="str">
        <f t="shared" si="74"/>
        <v/>
      </c>
      <c r="Z407" s="31" t="str">
        <f>IF(AA407=0,"",IF(_ijour122=0,MIN(DATE(YEAR(_debamort122),MONTH(_debamort122)+(W407-1)*_imois122,__jou123),DATE(YEAR(_debamort122),MONTH(_debamort122)+1+(W407-1)*_imois122,0)),DATE(YEAR(_debamort122),MONTH(_debamort122),__jou123+(W407-1)*_ijour122)))</f>
        <v/>
      </c>
      <c r="AA407" s="156">
        <f t="shared" si="82"/>
        <v>0</v>
      </c>
      <c r="AB407" s="153">
        <f>IF(W407&lt;=_noechmaxi1t,ROUND(AA407*'Données Projet 1 (2)'!H416,_nbdeci1t1),0)</f>
        <v>0</v>
      </c>
      <c r="AC407" s="152">
        <f>IF(OR(W407&lt;=_differe1t1t,W407&gt;_noechmaxi1t),IF(_difftotal1t1t,-AB407,0),IF(W407&gt;=_noechremb12,AA407,IF('Données Projet 1 (2)'!I416-(AB407*_echfixe12)&gt;AA407-2,AA407,'Données Projet 1 (2)'!I416-(AB407*_echfixe12))))+R407</f>
        <v>0</v>
      </c>
      <c r="AD407" s="154">
        <f t="shared" si="83"/>
        <v>0</v>
      </c>
      <c r="AE407" s="157">
        <f t="shared" si="75"/>
        <v>0</v>
      </c>
    </row>
    <row r="408" spans="1:31" x14ac:dyDescent="0.2">
      <c r="A408" s="3"/>
      <c r="B408" s="164"/>
      <c r="C408" s="22"/>
      <c r="D408" s="21"/>
      <c r="E408" s="23"/>
      <c r="F408" s="10"/>
      <c r="G408" s="5">
        <f t="shared" si="76"/>
        <v>402</v>
      </c>
      <c r="H408" s="7">
        <f t="shared" si="77"/>
        <v>19</v>
      </c>
      <c r="I408" s="8">
        <f t="shared" si="72"/>
        <v>2042</v>
      </c>
      <c r="J408" s="31">
        <f>IF(K408=0,"",IF(_ijour12=0,MIN(DATE(YEAR(_debamort12),MONTH(_debamort12)+_MoisD+(G408-1)*_imois12,_jour212),DATE(YEAR(_debamort12),MONTH(_debamort12)+_MoisD+1+(G408-1)*_imois12,0)),DATE(YEAR(_debamort12),MONTH(_debamort12),_jour12+(G408-1)*_ijour12)))</f>
        <v>52018</v>
      </c>
      <c r="K408" s="156">
        <f t="shared" si="78"/>
        <v>11355.230000000058</v>
      </c>
      <c r="L408" s="153">
        <f>IF(G408&lt;=_noeechmaxi1,ROUND(K408*'Données Projet 1 (2)'!A417,_nbdeci1t),0)</f>
        <v>17.600000000000001</v>
      </c>
      <c r="M408" s="152">
        <f>IF(OR(G408&lt;=_differe1t,G408&gt;_noeechmaxi1),IF(_difftotal1t,-L408,0),IF(G408&gt;=_noechremb1t,K408,IF('Données Projet 1 (2)'!B417-(L408*_echfixe1t)&gt;K408-2,K408,'Données Projet 1 (2)'!B417-(L408*_echfixe1t))))+B408</f>
        <v>589.31999999999994</v>
      </c>
      <c r="N408" s="154">
        <f t="shared" si="79"/>
        <v>15.6</v>
      </c>
      <c r="O408" s="157">
        <f t="shared" si="73"/>
        <v>622.52</v>
      </c>
      <c r="Q408" s="3"/>
      <c r="R408" s="164"/>
      <c r="S408" s="22"/>
      <c r="T408" s="21"/>
      <c r="U408" s="23"/>
      <c r="V408" s="10"/>
      <c r="W408" s="5" t="str">
        <f t="shared" si="80"/>
        <v/>
      </c>
      <c r="X408" s="7" t="str">
        <f t="shared" si="81"/>
        <v/>
      </c>
      <c r="Y408" s="8" t="str">
        <f t="shared" si="74"/>
        <v/>
      </c>
      <c r="Z408" s="31" t="str">
        <f>IF(AA408=0,"",IF(_ijour122=0,MIN(DATE(YEAR(_debamort122),MONTH(_debamort122)+_moisd12+(W408-1)*_imois122,__jou21),DATE(YEAR(_debamort122),MONTH(_debamort122)+_moisd12+1+(W408-1)*_imois122,0)),DATE(YEAR(_debamort122),MONTH(_debamort122),__jou123+(W408-1)*_ijour122)))</f>
        <v/>
      </c>
      <c r="AA408" s="156">
        <f t="shared" si="82"/>
        <v>0</v>
      </c>
      <c r="AB408" s="153">
        <f>IF(W408&lt;=_noechmaxi1t,ROUND(AA408*'Données Projet 1 (2)'!H417,_nbdeci1t1),0)</f>
        <v>0</v>
      </c>
      <c r="AC408" s="152">
        <f>IF(OR(W408&lt;=_differe1t1t,W408&gt;_noechmaxi1t),IF(_difftotal1t1t,-AB408,0),IF(W408&gt;=_noechremb12,AA408,IF('Données Projet 1 (2)'!I417-(AB408*_echfixe12)&gt;AA408-2,AA408,'Données Projet 1 (2)'!I417-(AB408*_echfixe12))))+R408</f>
        <v>0</v>
      </c>
      <c r="AD408" s="154">
        <f t="shared" si="83"/>
        <v>0</v>
      </c>
      <c r="AE408" s="157">
        <f t="shared" si="75"/>
        <v>0</v>
      </c>
    </row>
    <row r="409" spans="1:31" x14ac:dyDescent="0.2">
      <c r="A409" s="3"/>
      <c r="B409" s="164"/>
      <c r="C409" s="22"/>
      <c r="D409" s="21"/>
      <c r="E409" s="23"/>
      <c r="F409" s="10"/>
      <c r="G409" s="5">
        <f t="shared" si="76"/>
        <v>403</v>
      </c>
      <c r="H409" s="7">
        <f t="shared" si="77"/>
        <v>18</v>
      </c>
      <c r="I409" s="8">
        <f t="shared" si="72"/>
        <v>2042</v>
      </c>
      <c r="J409" s="31">
        <f>IF(K409=0,"",IF(_ijour12=0,MIN(DATE(YEAR(_debamort12),MONTH(_debamort12)+(G409-1)*_imois12,_jour12),DATE(YEAR(_debamort12),MONTH(_debamort12)+1+(G409-1)*_imois12,0)),DATE(YEAR(_debamort12),MONTH(_debamort12),_jour12+(G409-1)*_ijour12)))</f>
        <v>52048</v>
      </c>
      <c r="K409" s="156">
        <f t="shared" si="78"/>
        <v>10765.910000000058</v>
      </c>
      <c r="L409" s="153">
        <f>IF(G409&lt;=_noeechmaxi1,ROUND(K409*'Données Projet 1 (2)'!A418,_nbdeci1t),0)</f>
        <v>16.690000000000001</v>
      </c>
      <c r="M409" s="152">
        <f>IF(OR(G409&lt;=_differe1t,G409&gt;_noeechmaxi1),IF(_difftotal1t,-L409,0),IF(G409&gt;=_noechremb1t,K409,IF('Données Projet 1 (2)'!B418-(L409*_echfixe1t)&gt;K409-2,K409,'Données Projet 1 (2)'!B418-(L409*_echfixe1t))))+B409</f>
        <v>590.2299999999999</v>
      </c>
      <c r="N409" s="154">
        <f t="shared" si="79"/>
        <v>15.6</v>
      </c>
      <c r="O409" s="157">
        <f t="shared" si="73"/>
        <v>622.52</v>
      </c>
      <c r="Q409" s="3"/>
      <c r="R409" s="164"/>
      <c r="S409" s="22"/>
      <c r="T409" s="21"/>
      <c r="U409" s="23"/>
      <c r="V409" s="10"/>
      <c r="W409" s="5" t="str">
        <f t="shared" si="80"/>
        <v/>
      </c>
      <c r="X409" s="7" t="str">
        <f t="shared" si="81"/>
        <v/>
      </c>
      <c r="Y409" s="8" t="str">
        <f t="shared" si="74"/>
        <v/>
      </c>
      <c r="Z409" s="31" t="str">
        <f>IF(AA409=0,"",IF(_ijour122=0,MIN(DATE(YEAR(_debamort122),MONTH(_debamort122)+(W409-1)*_imois122,__jou123),DATE(YEAR(_debamort122),MONTH(_debamort122)+1+(W409-1)*_imois122,0)),DATE(YEAR(_debamort122),MONTH(_debamort122),__jou123+(W409-1)*_ijour122)))</f>
        <v/>
      </c>
      <c r="AA409" s="156">
        <f t="shared" si="82"/>
        <v>0</v>
      </c>
      <c r="AB409" s="153">
        <f>IF(W409&lt;=_noechmaxi1t,ROUND(AA409*'Données Projet 1 (2)'!H418,_nbdeci1t1),0)</f>
        <v>0</v>
      </c>
      <c r="AC409" s="152">
        <f>IF(OR(W409&lt;=_differe1t1t,W409&gt;_noechmaxi1t),IF(_difftotal1t1t,-AB409,0),IF(W409&gt;=_noechremb12,AA409,IF('Données Projet 1 (2)'!I418-(AB409*_echfixe12)&gt;AA409-2,AA409,'Données Projet 1 (2)'!I418-(AB409*_echfixe12))))+R409</f>
        <v>0</v>
      </c>
      <c r="AD409" s="154">
        <f t="shared" si="83"/>
        <v>0</v>
      </c>
      <c r="AE409" s="157">
        <f t="shared" si="75"/>
        <v>0</v>
      </c>
    </row>
    <row r="410" spans="1:31" x14ac:dyDescent="0.2">
      <c r="A410" s="3"/>
      <c r="B410" s="164"/>
      <c r="C410" s="22"/>
      <c r="D410" s="21"/>
      <c r="E410" s="23"/>
      <c r="F410" s="10"/>
      <c r="G410" s="5">
        <f t="shared" si="76"/>
        <v>404</v>
      </c>
      <c r="H410" s="7">
        <f t="shared" si="77"/>
        <v>17</v>
      </c>
      <c r="I410" s="8">
        <f t="shared" si="72"/>
        <v>2042</v>
      </c>
      <c r="J410" s="31">
        <f>IF(K410=0,"",IF(_ijour12=0,MIN(DATE(YEAR(_debamort12),MONTH(_debamort12)+_MoisD+(G410-1)*_imois12,_jour212),DATE(YEAR(_debamort12),MONTH(_debamort12)+_MoisD+1+(G410-1)*_imois12,0)),DATE(YEAR(_debamort12),MONTH(_debamort12),_jour12+(G410-1)*_ijour12)))</f>
        <v>52079</v>
      </c>
      <c r="K410" s="156">
        <f t="shared" si="78"/>
        <v>10175.680000000058</v>
      </c>
      <c r="L410" s="153">
        <f>IF(G410&lt;=_noeechmaxi1,ROUND(K410*'Données Projet 1 (2)'!A419,_nbdeci1t),0)</f>
        <v>15.77</v>
      </c>
      <c r="M410" s="152">
        <f>IF(OR(G410&lt;=_differe1t,G410&gt;_noeechmaxi1),IF(_difftotal1t,-L410,0),IF(G410&gt;=_noechremb1t,K410,IF('Données Projet 1 (2)'!B419-(L410*_echfixe1t)&gt;K410-2,K410,'Données Projet 1 (2)'!B419-(L410*_echfixe1t))))+B410</f>
        <v>591.15</v>
      </c>
      <c r="N410" s="154">
        <f t="shared" si="79"/>
        <v>15.6</v>
      </c>
      <c r="O410" s="157">
        <f t="shared" si="73"/>
        <v>622.52</v>
      </c>
      <c r="Q410" s="3"/>
      <c r="R410" s="164"/>
      <c r="S410" s="22"/>
      <c r="T410" s="21"/>
      <c r="U410" s="23"/>
      <c r="V410" s="10"/>
      <c r="W410" s="5" t="str">
        <f t="shared" si="80"/>
        <v/>
      </c>
      <c r="X410" s="7" t="str">
        <f t="shared" si="81"/>
        <v/>
      </c>
      <c r="Y410" s="8" t="str">
        <f t="shared" si="74"/>
        <v/>
      </c>
      <c r="Z410" s="31" t="str">
        <f>IF(AA410=0,"",IF(_ijour122=0,MIN(DATE(YEAR(_debamort122),MONTH(_debamort122)+_moisd12+(W410-1)*_imois122,__jou21),DATE(YEAR(_debamort122),MONTH(_debamort122)+_moisd12+1+(W410-1)*_imois122,0)),DATE(YEAR(_debamort122),MONTH(_debamort122),__jou123+(W410-1)*_ijour122)))</f>
        <v/>
      </c>
      <c r="AA410" s="156">
        <f t="shared" si="82"/>
        <v>0</v>
      </c>
      <c r="AB410" s="153">
        <f>IF(W410&lt;=_noechmaxi1t,ROUND(AA410*'Données Projet 1 (2)'!H419,_nbdeci1t1),0)</f>
        <v>0</v>
      </c>
      <c r="AC410" s="152">
        <f>IF(OR(W410&lt;=_differe1t1t,W410&gt;_noechmaxi1t),IF(_difftotal1t1t,-AB410,0),IF(W410&gt;=_noechremb12,AA410,IF('Données Projet 1 (2)'!I419-(AB410*_echfixe12)&gt;AA410-2,AA410,'Données Projet 1 (2)'!I419-(AB410*_echfixe12))))+R410</f>
        <v>0</v>
      </c>
      <c r="AD410" s="154">
        <f t="shared" si="83"/>
        <v>0</v>
      </c>
      <c r="AE410" s="157">
        <f t="shared" si="75"/>
        <v>0</v>
      </c>
    </row>
    <row r="411" spans="1:31" x14ac:dyDescent="0.2">
      <c r="A411" s="3"/>
      <c r="B411" s="164"/>
      <c r="C411" s="22"/>
      <c r="D411" s="21"/>
      <c r="E411" s="23"/>
      <c r="F411" s="10"/>
      <c r="G411" s="5">
        <f t="shared" si="76"/>
        <v>405</v>
      </c>
      <c r="H411" s="7">
        <f t="shared" si="77"/>
        <v>16</v>
      </c>
      <c r="I411" s="8">
        <f t="shared" si="72"/>
        <v>2042</v>
      </c>
      <c r="J411" s="31">
        <f>IF(K411=0,"",IF(_ijour12=0,MIN(DATE(YEAR(_debamort12),MONTH(_debamort12)+(G411-1)*_imois12,_jour12),DATE(YEAR(_debamort12),MONTH(_debamort12)+1+(G411-1)*_imois12,0)),DATE(YEAR(_debamort12),MONTH(_debamort12),_jour12+(G411-1)*_ijour12)))</f>
        <v>52110</v>
      </c>
      <c r="K411" s="156">
        <f t="shared" si="78"/>
        <v>9584.5300000000589</v>
      </c>
      <c r="L411" s="153">
        <f>IF(G411&lt;=_noeechmaxi1,ROUND(K411*'Données Projet 1 (2)'!A420,_nbdeci1t),0)</f>
        <v>14.86</v>
      </c>
      <c r="M411" s="152">
        <f>IF(OR(G411&lt;=_differe1t,G411&gt;_noeechmaxi1),IF(_difftotal1t,-L411,0),IF(G411&gt;=_noechremb1t,K411,IF('Données Projet 1 (2)'!B420-(L411*_echfixe1t)&gt;K411-2,K411,'Données Projet 1 (2)'!B420-(L411*_echfixe1t))))+B411</f>
        <v>592.05999999999995</v>
      </c>
      <c r="N411" s="154">
        <f t="shared" si="79"/>
        <v>15.6</v>
      </c>
      <c r="O411" s="157">
        <f t="shared" si="73"/>
        <v>622.52</v>
      </c>
      <c r="Q411" s="3"/>
      <c r="R411" s="164"/>
      <c r="S411" s="22"/>
      <c r="T411" s="21"/>
      <c r="U411" s="23"/>
      <c r="V411" s="10"/>
      <c r="W411" s="5" t="str">
        <f t="shared" si="80"/>
        <v/>
      </c>
      <c r="X411" s="7" t="str">
        <f t="shared" si="81"/>
        <v/>
      </c>
      <c r="Y411" s="8" t="str">
        <f t="shared" si="74"/>
        <v/>
      </c>
      <c r="Z411" s="31" t="str">
        <f>IF(AA411=0,"",IF(_ijour122=0,MIN(DATE(YEAR(_debamort122),MONTH(_debamort122)+(W411-1)*_imois122,__jou123),DATE(YEAR(_debamort122),MONTH(_debamort122)+1+(W411-1)*_imois122,0)),DATE(YEAR(_debamort122),MONTH(_debamort122),__jou123+(W411-1)*_ijour122)))</f>
        <v/>
      </c>
      <c r="AA411" s="156">
        <f t="shared" si="82"/>
        <v>0</v>
      </c>
      <c r="AB411" s="153">
        <f>IF(W411&lt;=_noechmaxi1t,ROUND(AA411*'Données Projet 1 (2)'!H420,_nbdeci1t1),0)</f>
        <v>0</v>
      </c>
      <c r="AC411" s="152">
        <f>IF(OR(W411&lt;=_differe1t1t,W411&gt;_noechmaxi1t),IF(_difftotal1t1t,-AB411,0),IF(W411&gt;=_noechremb12,AA411,IF('Données Projet 1 (2)'!I420-(AB411*_echfixe12)&gt;AA411-2,AA411,'Données Projet 1 (2)'!I420-(AB411*_echfixe12))))+R411</f>
        <v>0</v>
      </c>
      <c r="AD411" s="154">
        <f t="shared" si="83"/>
        <v>0</v>
      </c>
      <c r="AE411" s="157">
        <f t="shared" si="75"/>
        <v>0</v>
      </c>
    </row>
    <row r="412" spans="1:31" x14ac:dyDescent="0.2">
      <c r="A412" s="3"/>
      <c r="B412" s="164"/>
      <c r="C412" s="22"/>
      <c r="D412" s="21"/>
      <c r="E412" s="23"/>
      <c r="F412" s="10"/>
      <c r="G412" s="5">
        <f t="shared" si="76"/>
        <v>406</v>
      </c>
      <c r="H412" s="7">
        <f t="shared" si="77"/>
        <v>15</v>
      </c>
      <c r="I412" s="8">
        <f t="shared" si="72"/>
        <v>2042</v>
      </c>
      <c r="J412" s="31">
        <f>IF(K412=0,"",IF(_ijour12=0,MIN(DATE(YEAR(_debamort12),MONTH(_debamort12)+_MoisD+(G412-1)*_imois12,_jour212),DATE(YEAR(_debamort12),MONTH(_debamort12)+_MoisD+1+(G412-1)*_imois12,0)),DATE(YEAR(_debamort12),MONTH(_debamort12),_jour12+(G412-1)*_ijour12)))</f>
        <v>52140</v>
      </c>
      <c r="K412" s="156">
        <f t="shared" si="78"/>
        <v>8992.4700000000594</v>
      </c>
      <c r="L412" s="153">
        <f>IF(G412&lt;=_noeechmaxi1,ROUND(K412*'Données Projet 1 (2)'!A421,_nbdeci1t),0)</f>
        <v>13.94</v>
      </c>
      <c r="M412" s="152">
        <f>IF(OR(G412&lt;=_differe1t,G412&gt;_noeechmaxi1),IF(_difftotal1t,-L412,0),IF(G412&gt;=_noechremb1t,K412,IF('Données Projet 1 (2)'!B421-(L412*_echfixe1t)&gt;K412-2,K412,'Données Projet 1 (2)'!B421-(L412*_echfixe1t))))+B412</f>
        <v>592.9799999999999</v>
      </c>
      <c r="N412" s="154">
        <f t="shared" si="79"/>
        <v>15.6</v>
      </c>
      <c r="O412" s="157">
        <f t="shared" si="73"/>
        <v>622.52</v>
      </c>
      <c r="Q412" s="3"/>
      <c r="R412" s="164"/>
      <c r="S412" s="22"/>
      <c r="T412" s="21"/>
      <c r="U412" s="23"/>
      <c r="V412" s="10"/>
      <c r="W412" s="5" t="str">
        <f t="shared" si="80"/>
        <v/>
      </c>
      <c r="X412" s="7" t="str">
        <f t="shared" si="81"/>
        <v/>
      </c>
      <c r="Y412" s="8" t="str">
        <f t="shared" si="74"/>
        <v/>
      </c>
      <c r="Z412" s="31" t="str">
        <f>IF(AA412=0,"",IF(_ijour122=0,MIN(DATE(YEAR(_debamort122),MONTH(_debamort122)+_moisd12+(W412-1)*_imois122,__jou21),DATE(YEAR(_debamort122),MONTH(_debamort122)+_moisd12+1+(W412-1)*_imois122,0)),DATE(YEAR(_debamort122),MONTH(_debamort122),__jou123+(W412-1)*_ijour122)))</f>
        <v/>
      </c>
      <c r="AA412" s="156">
        <f t="shared" si="82"/>
        <v>0</v>
      </c>
      <c r="AB412" s="153">
        <f>IF(W412&lt;=_noechmaxi1t,ROUND(AA412*'Données Projet 1 (2)'!H421,_nbdeci1t1),0)</f>
        <v>0</v>
      </c>
      <c r="AC412" s="152">
        <f>IF(OR(W412&lt;=_differe1t1t,W412&gt;_noechmaxi1t),IF(_difftotal1t1t,-AB412,0),IF(W412&gt;=_noechremb12,AA412,IF('Données Projet 1 (2)'!I421-(AB412*_echfixe12)&gt;AA412-2,AA412,'Données Projet 1 (2)'!I421-(AB412*_echfixe12))))+R412</f>
        <v>0</v>
      </c>
      <c r="AD412" s="154">
        <f t="shared" si="83"/>
        <v>0</v>
      </c>
      <c r="AE412" s="157">
        <f t="shared" si="75"/>
        <v>0</v>
      </c>
    </row>
    <row r="413" spans="1:31" x14ac:dyDescent="0.2">
      <c r="A413" s="3"/>
      <c r="B413" s="164"/>
      <c r="C413" s="22"/>
      <c r="D413" s="21"/>
      <c r="E413" s="23"/>
      <c r="F413" s="10"/>
      <c r="G413" s="5">
        <f t="shared" si="76"/>
        <v>407</v>
      </c>
      <c r="H413" s="7">
        <f t="shared" si="77"/>
        <v>14</v>
      </c>
      <c r="I413" s="8">
        <f t="shared" si="72"/>
        <v>2042</v>
      </c>
      <c r="J413" s="31">
        <f>IF(K413=0,"",IF(_ijour12=0,MIN(DATE(YEAR(_debamort12),MONTH(_debamort12)+(G413-1)*_imois12,_jour12),DATE(YEAR(_debamort12),MONTH(_debamort12)+1+(G413-1)*_imois12,0)),DATE(YEAR(_debamort12),MONTH(_debamort12),_jour12+(G413-1)*_ijour12)))</f>
        <v>52171</v>
      </c>
      <c r="K413" s="156">
        <f t="shared" si="78"/>
        <v>8399.4900000000598</v>
      </c>
      <c r="L413" s="153">
        <f>IF(G413&lt;=_noeechmaxi1,ROUND(K413*'Données Projet 1 (2)'!A422,_nbdeci1t),0)</f>
        <v>13.02</v>
      </c>
      <c r="M413" s="152">
        <f>IF(OR(G413&lt;=_differe1t,G413&gt;_noeechmaxi1),IF(_difftotal1t,-L413,0),IF(G413&gt;=_noechremb1t,K413,IF('Données Projet 1 (2)'!B422-(L413*_echfixe1t)&gt;K413-2,K413,'Données Projet 1 (2)'!B422-(L413*_echfixe1t))))+B413</f>
        <v>593.9</v>
      </c>
      <c r="N413" s="154">
        <f t="shared" si="79"/>
        <v>15.6</v>
      </c>
      <c r="O413" s="157">
        <f t="shared" si="73"/>
        <v>622.52</v>
      </c>
      <c r="Q413" s="3"/>
      <c r="R413" s="164"/>
      <c r="S413" s="22"/>
      <c r="T413" s="21"/>
      <c r="U413" s="23"/>
      <c r="V413" s="10"/>
      <c r="W413" s="5" t="str">
        <f t="shared" si="80"/>
        <v/>
      </c>
      <c r="X413" s="7" t="str">
        <f t="shared" si="81"/>
        <v/>
      </c>
      <c r="Y413" s="8" t="str">
        <f t="shared" si="74"/>
        <v/>
      </c>
      <c r="Z413" s="31" t="str">
        <f>IF(AA413=0,"",IF(_ijour122=0,MIN(DATE(YEAR(_debamort122),MONTH(_debamort122)+(W413-1)*_imois122,__jou123),DATE(YEAR(_debamort122),MONTH(_debamort122)+1+(W413-1)*_imois122,0)),DATE(YEAR(_debamort122),MONTH(_debamort122),__jou123+(W413-1)*_ijour122)))</f>
        <v/>
      </c>
      <c r="AA413" s="156">
        <f t="shared" si="82"/>
        <v>0</v>
      </c>
      <c r="AB413" s="153">
        <f>IF(W413&lt;=_noechmaxi1t,ROUND(AA413*'Données Projet 1 (2)'!H422,_nbdeci1t1),0)</f>
        <v>0</v>
      </c>
      <c r="AC413" s="152">
        <f>IF(OR(W413&lt;=_differe1t1t,W413&gt;_noechmaxi1t),IF(_difftotal1t1t,-AB413,0),IF(W413&gt;=_noechremb12,AA413,IF('Données Projet 1 (2)'!I422-(AB413*_echfixe12)&gt;AA413-2,AA413,'Données Projet 1 (2)'!I422-(AB413*_echfixe12))))+R413</f>
        <v>0</v>
      </c>
      <c r="AD413" s="154">
        <f t="shared" si="83"/>
        <v>0</v>
      </c>
      <c r="AE413" s="157">
        <f t="shared" si="75"/>
        <v>0</v>
      </c>
    </row>
    <row r="414" spans="1:31" x14ac:dyDescent="0.2">
      <c r="A414" s="3"/>
      <c r="B414" s="164"/>
      <c r="C414" s="22"/>
      <c r="D414" s="21"/>
      <c r="E414" s="23"/>
      <c r="F414" s="10"/>
      <c r="G414" s="5">
        <f t="shared" si="76"/>
        <v>408</v>
      </c>
      <c r="H414" s="7">
        <f t="shared" si="77"/>
        <v>13</v>
      </c>
      <c r="I414" s="8">
        <f t="shared" si="72"/>
        <v>2042</v>
      </c>
      <c r="J414" s="31">
        <f>IF(K414=0,"",IF(_ijour12=0,MIN(DATE(YEAR(_debamort12),MONTH(_debamort12)+_MoisD+(G414-1)*_imois12,_jour212),DATE(YEAR(_debamort12),MONTH(_debamort12)+_MoisD+1+(G414-1)*_imois12,0)),DATE(YEAR(_debamort12),MONTH(_debamort12),_jour12+(G414-1)*_ijour12)))</f>
        <v>52201</v>
      </c>
      <c r="K414" s="156">
        <f t="shared" si="78"/>
        <v>7805.5900000000602</v>
      </c>
      <c r="L414" s="153">
        <f>IF(G414&lt;=_noeechmaxi1,ROUND(K414*'Données Projet 1 (2)'!A423,_nbdeci1t),0)</f>
        <v>12.1</v>
      </c>
      <c r="M414" s="152">
        <f>IF(OR(G414&lt;=_differe1t,G414&gt;_noeechmaxi1),IF(_difftotal1t,-L414,0),IF(G414&gt;=_noechremb1t,K414,IF('Données Projet 1 (2)'!B423-(L414*_echfixe1t)&gt;K414-2,K414,'Données Projet 1 (2)'!B423-(L414*_echfixe1t))))+B414</f>
        <v>594.81999999999994</v>
      </c>
      <c r="N414" s="154">
        <f t="shared" si="79"/>
        <v>15.6</v>
      </c>
      <c r="O414" s="157">
        <f t="shared" si="73"/>
        <v>622.52</v>
      </c>
      <c r="Q414" s="3"/>
      <c r="R414" s="164"/>
      <c r="S414" s="22"/>
      <c r="T414" s="21"/>
      <c r="U414" s="23"/>
      <c r="V414" s="10"/>
      <c r="W414" s="5" t="str">
        <f t="shared" si="80"/>
        <v/>
      </c>
      <c r="X414" s="7" t="str">
        <f t="shared" si="81"/>
        <v/>
      </c>
      <c r="Y414" s="8" t="str">
        <f t="shared" si="74"/>
        <v/>
      </c>
      <c r="Z414" s="31" t="str">
        <f>IF(AA414=0,"",IF(_ijour122=0,MIN(DATE(YEAR(_debamort122),MONTH(_debamort122)+_moisd12+(W414-1)*_imois122,__jou21),DATE(YEAR(_debamort122),MONTH(_debamort122)+_moisd12+1+(W414-1)*_imois122,0)),DATE(YEAR(_debamort122),MONTH(_debamort122),__jou123+(W414-1)*_ijour122)))</f>
        <v/>
      </c>
      <c r="AA414" s="156">
        <f t="shared" si="82"/>
        <v>0</v>
      </c>
      <c r="AB414" s="153">
        <f>IF(W414&lt;=_noechmaxi1t,ROUND(AA414*'Données Projet 1 (2)'!H423,_nbdeci1t1),0)</f>
        <v>0</v>
      </c>
      <c r="AC414" s="152">
        <f>IF(OR(W414&lt;=_differe1t1t,W414&gt;_noechmaxi1t),IF(_difftotal1t1t,-AB414,0),IF(W414&gt;=_noechremb12,AA414,IF('Données Projet 1 (2)'!I423-(AB414*_echfixe12)&gt;AA414-2,AA414,'Données Projet 1 (2)'!I423-(AB414*_echfixe12))))+R414</f>
        <v>0</v>
      </c>
      <c r="AD414" s="154">
        <f t="shared" si="83"/>
        <v>0</v>
      </c>
      <c r="AE414" s="157">
        <f t="shared" si="75"/>
        <v>0</v>
      </c>
    </row>
    <row r="415" spans="1:31" x14ac:dyDescent="0.2">
      <c r="A415" s="3"/>
      <c r="B415" s="164"/>
      <c r="C415" s="22"/>
      <c r="D415" s="21"/>
      <c r="E415" s="23"/>
      <c r="F415" s="10"/>
      <c r="G415" s="5">
        <f t="shared" si="76"/>
        <v>409</v>
      </c>
      <c r="H415" s="7">
        <f t="shared" si="77"/>
        <v>12</v>
      </c>
      <c r="I415" s="8">
        <f t="shared" si="72"/>
        <v>2043</v>
      </c>
      <c r="J415" s="31">
        <f>IF(K415=0,"",IF(_ijour12=0,MIN(DATE(YEAR(_debamort12),MONTH(_debamort12)+(G415-1)*_imois12,_jour12),DATE(YEAR(_debamort12),MONTH(_debamort12)+1+(G415-1)*_imois12,0)),DATE(YEAR(_debamort12),MONTH(_debamort12),_jour12+(G415-1)*_ijour12)))</f>
        <v>52232</v>
      </c>
      <c r="K415" s="156">
        <f t="shared" si="78"/>
        <v>7210.7700000000605</v>
      </c>
      <c r="L415" s="153">
        <f>IF(G415&lt;=_noeechmaxi1,ROUND(K415*'Données Projet 1 (2)'!A424,_nbdeci1t),0)</f>
        <v>11.18</v>
      </c>
      <c r="M415" s="152">
        <f>IF(OR(G415&lt;=_differe1t,G415&gt;_noeechmaxi1),IF(_difftotal1t,-L415,0),IF(G415&gt;=_noechremb1t,K415,IF('Données Projet 1 (2)'!B424-(L415*_echfixe1t)&gt;K415-2,K415,'Données Projet 1 (2)'!B424-(L415*_echfixe1t))))+B415</f>
        <v>595.74</v>
      </c>
      <c r="N415" s="154">
        <f t="shared" si="79"/>
        <v>15.6</v>
      </c>
      <c r="O415" s="157">
        <f t="shared" si="73"/>
        <v>622.52</v>
      </c>
      <c r="Q415" s="3"/>
      <c r="R415" s="164"/>
      <c r="S415" s="22"/>
      <c r="T415" s="21"/>
      <c r="U415" s="23"/>
      <c r="V415" s="10"/>
      <c r="W415" s="5" t="str">
        <f t="shared" si="80"/>
        <v/>
      </c>
      <c r="X415" s="7" t="str">
        <f t="shared" si="81"/>
        <v/>
      </c>
      <c r="Y415" s="8" t="str">
        <f t="shared" si="74"/>
        <v/>
      </c>
      <c r="Z415" s="31" t="str">
        <f>IF(AA415=0,"",IF(_ijour122=0,MIN(DATE(YEAR(_debamort122),MONTH(_debamort122)+(W415-1)*_imois122,__jou123),DATE(YEAR(_debamort122),MONTH(_debamort122)+1+(W415-1)*_imois122,0)),DATE(YEAR(_debamort122),MONTH(_debamort122),__jou123+(W415-1)*_ijour122)))</f>
        <v/>
      </c>
      <c r="AA415" s="156">
        <f t="shared" si="82"/>
        <v>0</v>
      </c>
      <c r="AB415" s="153">
        <f>IF(W415&lt;=_noechmaxi1t,ROUND(AA415*'Données Projet 1 (2)'!H424,_nbdeci1t1),0)</f>
        <v>0</v>
      </c>
      <c r="AC415" s="152">
        <f>IF(OR(W415&lt;=_differe1t1t,W415&gt;_noechmaxi1t),IF(_difftotal1t1t,-AB415,0),IF(W415&gt;=_noechremb12,AA415,IF('Données Projet 1 (2)'!I424-(AB415*_echfixe12)&gt;AA415-2,AA415,'Données Projet 1 (2)'!I424-(AB415*_echfixe12))))+R415</f>
        <v>0</v>
      </c>
      <c r="AD415" s="154">
        <f t="shared" si="83"/>
        <v>0</v>
      </c>
      <c r="AE415" s="157">
        <f t="shared" si="75"/>
        <v>0</v>
      </c>
    </row>
    <row r="416" spans="1:31" x14ac:dyDescent="0.2">
      <c r="A416" s="3"/>
      <c r="B416" s="164"/>
      <c r="C416" s="22"/>
      <c r="D416" s="21"/>
      <c r="E416" s="23"/>
      <c r="F416" s="10"/>
      <c r="G416" s="5">
        <f t="shared" si="76"/>
        <v>410</v>
      </c>
      <c r="H416" s="7">
        <f t="shared" si="77"/>
        <v>11</v>
      </c>
      <c r="I416" s="8">
        <f t="shared" si="72"/>
        <v>2043</v>
      </c>
      <c r="J416" s="31">
        <f>IF(K416=0,"",IF(_ijour12=0,MIN(DATE(YEAR(_debamort12),MONTH(_debamort12)+_MoisD+(G416-1)*_imois12,_jour212),DATE(YEAR(_debamort12),MONTH(_debamort12)+_MoisD+1+(G416-1)*_imois12,0)),DATE(YEAR(_debamort12),MONTH(_debamort12),_jour12+(G416-1)*_ijour12)))</f>
        <v>52263</v>
      </c>
      <c r="K416" s="156">
        <f t="shared" si="78"/>
        <v>6615.0300000000607</v>
      </c>
      <c r="L416" s="153">
        <f>IF(G416&lt;=_noeechmaxi1,ROUND(K416*'Données Projet 1 (2)'!A425,_nbdeci1t),0)</f>
        <v>10.25</v>
      </c>
      <c r="M416" s="152">
        <f>IF(OR(G416&lt;=_differe1t,G416&gt;_noeechmaxi1),IF(_difftotal1t,-L416,0),IF(G416&gt;=_noechremb1t,K416,IF('Données Projet 1 (2)'!B425-(L416*_echfixe1t)&gt;K416-2,K416,'Données Projet 1 (2)'!B425-(L416*_echfixe1t))))+B416</f>
        <v>596.66999999999996</v>
      </c>
      <c r="N416" s="154">
        <f t="shared" si="79"/>
        <v>15.6</v>
      </c>
      <c r="O416" s="157">
        <f t="shared" si="73"/>
        <v>622.52</v>
      </c>
      <c r="Q416" s="3"/>
      <c r="R416" s="164"/>
      <c r="S416" s="22"/>
      <c r="T416" s="21"/>
      <c r="U416" s="23"/>
      <c r="V416" s="10"/>
      <c r="W416" s="5" t="str">
        <f t="shared" si="80"/>
        <v/>
      </c>
      <c r="X416" s="7" t="str">
        <f t="shared" si="81"/>
        <v/>
      </c>
      <c r="Y416" s="8" t="str">
        <f t="shared" si="74"/>
        <v/>
      </c>
      <c r="Z416" s="31" t="str">
        <f>IF(AA416=0,"",IF(_ijour122=0,MIN(DATE(YEAR(_debamort122),MONTH(_debamort122)+_moisd12+(W416-1)*_imois122,__jou21),DATE(YEAR(_debamort122),MONTH(_debamort122)+_moisd12+1+(W416-1)*_imois122,0)),DATE(YEAR(_debamort122),MONTH(_debamort122),__jou123+(W416-1)*_ijour122)))</f>
        <v/>
      </c>
      <c r="AA416" s="156">
        <f t="shared" si="82"/>
        <v>0</v>
      </c>
      <c r="AB416" s="153">
        <f>IF(W416&lt;=_noechmaxi1t,ROUND(AA416*'Données Projet 1 (2)'!H425,_nbdeci1t1),0)</f>
        <v>0</v>
      </c>
      <c r="AC416" s="152">
        <f>IF(OR(W416&lt;=_differe1t1t,W416&gt;_noechmaxi1t),IF(_difftotal1t1t,-AB416,0),IF(W416&gt;=_noechremb12,AA416,IF('Données Projet 1 (2)'!I425-(AB416*_echfixe12)&gt;AA416-2,AA416,'Données Projet 1 (2)'!I425-(AB416*_echfixe12))))+R416</f>
        <v>0</v>
      </c>
      <c r="AD416" s="154">
        <f t="shared" si="83"/>
        <v>0</v>
      </c>
      <c r="AE416" s="157">
        <f t="shared" si="75"/>
        <v>0</v>
      </c>
    </row>
    <row r="417" spans="1:31" x14ac:dyDescent="0.2">
      <c r="A417" s="3"/>
      <c r="B417" s="164"/>
      <c r="C417" s="22"/>
      <c r="D417" s="21"/>
      <c r="E417" s="23"/>
      <c r="F417" s="10"/>
      <c r="G417" s="5">
        <f t="shared" si="76"/>
        <v>411</v>
      </c>
      <c r="H417" s="7">
        <f t="shared" si="77"/>
        <v>10</v>
      </c>
      <c r="I417" s="8">
        <f t="shared" si="72"/>
        <v>2043</v>
      </c>
      <c r="J417" s="31">
        <f>IF(K417=0,"",IF(_ijour12=0,MIN(DATE(YEAR(_debamort12),MONTH(_debamort12)+(G417-1)*_imois12,_jour12),DATE(YEAR(_debamort12),MONTH(_debamort12)+1+(G417-1)*_imois12,0)),DATE(YEAR(_debamort12),MONTH(_debamort12),_jour12+(G417-1)*_ijour12)))</f>
        <v>52291</v>
      </c>
      <c r="K417" s="156">
        <f t="shared" si="78"/>
        <v>6018.3600000000606</v>
      </c>
      <c r="L417" s="153">
        <f>IF(G417&lt;=_noeechmaxi1,ROUND(K417*'Données Projet 1 (2)'!A426,_nbdeci1t),0)</f>
        <v>9.33</v>
      </c>
      <c r="M417" s="152">
        <f>IF(OR(G417&lt;=_differe1t,G417&gt;_noeechmaxi1),IF(_difftotal1t,-L417,0),IF(G417&gt;=_noechremb1t,K417,IF('Données Projet 1 (2)'!B426-(L417*_echfixe1t)&gt;K417-2,K417,'Données Projet 1 (2)'!B426-(L417*_echfixe1t))))+B417</f>
        <v>597.58999999999992</v>
      </c>
      <c r="N417" s="154">
        <f t="shared" si="79"/>
        <v>15.6</v>
      </c>
      <c r="O417" s="157">
        <f t="shared" si="73"/>
        <v>622.52</v>
      </c>
      <c r="Q417" s="3"/>
      <c r="R417" s="164"/>
      <c r="S417" s="22"/>
      <c r="T417" s="21"/>
      <c r="U417" s="23"/>
      <c r="V417" s="10"/>
      <c r="W417" s="5" t="str">
        <f t="shared" si="80"/>
        <v/>
      </c>
      <c r="X417" s="7" t="str">
        <f t="shared" si="81"/>
        <v/>
      </c>
      <c r="Y417" s="8" t="str">
        <f t="shared" si="74"/>
        <v/>
      </c>
      <c r="Z417" s="31" t="str">
        <f>IF(AA417=0,"",IF(_ijour122=0,MIN(DATE(YEAR(_debamort122),MONTH(_debamort122)+(W417-1)*_imois122,__jou123),DATE(YEAR(_debamort122),MONTH(_debamort122)+1+(W417-1)*_imois122,0)),DATE(YEAR(_debamort122),MONTH(_debamort122),__jou123+(W417-1)*_ijour122)))</f>
        <v/>
      </c>
      <c r="AA417" s="156">
        <f t="shared" si="82"/>
        <v>0</v>
      </c>
      <c r="AB417" s="153">
        <f>IF(W417&lt;=_noechmaxi1t,ROUND(AA417*'Données Projet 1 (2)'!H426,_nbdeci1t1),0)</f>
        <v>0</v>
      </c>
      <c r="AC417" s="152">
        <f>IF(OR(W417&lt;=_differe1t1t,W417&gt;_noechmaxi1t),IF(_difftotal1t1t,-AB417,0),IF(W417&gt;=_noechremb12,AA417,IF('Données Projet 1 (2)'!I426-(AB417*_echfixe12)&gt;AA417-2,AA417,'Données Projet 1 (2)'!I426-(AB417*_echfixe12))))+R417</f>
        <v>0</v>
      </c>
      <c r="AD417" s="154">
        <f t="shared" si="83"/>
        <v>0</v>
      </c>
      <c r="AE417" s="157">
        <f t="shared" si="75"/>
        <v>0</v>
      </c>
    </row>
    <row r="418" spans="1:31" x14ac:dyDescent="0.2">
      <c r="A418" s="3"/>
      <c r="B418" s="164"/>
      <c r="C418" s="22"/>
      <c r="D418" s="21"/>
      <c r="E418" s="23"/>
      <c r="F418" s="10"/>
      <c r="G418" s="5">
        <f t="shared" si="76"/>
        <v>412</v>
      </c>
      <c r="H418" s="7">
        <f t="shared" si="77"/>
        <v>9</v>
      </c>
      <c r="I418" s="8">
        <f t="shared" si="72"/>
        <v>2043</v>
      </c>
      <c r="J418" s="31">
        <f>IF(K418=0,"",IF(_ijour12=0,MIN(DATE(YEAR(_debamort12),MONTH(_debamort12)+_MoisD+(G418-1)*_imois12,_jour212),DATE(YEAR(_debamort12),MONTH(_debamort12)+_MoisD+1+(G418-1)*_imois12,0)),DATE(YEAR(_debamort12),MONTH(_debamort12),_jour12+(G418-1)*_ijour12)))</f>
        <v>52322</v>
      </c>
      <c r="K418" s="156">
        <f t="shared" si="78"/>
        <v>5420.7700000000605</v>
      </c>
      <c r="L418" s="153">
        <f>IF(G418&lt;=_noeechmaxi1,ROUND(K418*'Données Projet 1 (2)'!A427,_nbdeci1t),0)</f>
        <v>8.4</v>
      </c>
      <c r="M418" s="152">
        <f>IF(OR(G418&lt;=_differe1t,G418&gt;_noeechmaxi1),IF(_difftotal1t,-L418,0),IF(G418&gt;=_noechremb1t,K418,IF('Données Projet 1 (2)'!B427-(L418*_echfixe1t)&gt;K418-2,K418,'Données Projet 1 (2)'!B427-(L418*_echfixe1t))))+B418</f>
        <v>598.52</v>
      </c>
      <c r="N418" s="154">
        <f t="shared" si="79"/>
        <v>15.6</v>
      </c>
      <c r="O418" s="157">
        <f t="shared" si="73"/>
        <v>622.52</v>
      </c>
      <c r="Q418" s="3"/>
      <c r="R418" s="164"/>
      <c r="S418" s="22"/>
      <c r="T418" s="21"/>
      <c r="U418" s="23"/>
      <c r="V418" s="10"/>
      <c r="W418" s="5" t="str">
        <f t="shared" si="80"/>
        <v/>
      </c>
      <c r="X418" s="7" t="str">
        <f t="shared" si="81"/>
        <v/>
      </c>
      <c r="Y418" s="8" t="str">
        <f t="shared" si="74"/>
        <v/>
      </c>
      <c r="Z418" s="31" t="str">
        <f>IF(AA418=0,"",IF(_ijour122=0,MIN(DATE(YEAR(_debamort122),MONTH(_debamort122)+_moisd12+(W418-1)*_imois122,__jou21),DATE(YEAR(_debamort122),MONTH(_debamort122)+_moisd12+1+(W418-1)*_imois122,0)),DATE(YEAR(_debamort122),MONTH(_debamort122),__jou123+(W418-1)*_ijour122)))</f>
        <v/>
      </c>
      <c r="AA418" s="156">
        <f t="shared" si="82"/>
        <v>0</v>
      </c>
      <c r="AB418" s="153">
        <f>IF(W418&lt;=_noechmaxi1t,ROUND(AA418*'Données Projet 1 (2)'!H427,_nbdeci1t1),0)</f>
        <v>0</v>
      </c>
      <c r="AC418" s="152">
        <f>IF(OR(W418&lt;=_differe1t1t,W418&gt;_noechmaxi1t),IF(_difftotal1t1t,-AB418,0),IF(W418&gt;=_noechremb12,AA418,IF('Données Projet 1 (2)'!I427-(AB418*_echfixe12)&gt;AA418-2,AA418,'Données Projet 1 (2)'!I427-(AB418*_echfixe12))))+R418</f>
        <v>0</v>
      </c>
      <c r="AD418" s="154">
        <f t="shared" si="83"/>
        <v>0</v>
      </c>
      <c r="AE418" s="157">
        <f t="shared" si="75"/>
        <v>0</v>
      </c>
    </row>
    <row r="419" spans="1:31" x14ac:dyDescent="0.2">
      <c r="A419" s="3"/>
      <c r="B419" s="164"/>
      <c r="C419" s="22"/>
      <c r="D419" s="21"/>
      <c r="E419" s="23"/>
      <c r="F419" s="10"/>
      <c r="G419" s="5">
        <f t="shared" si="76"/>
        <v>413</v>
      </c>
      <c r="H419" s="7">
        <f t="shared" si="77"/>
        <v>8</v>
      </c>
      <c r="I419" s="8">
        <f t="shared" si="72"/>
        <v>2043</v>
      </c>
      <c r="J419" s="31">
        <f>IF(K419=0,"",IF(_ijour12=0,MIN(DATE(YEAR(_debamort12),MONTH(_debamort12)+(G419-1)*_imois12,_jour12),DATE(YEAR(_debamort12),MONTH(_debamort12)+1+(G419-1)*_imois12,0)),DATE(YEAR(_debamort12),MONTH(_debamort12),_jour12+(G419-1)*_ijour12)))</f>
        <v>52352</v>
      </c>
      <c r="K419" s="156">
        <f t="shared" si="78"/>
        <v>4822.25000000006</v>
      </c>
      <c r="L419" s="153">
        <f>IF(G419&lt;=_noeechmaxi1,ROUND(K419*'Données Projet 1 (2)'!A428,_nbdeci1t),0)</f>
        <v>7.47</v>
      </c>
      <c r="M419" s="152">
        <f>IF(OR(G419&lt;=_differe1t,G419&gt;_noeechmaxi1),IF(_difftotal1t,-L419,0),IF(G419&gt;=_noechremb1t,K419,IF('Données Projet 1 (2)'!B428-(L419*_echfixe1t)&gt;K419-2,K419,'Données Projet 1 (2)'!B428-(L419*_echfixe1t))))+B419</f>
        <v>599.44999999999993</v>
      </c>
      <c r="N419" s="154">
        <f t="shared" si="79"/>
        <v>15.6</v>
      </c>
      <c r="O419" s="157">
        <f t="shared" si="73"/>
        <v>622.52</v>
      </c>
      <c r="Q419" s="3"/>
      <c r="R419" s="164"/>
      <c r="S419" s="22"/>
      <c r="T419" s="21"/>
      <c r="U419" s="23"/>
      <c r="V419" s="10"/>
      <c r="W419" s="5" t="str">
        <f t="shared" si="80"/>
        <v/>
      </c>
      <c r="X419" s="7" t="str">
        <f t="shared" si="81"/>
        <v/>
      </c>
      <c r="Y419" s="8" t="str">
        <f t="shared" si="74"/>
        <v/>
      </c>
      <c r="Z419" s="31" t="str">
        <f>IF(AA419=0,"",IF(_ijour122=0,MIN(DATE(YEAR(_debamort122),MONTH(_debamort122)+(W419-1)*_imois122,__jou123),DATE(YEAR(_debamort122),MONTH(_debamort122)+1+(W419-1)*_imois122,0)),DATE(YEAR(_debamort122),MONTH(_debamort122),__jou123+(W419-1)*_ijour122)))</f>
        <v/>
      </c>
      <c r="AA419" s="156">
        <f t="shared" si="82"/>
        <v>0</v>
      </c>
      <c r="AB419" s="153">
        <f>IF(W419&lt;=_noechmaxi1t,ROUND(AA419*'Données Projet 1 (2)'!H428,_nbdeci1t1),0)</f>
        <v>0</v>
      </c>
      <c r="AC419" s="152">
        <f>IF(OR(W419&lt;=_differe1t1t,W419&gt;_noechmaxi1t),IF(_difftotal1t1t,-AB419,0),IF(W419&gt;=_noechremb12,AA419,IF('Données Projet 1 (2)'!I428-(AB419*_echfixe12)&gt;AA419-2,AA419,'Données Projet 1 (2)'!I428-(AB419*_echfixe12))))+R419</f>
        <v>0</v>
      </c>
      <c r="AD419" s="154">
        <f t="shared" si="83"/>
        <v>0</v>
      </c>
      <c r="AE419" s="157">
        <f t="shared" si="75"/>
        <v>0</v>
      </c>
    </row>
    <row r="420" spans="1:31" x14ac:dyDescent="0.2">
      <c r="A420" s="3"/>
      <c r="B420" s="164"/>
      <c r="C420" s="22"/>
      <c r="D420" s="21"/>
      <c r="E420" s="23"/>
      <c r="F420" s="10"/>
      <c r="G420" s="5">
        <f t="shared" si="76"/>
        <v>414</v>
      </c>
      <c r="H420" s="7">
        <f t="shared" si="77"/>
        <v>7</v>
      </c>
      <c r="I420" s="8">
        <f t="shared" si="72"/>
        <v>2043</v>
      </c>
      <c r="J420" s="31">
        <f>IF(K420=0,"",IF(_ijour12=0,MIN(DATE(YEAR(_debamort12),MONTH(_debamort12)+_MoisD+(G420-1)*_imois12,_jour212),DATE(YEAR(_debamort12),MONTH(_debamort12)+_MoisD+1+(G420-1)*_imois12,0)),DATE(YEAR(_debamort12),MONTH(_debamort12),_jour12+(G420-1)*_ijour12)))</f>
        <v>52383</v>
      </c>
      <c r="K420" s="156">
        <f t="shared" si="78"/>
        <v>4222.8000000000602</v>
      </c>
      <c r="L420" s="153">
        <f>IF(G420&lt;=_noeechmaxi1,ROUND(K420*'Données Projet 1 (2)'!A429,_nbdeci1t),0)</f>
        <v>6.55</v>
      </c>
      <c r="M420" s="152">
        <f>IF(OR(G420&lt;=_differe1t,G420&gt;_noeechmaxi1),IF(_difftotal1t,-L420,0),IF(G420&gt;=_noechremb1t,K420,IF('Données Projet 1 (2)'!B429-(L420*_echfixe1t)&gt;K420-2,K420,'Données Projet 1 (2)'!B429-(L420*_echfixe1t))))+B420</f>
        <v>600.37</v>
      </c>
      <c r="N420" s="154">
        <f t="shared" si="79"/>
        <v>15.6</v>
      </c>
      <c r="O420" s="157">
        <f t="shared" si="73"/>
        <v>622.52</v>
      </c>
      <c r="Q420" s="3"/>
      <c r="R420" s="164"/>
      <c r="S420" s="22"/>
      <c r="T420" s="21"/>
      <c r="U420" s="23"/>
      <c r="V420" s="10"/>
      <c r="W420" s="5" t="str">
        <f t="shared" si="80"/>
        <v/>
      </c>
      <c r="X420" s="7" t="str">
        <f t="shared" si="81"/>
        <v/>
      </c>
      <c r="Y420" s="8" t="str">
        <f t="shared" si="74"/>
        <v/>
      </c>
      <c r="Z420" s="31" t="str">
        <f>IF(AA420=0,"",IF(_ijour122=0,MIN(DATE(YEAR(_debamort122),MONTH(_debamort122)+_moisd12+(W420-1)*_imois122,__jou21),DATE(YEAR(_debamort122),MONTH(_debamort122)+_moisd12+1+(W420-1)*_imois122,0)),DATE(YEAR(_debamort122),MONTH(_debamort122),__jou123+(W420-1)*_ijour122)))</f>
        <v/>
      </c>
      <c r="AA420" s="156">
        <f t="shared" si="82"/>
        <v>0</v>
      </c>
      <c r="AB420" s="153">
        <f>IF(W420&lt;=_noechmaxi1t,ROUND(AA420*'Données Projet 1 (2)'!H429,_nbdeci1t1),0)</f>
        <v>0</v>
      </c>
      <c r="AC420" s="152">
        <f>IF(OR(W420&lt;=_differe1t1t,W420&gt;_noechmaxi1t),IF(_difftotal1t1t,-AB420,0),IF(W420&gt;=_noechremb12,AA420,IF('Données Projet 1 (2)'!I429-(AB420*_echfixe12)&gt;AA420-2,AA420,'Données Projet 1 (2)'!I429-(AB420*_echfixe12))))+R420</f>
        <v>0</v>
      </c>
      <c r="AD420" s="154">
        <f t="shared" si="83"/>
        <v>0</v>
      </c>
      <c r="AE420" s="157">
        <f t="shared" si="75"/>
        <v>0</v>
      </c>
    </row>
    <row r="421" spans="1:31" x14ac:dyDescent="0.2">
      <c r="A421" s="3"/>
      <c r="B421" s="164"/>
      <c r="C421" s="22"/>
      <c r="D421" s="21"/>
      <c r="E421" s="23"/>
      <c r="F421" s="10"/>
      <c r="G421" s="5">
        <f t="shared" si="76"/>
        <v>415</v>
      </c>
      <c r="H421" s="7">
        <f t="shared" si="77"/>
        <v>6</v>
      </c>
      <c r="I421" s="8">
        <f t="shared" si="72"/>
        <v>2043</v>
      </c>
      <c r="J421" s="31">
        <f>IF(K421=0,"",IF(_ijour12=0,MIN(DATE(YEAR(_debamort12),MONTH(_debamort12)+(G421-1)*_imois12,_jour12),DATE(YEAR(_debamort12),MONTH(_debamort12)+1+(G421-1)*_imois12,0)),DATE(YEAR(_debamort12),MONTH(_debamort12),_jour12+(G421-1)*_ijour12)))</f>
        <v>52413</v>
      </c>
      <c r="K421" s="156">
        <f t="shared" si="78"/>
        <v>3622.4300000000603</v>
      </c>
      <c r="L421" s="153">
        <f>IF(G421&lt;=_noeechmaxi1,ROUND(K421*'Données Projet 1 (2)'!A430,_nbdeci1t),0)</f>
        <v>5.61</v>
      </c>
      <c r="M421" s="152">
        <f>IF(OR(G421&lt;=_differe1t,G421&gt;_noeechmaxi1),IF(_difftotal1t,-L421,0),IF(G421&gt;=_noechremb1t,K421,IF('Données Projet 1 (2)'!B430-(L421*_echfixe1t)&gt;K421-2,K421,'Données Projet 1 (2)'!B430-(L421*_echfixe1t))))+B421</f>
        <v>601.30999999999995</v>
      </c>
      <c r="N421" s="154">
        <f t="shared" si="79"/>
        <v>15.6</v>
      </c>
      <c r="O421" s="157">
        <f t="shared" si="73"/>
        <v>622.52</v>
      </c>
      <c r="Q421" s="3"/>
      <c r="R421" s="164"/>
      <c r="S421" s="22"/>
      <c r="T421" s="21"/>
      <c r="U421" s="23"/>
      <c r="V421" s="10"/>
      <c r="W421" s="5" t="str">
        <f t="shared" si="80"/>
        <v/>
      </c>
      <c r="X421" s="7" t="str">
        <f t="shared" si="81"/>
        <v/>
      </c>
      <c r="Y421" s="8" t="str">
        <f t="shared" si="74"/>
        <v/>
      </c>
      <c r="Z421" s="31" t="str">
        <f>IF(AA421=0,"",IF(_ijour122=0,MIN(DATE(YEAR(_debamort122),MONTH(_debamort122)+(W421-1)*_imois122,__jou123),DATE(YEAR(_debamort122),MONTH(_debamort122)+1+(W421-1)*_imois122,0)),DATE(YEAR(_debamort122),MONTH(_debamort122),__jou123+(W421-1)*_ijour122)))</f>
        <v/>
      </c>
      <c r="AA421" s="156">
        <f t="shared" si="82"/>
        <v>0</v>
      </c>
      <c r="AB421" s="153">
        <f>IF(W421&lt;=_noechmaxi1t,ROUND(AA421*'Données Projet 1 (2)'!H430,_nbdeci1t1),0)</f>
        <v>0</v>
      </c>
      <c r="AC421" s="152">
        <f>IF(OR(W421&lt;=_differe1t1t,W421&gt;_noechmaxi1t),IF(_difftotal1t1t,-AB421,0),IF(W421&gt;=_noechremb12,AA421,IF('Données Projet 1 (2)'!I430-(AB421*_echfixe12)&gt;AA421-2,AA421,'Données Projet 1 (2)'!I430-(AB421*_echfixe12))))+R421</f>
        <v>0</v>
      </c>
      <c r="AD421" s="154">
        <f t="shared" si="83"/>
        <v>0</v>
      </c>
      <c r="AE421" s="157">
        <f t="shared" si="75"/>
        <v>0</v>
      </c>
    </row>
    <row r="422" spans="1:31" x14ac:dyDescent="0.2">
      <c r="A422" s="3"/>
      <c r="B422" s="164"/>
      <c r="C422" s="22"/>
      <c r="D422" s="21"/>
      <c r="E422" s="23"/>
      <c r="F422" s="10"/>
      <c r="G422" s="5">
        <f t="shared" si="76"/>
        <v>416</v>
      </c>
      <c r="H422" s="7">
        <f t="shared" si="77"/>
        <v>5</v>
      </c>
      <c r="I422" s="8">
        <f t="shared" si="72"/>
        <v>2043</v>
      </c>
      <c r="J422" s="31">
        <f>IF(K422=0,"",IF(_ijour12=0,MIN(DATE(YEAR(_debamort12),MONTH(_debamort12)+_MoisD+(G422-1)*_imois12,_jour212),DATE(YEAR(_debamort12),MONTH(_debamort12)+_MoisD+1+(G422-1)*_imois12,0)),DATE(YEAR(_debamort12),MONTH(_debamort12),_jour12+(G422-1)*_ijour12)))</f>
        <v>52444</v>
      </c>
      <c r="K422" s="156">
        <f t="shared" si="78"/>
        <v>3021.1200000000604</v>
      </c>
      <c r="L422" s="153">
        <f>IF(G422&lt;=_noeechmaxi1,ROUND(K422*'Données Projet 1 (2)'!A431,_nbdeci1t),0)</f>
        <v>4.68</v>
      </c>
      <c r="M422" s="152">
        <f>IF(OR(G422&lt;=_differe1t,G422&gt;_noeechmaxi1),IF(_difftotal1t,-L422,0),IF(G422&gt;=_noechremb1t,K422,IF('Données Projet 1 (2)'!B431-(L422*_echfixe1t)&gt;K422-2,K422,'Données Projet 1 (2)'!B431-(L422*_echfixe1t))))+B422</f>
        <v>602.24</v>
      </c>
      <c r="N422" s="154">
        <f t="shared" si="79"/>
        <v>15.6</v>
      </c>
      <c r="O422" s="157">
        <f t="shared" si="73"/>
        <v>622.52</v>
      </c>
      <c r="Q422" s="3"/>
      <c r="R422" s="164"/>
      <c r="S422" s="22"/>
      <c r="T422" s="21"/>
      <c r="U422" s="23"/>
      <c r="V422" s="10"/>
      <c r="W422" s="5" t="str">
        <f t="shared" si="80"/>
        <v/>
      </c>
      <c r="X422" s="7" t="str">
        <f t="shared" si="81"/>
        <v/>
      </c>
      <c r="Y422" s="8" t="str">
        <f t="shared" si="74"/>
        <v/>
      </c>
      <c r="Z422" s="31" t="str">
        <f>IF(AA422=0,"",IF(_ijour122=0,MIN(DATE(YEAR(_debamort122),MONTH(_debamort122)+_moisd12+(W422-1)*_imois122,__jou21),DATE(YEAR(_debamort122),MONTH(_debamort122)+_moisd12+1+(W422-1)*_imois122,0)),DATE(YEAR(_debamort122),MONTH(_debamort122),__jou123+(W422-1)*_ijour122)))</f>
        <v/>
      </c>
      <c r="AA422" s="156">
        <f t="shared" si="82"/>
        <v>0</v>
      </c>
      <c r="AB422" s="153">
        <f>IF(W422&lt;=_noechmaxi1t,ROUND(AA422*'Données Projet 1 (2)'!H431,_nbdeci1t1),0)</f>
        <v>0</v>
      </c>
      <c r="AC422" s="152">
        <f>IF(OR(W422&lt;=_differe1t1t,W422&gt;_noechmaxi1t),IF(_difftotal1t1t,-AB422,0),IF(W422&gt;=_noechremb12,AA422,IF('Données Projet 1 (2)'!I431-(AB422*_echfixe12)&gt;AA422-2,AA422,'Données Projet 1 (2)'!I431-(AB422*_echfixe12))))+R422</f>
        <v>0</v>
      </c>
      <c r="AD422" s="154">
        <f t="shared" si="83"/>
        <v>0</v>
      </c>
      <c r="AE422" s="157">
        <f t="shared" si="75"/>
        <v>0</v>
      </c>
    </row>
    <row r="423" spans="1:31" x14ac:dyDescent="0.2">
      <c r="A423" s="3"/>
      <c r="B423" s="164"/>
      <c r="C423" s="22"/>
      <c r="D423" s="21"/>
      <c r="E423" s="23"/>
      <c r="F423" s="10"/>
      <c r="G423" s="5">
        <f t="shared" si="76"/>
        <v>417</v>
      </c>
      <c r="H423" s="7">
        <f t="shared" si="77"/>
        <v>4</v>
      </c>
      <c r="I423" s="8">
        <f t="shared" si="72"/>
        <v>2043</v>
      </c>
      <c r="J423" s="31">
        <f>IF(K423=0,"",IF(_ijour12=0,MIN(DATE(YEAR(_debamort12),MONTH(_debamort12)+(G423-1)*_imois12,_jour12),DATE(YEAR(_debamort12),MONTH(_debamort12)+1+(G423-1)*_imois12,0)),DATE(YEAR(_debamort12),MONTH(_debamort12),_jour12+(G423-1)*_ijour12)))</f>
        <v>52475</v>
      </c>
      <c r="K423" s="156">
        <f t="shared" si="78"/>
        <v>2418.8800000000601</v>
      </c>
      <c r="L423" s="153">
        <f>IF(G423&lt;=_noeechmaxi1,ROUND(K423*'Données Projet 1 (2)'!A432,_nbdeci1t),0)</f>
        <v>3.75</v>
      </c>
      <c r="M423" s="152">
        <f>IF(OR(G423&lt;=_differe1t,G423&gt;_noeechmaxi1),IF(_difftotal1t,-L423,0),IF(G423&gt;=_noechremb1t,K423,IF('Données Projet 1 (2)'!B432-(L423*_echfixe1t)&gt;K423-2,K423,'Données Projet 1 (2)'!B432-(L423*_echfixe1t))))+B423</f>
        <v>603.16999999999996</v>
      </c>
      <c r="N423" s="154">
        <f t="shared" si="79"/>
        <v>15.6</v>
      </c>
      <c r="O423" s="157">
        <f t="shared" si="73"/>
        <v>622.52</v>
      </c>
      <c r="Q423" s="3"/>
      <c r="R423" s="164"/>
      <c r="S423" s="22"/>
      <c r="T423" s="21"/>
      <c r="U423" s="23"/>
      <c r="V423" s="10"/>
      <c r="W423" s="5" t="str">
        <f t="shared" si="80"/>
        <v/>
      </c>
      <c r="X423" s="7" t="str">
        <f t="shared" si="81"/>
        <v/>
      </c>
      <c r="Y423" s="8" t="str">
        <f t="shared" si="74"/>
        <v/>
      </c>
      <c r="Z423" s="31" t="str">
        <f>IF(AA423=0,"",IF(_ijour122=0,MIN(DATE(YEAR(_debamort122),MONTH(_debamort122)+(W423-1)*_imois122,__jou123),DATE(YEAR(_debamort122),MONTH(_debamort122)+1+(W423-1)*_imois122,0)),DATE(YEAR(_debamort122),MONTH(_debamort122),__jou123+(W423-1)*_ijour122)))</f>
        <v/>
      </c>
      <c r="AA423" s="156">
        <f t="shared" si="82"/>
        <v>0</v>
      </c>
      <c r="AB423" s="153">
        <f>IF(W423&lt;=_noechmaxi1t,ROUND(AA423*'Données Projet 1 (2)'!H432,_nbdeci1t1),0)</f>
        <v>0</v>
      </c>
      <c r="AC423" s="152">
        <f>IF(OR(W423&lt;=_differe1t1t,W423&gt;_noechmaxi1t),IF(_difftotal1t1t,-AB423,0),IF(W423&gt;=_noechremb12,AA423,IF('Données Projet 1 (2)'!I432-(AB423*_echfixe12)&gt;AA423-2,AA423,'Données Projet 1 (2)'!I432-(AB423*_echfixe12))))+R423</f>
        <v>0</v>
      </c>
      <c r="AD423" s="154">
        <f t="shared" si="83"/>
        <v>0</v>
      </c>
      <c r="AE423" s="157">
        <f t="shared" si="75"/>
        <v>0</v>
      </c>
    </row>
    <row r="424" spans="1:31" x14ac:dyDescent="0.2">
      <c r="A424" s="3"/>
      <c r="B424" s="164"/>
      <c r="C424" s="22"/>
      <c r="D424" s="21"/>
      <c r="E424" s="23"/>
      <c r="F424" s="10"/>
      <c r="G424" s="5">
        <f t="shared" si="76"/>
        <v>418</v>
      </c>
      <c r="H424" s="7">
        <f t="shared" si="77"/>
        <v>3</v>
      </c>
      <c r="I424" s="8">
        <f t="shared" si="72"/>
        <v>2043</v>
      </c>
      <c r="J424" s="31">
        <f>IF(K424=0,"",IF(_ijour12=0,MIN(DATE(YEAR(_debamort12),MONTH(_debamort12)+_MoisD+(G424-1)*_imois12,_jour212),DATE(YEAR(_debamort12),MONTH(_debamort12)+_MoisD+1+(G424-1)*_imois12,0)),DATE(YEAR(_debamort12),MONTH(_debamort12),_jour12+(G424-1)*_ijour12)))</f>
        <v>52505</v>
      </c>
      <c r="K424" s="156">
        <f t="shared" si="78"/>
        <v>1815.7100000000601</v>
      </c>
      <c r="L424" s="153">
        <f>IF(G424&lt;=_noeechmaxi1,ROUND(K424*'Données Projet 1 (2)'!A433,_nbdeci1t),0)</f>
        <v>2.81</v>
      </c>
      <c r="M424" s="152">
        <f>IF(OR(G424&lt;=_differe1t,G424&gt;_noeechmaxi1),IF(_difftotal1t,-L424,0),IF(G424&gt;=_noechremb1t,K424,IF('Données Projet 1 (2)'!B433-(L424*_echfixe1t)&gt;K424-2,K424,'Données Projet 1 (2)'!B433-(L424*_echfixe1t))))+B424</f>
        <v>604.11</v>
      </c>
      <c r="N424" s="154">
        <f t="shared" si="79"/>
        <v>15.6</v>
      </c>
      <c r="O424" s="157">
        <f t="shared" si="73"/>
        <v>622.52</v>
      </c>
      <c r="Q424" s="3"/>
      <c r="R424" s="164"/>
      <c r="S424" s="22"/>
      <c r="T424" s="21"/>
      <c r="U424" s="23"/>
      <c r="V424" s="10"/>
      <c r="W424" s="5" t="str">
        <f t="shared" si="80"/>
        <v/>
      </c>
      <c r="X424" s="7" t="str">
        <f t="shared" si="81"/>
        <v/>
      </c>
      <c r="Y424" s="8" t="str">
        <f t="shared" si="74"/>
        <v/>
      </c>
      <c r="Z424" s="31" t="str">
        <f>IF(AA424=0,"",IF(_ijour122=0,MIN(DATE(YEAR(_debamort122),MONTH(_debamort122)+_moisd12+(W424-1)*_imois122,__jou21),DATE(YEAR(_debamort122),MONTH(_debamort122)+_moisd12+1+(W424-1)*_imois122,0)),DATE(YEAR(_debamort122),MONTH(_debamort122),__jou123+(W424-1)*_ijour122)))</f>
        <v/>
      </c>
      <c r="AA424" s="156">
        <f t="shared" si="82"/>
        <v>0</v>
      </c>
      <c r="AB424" s="153">
        <f>IF(W424&lt;=_noechmaxi1t,ROUND(AA424*'Données Projet 1 (2)'!H433,_nbdeci1t1),0)</f>
        <v>0</v>
      </c>
      <c r="AC424" s="152">
        <f>IF(OR(W424&lt;=_differe1t1t,W424&gt;_noechmaxi1t),IF(_difftotal1t1t,-AB424,0),IF(W424&gt;=_noechremb12,AA424,IF('Données Projet 1 (2)'!I433-(AB424*_echfixe12)&gt;AA424-2,AA424,'Données Projet 1 (2)'!I433-(AB424*_echfixe12))))+R424</f>
        <v>0</v>
      </c>
      <c r="AD424" s="154">
        <f t="shared" si="83"/>
        <v>0</v>
      </c>
      <c r="AE424" s="157">
        <f t="shared" si="75"/>
        <v>0</v>
      </c>
    </row>
    <row r="425" spans="1:31" x14ac:dyDescent="0.2">
      <c r="A425" s="3"/>
      <c r="B425" s="164"/>
      <c r="C425" s="22"/>
      <c r="D425" s="21"/>
      <c r="E425" s="23"/>
      <c r="F425" s="10"/>
      <c r="G425" s="5">
        <f t="shared" si="76"/>
        <v>419</v>
      </c>
      <c r="H425" s="7">
        <f t="shared" si="77"/>
        <v>2</v>
      </c>
      <c r="I425" s="8">
        <f t="shared" si="72"/>
        <v>2043</v>
      </c>
      <c r="J425" s="31">
        <f>IF(K425=0,"",IF(_ijour12=0,MIN(DATE(YEAR(_debamort12),MONTH(_debamort12)+(G425-1)*_imois12,_jour12),DATE(YEAR(_debamort12),MONTH(_debamort12)+1+(G425-1)*_imois12,0)),DATE(YEAR(_debamort12),MONTH(_debamort12),_jour12+(G425-1)*_ijour12)))</f>
        <v>52536</v>
      </c>
      <c r="K425" s="156">
        <f t="shared" si="78"/>
        <v>1211.6000000000599</v>
      </c>
      <c r="L425" s="153">
        <f>IF(G425&lt;=_noeechmaxi1,ROUND(K425*'Données Projet 1 (2)'!A434,_nbdeci1t),0)</f>
        <v>1.88</v>
      </c>
      <c r="M425" s="152">
        <f>IF(OR(G425&lt;=_differe1t,G425&gt;_noeechmaxi1),IF(_difftotal1t,-L425,0),IF(G425&gt;=_noechremb1t,K425,IF('Données Projet 1 (2)'!B434-(L425*_echfixe1t)&gt;K425-2,K425,'Données Projet 1 (2)'!B434-(L425*_echfixe1t))))+B425</f>
        <v>605.04</v>
      </c>
      <c r="N425" s="154">
        <f t="shared" si="79"/>
        <v>15.6</v>
      </c>
      <c r="O425" s="157">
        <f t="shared" si="73"/>
        <v>622.52</v>
      </c>
      <c r="Q425" s="3"/>
      <c r="R425" s="164"/>
      <c r="S425" s="22"/>
      <c r="T425" s="21"/>
      <c r="U425" s="23"/>
      <c r="V425" s="10"/>
      <c r="W425" s="5" t="str">
        <f t="shared" si="80"/>
        <v/>
      </c>
      <c r="X425" s="7" t="str">
        <f t="shared" si="81"/>
        <v/>
      </c>
      <c r="Y425" s="8" t="str">
        <f t="shared" si="74"/>
        <v/>
      </c>
      <c r="Z425" s="31" t="str">
        <f>IF(AA425=0,"",IF(_ijour122=0,MIN(DATE(YEAR(_debamort122),MONTH(_debamort122)+(W425-1)*_imois122,__jou123),DATE(YEAR(_debamort122),MONTH(_debamort122)+1+(W425-1)*_imois122,0)),DATE(YEAR(_debamort122),MONTH(_debamort122),__jou123+(W425-1)*_ijour122)))</f>
        <v/>
      </c>
      <c r="AA425" s="156">
        <f t="shared" si="82"/>
        <v>0</v>
      </c>
      <c r="AB425" s="153">
        <f>IF(W425&lt;=_noechmaxi1t,ROUND(AA425*'Données Projet 1 (2)'!H434,_nbdeci1t1),0)</f>
        <v>0</v>
      </c>
      <c r="AC425" s="152">
        <f>IF(OR(W425&lt;=_differe1t1t,W425&gt;_noechmaxi1t),IF(_difftotal1t1t,-AB425,0),IF(W425&gt;=_noechremb12,AA425,IF('Données Projet 1 (2)'!I434-(AB425*_echfixe12)&gt;AA425-2,AA425,'Données Projet 1 (2)'!I434-(AB425*_echfixe12))))+R425</f>
        <v>0</v>
      </c>
      <c r="AD425" s="154">
        <f t="shared" si="83"/>
        <v>0</v>
      </c>
      <c r="AE425" s="157">
        <f t="shared" si="75"/>
        <v>0</v>
      </c>
    </row>
    <row r="426" spans="1:31" x14ac:dyDescent="0.2">
      <c r="A426" s="3"/>
      <c r="B426" s="164"/>
      <c r="C426" s="22"/>
      <c r="D426" s="21"/>
      <c r="E426" s="23"/>
      <c r="F426" s="10"/>
      <c r="G426" s="5">
        <f t="shared" si="76"/>
        <v>420</v>
      </c>
      <c r="H426" s="7">
        <f t="shared" si="77"/>
        <v>1</v>
      </c>
      <c r="I426" s="8">
        <f t="shared" si="72"/>
        <v>2043</v>
      </c>
      <c r="J426" s="31">
        <f>IF(K426=0,"",IF(_ijour12=0,MIN(DATE(YEAR(_debamort12),MONTH(_debamort12)+_MoisD+(G426-1)*_imois12,_jour212),DATE(YEAR(_debamort12),MONTH(_debamort12)+_MoisD+1+(G426-1)*_imois12,0)),DATE(YEAR(_debamort12),MONTH(_debamort12),_jour12+(G426-1)*_ijour12)))</f>
        <v>52566</v>
      </c>
      <c r="K426" s="156">
        <f t="shared" si="78"/>
        <v>606.56000000005997</v>
      </c>
      <c r="L426" s="153">
        <f>IF(G426&lt;=_noeechmaxi1,ROUND(K426*'Données Projet 1 (2)'!A435,_nbdeci1t),0)</f>
        <v>0.94</v>
      </c>
      <c r="M426" s="152">
        <f>IF(OR(G426&lt;=_differe1t,G426&gt;_noeechmaxi1),IF(_difftotal1t,-L426,0),IF(G426&gt;=_noechremb1t,K426,IF('Données Projet 1 (2)'!B435-(L426*_echfixe1t)&gt;K426-2,K426,'Données Projet 1 (2)'!B435-(L426*_echfixe1t))))+B426</f>
        <v>606.56000000005997</v>
      </c>
      <c r="N426" s="154">
        <f t="shared" si="79"/>
        <v>15.6</v>
      </c>
      <c r="O426" s="157">
        <f t="shared" si="73"/>
        <v>623.10000000006005</v>
      </c>
      <c r="Q426" s="3"/>
      <c r="R426" s="164"/>
      <c r="S426" s="22"/>
      <c r="T426" s="21"/>
      <c r="U426" s="23"/>
      <c r="V426" s="10"/>
      <c r="W426" s="5" t="str">
        <f t="shared" si="80"/>
        <v/>
      </c>
      <c r="X426" s="7" t="str">
        <f t="shared" si="81"/>
        <v/>
      </c>
      <c r="Y426" s="8" t="str">
        <f t="shared" si="74"/>
        <v/>
      </c>
      <c r="Z426" s="31" t="str">
        <f>IF(AA426=0,"",IF(_ijour122=0,MIN(DATE(YEAR(_debamort122),MONTH(_debamort122)+_moisd12+(W426-1)*_imois122,__jou21),DATE(YEAR(_debamort122),MONTH(_debamort122)+_moisd12+1+(W426-1)*_imois122,0)),DATE(YEAR(_debamort122),MONTH(_debamort122),__jou123+(W426-1)*_ijour122)))</f>
        <v/>
      </c>
      <c r="AA426" s="156">
        <f t="shared" si="82"/>
        <v>0</v>
      </c>
      <c r="AB426" s="153">
        <f>IF(W426&lt;=_noechmaxi1t,ROUND(AA426*'Données Projet 1 (2)'!H435,_nbdeci1t1),0)</f>
        <v>0</v>
      </c>
      <c r="AC426" s="152">
        <f>IF(OR(W426&lt;=_differe1t1t,W426&gt;_noechmaxi1t),IF(_difftotal1t1t,-AB426,0),IF(W426&gt;=_noechremb12,AA426,IF('Données Projet 1 (2)'!I435-(AB426*_echfixe12)&gt;AA426-2,AA426,'Données Projet 1 (2)'!I435-(AB426*_echfixe12))))+R426</f>
        <v>0</v>
      </c>
      <c r="AD426" s="154">
        <f t="shared" si="83"/>
        <v>0</v>
      </c>
      <c r="AE426" s="157">
        <f t="shared" si="75"/>
        <v>0</v>
      </c>
    </row>
    <row r="427" spans="1:31" x14ac:dyDescent="0.2">
      <c r="A427" s="3"/>
      <c r="B427" s="164"/>
      <c r="C427" s="22"/>
      <c r="D427" s="21"/>
      <c r="E427" s="23"/>
      <c r="F427" s="10"/>
      <c r="G427" s="5" t="str">
        <f t="shared" si="76"/>
        <v/>
      </c>
      <c r="H427" s="7" t="str">
        <f t="shared" si="77"/>
        <v/>
      </c>
      <c r="I427" s="8" t="str">
        <f t="shared" si="72"/>
        <v/>
      </c>
      <c r="J427" s="31" t="str">
        <f>IF(K427=0,"",IF(_ijour12=0,MIN(DATE(YEAR(_debamort12),MONTH(_debamort12)+(G427-1)*_imois12,_jour12),DATE(YEAR(_debamort12),MONTH(_debamort12)+1+(G427-1)*_imois12,0)),DATE(YEAR(_debamort12),MONTH(_debamort12),_jour12+(G427-1)*_ijour12)))</f>
        <v/>
      </c>
      <c r="K427" s="156">
        <f t="shared" si="78"/>
        <v>0</v>
      </c>
      <c r="L427" s="153">
        <f>IF(G427&lt;=_noeechmaxi1,ROUND(K427*'Données Projet 1 (2)'!A436,_nbdeci1t),0)</f>
        <v>0</v>
      </c>
      <c r="M427" s="152">
        <f>IF(OR(G427&lt;=_differe1t,G427&gt;_noeechmaxi1),IF(_difftotal1t,-L427,0),IF(G427&gt;=_noechremb1t,K427,IF('Données Projet 1 (2)'!B436-(L427*_echfixe1t)&gt;K427-2,K427,'Données Projet 1 (2)'!B436-(L427*_echfixe1t))))+B427</f>
        <v>0</v>
      </c>
      <c r="N427" s="154">
        <f t="shared" si="79"/>
        <v>0</v>
      </c>
      <c r="O427" s="157">
        <f t="shared" si="73"/>
        <v>0</v>
      </c>
      <c r="Q427" s="3"/>
      <c r="R427" s="164"/>
      <c r="S427" s="22"/>
      <c r="T427" s="21"/>
      <c r="U427" s="23"/>
      <c r="V427" s="10"/>
      <c r="W427" s="5" t="str">
        <f t="shared" si="80"/>
        <v/>
      </c>
      <c r="X427" s="7" t="str">
        <f t="shared" si="81"/>
        <v/>
      </c>
      <c r="Y427" s="8" t="str">
        <f t="shared" si="74"/>
        <v/>
      </c>
      <c r="Z427" s="31" t="str">
        <f>IF(AA427=0,"",IF(_ijour122=0,MIN(DATE(YEAR(_debamort122),MONTH(_debamort122)+(W427-1)*_imois122,__jou123),DATE(YEAR(_debamort122),MONTH(_debamort122)+1+(W427-1)*_imois122,0)),DATE(YEAR(_debamort122),MONTH(_debamort122),__jou123+(W427-1)*_ijour122)))</f>
        <v/>
      </c>
      <c r="AA427" s="156">
        <f t="shared" si="82"/>
        <v>0</v>
      </c>
      <c r="AB427" s="153">
        <f>IF(W427&lt;=_noechmaxi1t,ROUND(AA427*'Données Projet 1 (2)'!H436,_nbdeci1t1),0)</f>
        <v>0</v>
      </c>
      <c r="AC427" s="152">
        <f>IF(OR(W427&lt;=_differe1t1t,W427&gt;_noechmaxi1t),IF(_difftotal1t1t,-AB427,0),IF(W427&gt;=_noechremb12,AA427,IF('Données Projet 1 (2)'!I436-(AB427*_echfixe12)&gt;AA427-2,AA427,'Données Projet 1 (2)'!I436-(AB427*_echfixe12))))+R427</f>
        <v>0</v>
      </c>
      <c r="AD427" s="154">
        <f t="shared" si="83"/>
        <v>0</v>
      </c>
      <c r="AE427" s="157">
        <f t="shared" si="75"/>
        <v>0</v>
      </c>
    </row>
    <row r="428" spans="1:31" x14ac:dyDescent="0.2">
      <c r="A428" s="3"/>
      <c r="B428" s="164"/>
      <c r="C428" s="22"/>
      <c r="D428" s="21"/>
      <c r="E428" s="23"/>
      <c r="F428" s="10"/>
      <c r="G428" s="5" t="str">
        <f t="shared" si="76"/>
        <v/>
      </c>
      <c r="H428" s="7" t="str">
        <f t="shared" si="77"/>
        <v/>
      </c>
      <c r="I428" s="8" t="str">
        <f t="shared" si="72"/>
        <v/>
      </c>
      <c r="J428" s="31" t="str">
        <f>IF(K428=0,"",IF(_ijour12=0,MIN(DATE(YEAR(_debamort12),MONTH(_debamort12)+_MoisD+(G428-1)*_imois12,_jour212),DATE(YEAR(_debamort12),MONTH(_debamort12)+_MoisD+1+(G428-1)*_imois12,0)),DATE(YEAR(_debamort12),MONTH(_debamort12),_jour12+(G428-1)*_ijour12)))</f>
        <v/>
      </c>
      <c r="K428" s="156">
        <f t="shared" si="78"/>
        <v>0</v>
      </c>
      <c r="L428" s="153">
        <f>IF(G428&lt;=_noeechmaxi1,ROUND(K428*'Données Projet 1 (2)'!A437,_nbdeci1t),0)</f>
        <v>0</v>
      </c>
      <c r="M428" s="152">
        <f>IF(OR(G428&lt;=_differe1t,G428&gt;_noeechmaxi1),IF(_difftotal1t,-L428,0),IF(G428&gt;=_noechremb1t,K428,IF('Données Projet 1 (2)'!B437-(L428*_echfixe1t)&gt;K428-2,K428,'Données Projet 1 (2)'!B437-(L428*_echfixe1t))))+B428</f>
        <v>0</v>
      </c>
      <c r="N428" s="154">
        <f t="shared" si="79"/>
        <v>0</v>
      </c>
      <c r="O428" s="157">
        <f t="shared" si="73"/>
        <v>0</v>
      </c>
      <c r="Q428" s="3"/>
      <c r="R428" s="164"/>
      <c r="S428" s="22"/>
      <c r="T428" s="21"/>
      <c r="U428" s="23"/>
      <c r="V428" s="10"/>
      <c r="W428" s="5" t="str">
        <f t="shared" si="80"/>
        <v/>
      </c>
      <c r="X428" s="7" t="str">
        <f t="shared" si="81"/>
        <v/>
      </c>
      <c r="Y428" s="8" t="str">
        <f t="shared" si="74"/>
        <v/>
      </c>
      <c r="Z428" s="31" t="str">
        <f>IF(AA428=0,"",IF(_ijour122=0,MIN(DATE(YEAR(_debamort122),MONTH(_debamort122)+_moisd12+(W428-1)*_imois122,__jou21),DATE(YEAR(_debamort122),MONTH(_debamort122)+_moisd12+1+(W428-1)*_imois122,0)),DATE(YEAR(_debamort122),MONTH(_debamort122),__jou123+(W428-1)*_ijour122)))</f>
        <v/>
      </c>
      <c r="AA428" s="156">
        <f t="shared" si="82"/>
        <v>0</v>
      </c>
      <c r="AB428" s="153">
        <f>IF(W428&lt;=_noechmaxi1t,ROUND(AA428*'Données Projet 1 (2)'!H437,_nbdeci1t1),0)</f>
        <v>0</v>
      </c>
      <c r="AC428" s="152">
        <f>IF(OR(W428&lt;=_differe1t1t,W428&gt;_noechmaxi1t),IF(_difftotal1t1t,-AB428,0),IF(W428&gt;=_noechremb12,AA428,IF('Données Projet 1 (2)'!I437-(AB428*_echfixe12)&gt;AA428-2,AA428,'Données Projet 1 (2)'!I437-(AB428*_echfixe12))))+R428</f>
        <v>0</v>
      </c>
      <c r="AD428" s="154">
        <f t="shared" si="83"/>
        <v>0</v>
      </c>
      <c r="AE428" s="157">
        <f t="shared" si="75"/>
        <v>0</v>
      </c>
    </row>
    <row r="429" spans="1:31" x14ac:dyDescent="0.2">
      <c r="A429" s="3"/>
      <c r="B429" s="164"/>
      <c r="C429" s="22"/>
      <c r="D429" s="21"/>
      <c r="E429" s="23"/>
      <c r="F429" s="10"/>
      <c r="G429" s="5" t="str">
        <f t="shared" si="76"/>
        <v/>
      </c>
      <c r="H429" s="7" t="str">
        <f t="shared" si="77"/>
        <v/>
      </c>
      <c r="I429" s="8" t="str">
        <f t="shared" si="72"/>
        <v/>
      </c>
      <c r="J429" s="31" t="str">
        <f>IF(K429=0,"",IF(_ijour12=0,MIN(DATE(YEAR(_debamort12),MONTH(_debamort12)+(G429-1)*_imois12,_jour12),DATE(YEAR(_debamort12),MONTH(_debamort12)+1+(G429-1)*_imois12,0)),DATE(YEAR(_debamort12),MONTH(_debamort12),_jour12+(G429-1)*_ijour12)))</f>
        <v/>
      </c>
      <c r="K429" s="156">
        <f t="shared" si="78"/>
        <v>0</v>
      </c>
      <c r="L429" s="153">
        <f>IF(G429&lt;=_noeechmaxi1,ROUND(K429*'Données Projet 1 (2)'!A438,_nbdeci1t),0)</f>
        <v>0</v>
      </c>
      <c r="M429" s="152">
        <f>IF(OR(G429&lt;=_differe1t,G429&gt;_noeechmaxi1),IF(_difftotal1t,-L429,0),IF(G429&gt;=_noechremb1t,K429,IF('Données Projet 1 (2)'!B438-(L429*_echfixe1t)&gt;K429-2,K429,'Données Projet 1 (2)'!B438-(L429*_echfixe1t))))+B429</f>
        <v>0</v>
      </c>
      <c r="N429" s="154">
        <f t="shared" si="79"/>
        <v>0</v>
      </c>
      <c r="O429" s="157">
        <f t="shared" si="73"/>
        <v>0</v>
      </c>
      <c r="Q429" s="3"/>
      <c r="R429" s="164"/>
      <c r="S429" s="22"/>
      <c r="T429" s="21"/>
      <c r="U429" s="23"/>
      <c r="V429" s="10"/>
      <c r="W429" s="5" t="str">
        <f t="shared" si="80"/>
        <v/>
      </c>
      <c r="X429" s="7" t="str">
        <f t="shared" si="81"/>
        <v/>
      </c>
      <c r="Y429" s="8" t="str">
        <f t="shared" si="74"/>
        <v/>
      </c>
      <c r="Z429" s="31" t="str">
        <f>IF(AA429=0,"",IF(_ijour122=0,MIN(DATE(YEAR(_debamort122),MONTH(_debamort122)+(W429-1)*_imois122,__jou123),DATE(YEAR(_debamort122),MONTH(_debamort122)+1+(W429-1)*_imois122,0)),DATE(YEAR(_debamort122),MONTH(_debamort122),__jou123+(W429-1)*_ijour122)))</f>
        <v/>
      </c>
      <c r="AA429" s="156">
        <f t="shared" si="82"/>
        <v>0</v>
      </c>
      <c r="AB429" s="153">
        <f>IF(W429&lt;=_noechmaxi1t,ROUND(AA429*'Données Projet 1 (2)'!H438,_nbdeci1t1),0)</f>
        <v>0</v>
      </c>
      <c r="AC429" s="152">
        <f>IF(OR(W429&lt;=_differe1t1t,W429&gt;_noechmaxi1t),IF(_difftotal1t1t,-AB429,0),IF(W429&gt;=_noechremb12,AA429,IF('Données Projet 1 (2)'!I438-(AB429*_echfixe12)&gt;AA429-2,AA429,'Données Projet 1 (2)'!I438-(AB429*_echfixe12))))+R429</f>
        <v>0</v>
      </c>
      <c r="AD429" s="154">
        <f t="shared" si="83"/>
        <v>0</v>
      </c>
      <c r="AE429" s="157">
        <f t="shared" si="75"/>
        <v>0</v>
      </c>
    </row>
    <row r="430" spans="1:31" x14ac:dyDescent="0.2">
      <c r="A430" s="3"/>
      <c r="B430" s="164"/>
      <c r="C430" s="22"/>
      <c r="D430" s="21"/>
      <c r="E430" s="23"/>
      <c r="F430" s="10"/>
      <c r="G430" s="5" t="str">
        <f t="shared" si="76"/>
        <v/>
      </c>
      <c r="H430" s="7" t="str">
        <f t="shared" si="77"/>
        <v/>
      </c>
      <c r="I430" s="8" t="str">
        <f t="shared" si="72"/>
        <v/>
      </c>
      <c r="J430" s="31" t="str">
        <f>IF(K430=0,"",IF(_ijour12=0,MIN(DATE(YEAR(_debamort12),MONTH(_debamort12)+_MoisD+(G430-1)*_imois12,_jour212),DATE(YEAR(_debamort12),MONTH(_debamort12)+_MoisD+1+(G430-1)*_imois12,0)),DATE(YEAR(_debamort12),MONTH(_debamort12),_jour12+(G430-1)*_ijour12)))</f>
        <v/>
      </c>
      <c r="K430" s="156">
        <f t="shared" si="78"/>
        <v>0</v>
      </c>
      <c r="L430" s="153">
        <f>IF(G430&lt;=_noeechmaxi1,ROUND(K430*'Données Projet 1 (2)'!A439,_nbdeci1t),0)</f>
        <v>0</v>
      </c>
      <c r="M430" s="152">
        <f>IF(OR(G430&lt;=_differe1t,G430&gt;_noeechmaxi1),IF(_difftotal1t,-L430,0),IF(G430&gt;=_noechremb1t,K430,IF('Données Projet 1 (2)'!B439-(L430*_echfixe1t)&gt;K430-2,K430,'Données Projet 1 (2)'!B439-(L430*_echfixe1t))))+B430</f>
        <v>0</v>
      </c>
      <c r="N430" s="154">
        <f t="shared" si="79"/>
        <v>0</v>
      </c>
      <c r="O430" s="157">
        <f t="shared" si="73"/>
        <v>0</v>
      </c>
      <c r="Q430" s="3"/>
      <c r="R430" s="164"/>
      <c r="S430" s="22"/>
      <c r="T430" s="21"/>
      <c r="U430" s="23"/>
      <c r="V430" s="10"/>
      <c r="W430" s="5" t="str">
        <f t="shared" si="80"/>
        <v/>
      </c>
      <c r="X430" s="7" t="str">
        <f t="shared" si="81"/>
        <v/>
      </c>
      <c r="Y430" s="8" t="str">
        <f t="shared" si="74"/>
        <v/>
      </c>
      <c r="Z430" s="31" t="str">
        <f>IF(AA430=0,"",IF(_ijour122=0,MIN(DATE(YEAR(_debamort122),MONTH(_debamort122)+_moisd12+(W430-1)*_imois122,__jou21),DATE(YEAR(_debamort122),MONTH(_debamort122)+_moisd12+1+(W430-1)*_imois122,0)),DATE(YEAR(_debamort122),MONTH(_debamort122),__jou123+(W430-1)*_ijour122)))</f>
        <v/>
      </c>
      <c r="AA430" s="156">
        <f t="shared" si="82"/>
        <v>0</v>
      </c>
      <c r="AB430" s="153">
        <f>IF(W430&lt;=_noechmaxi1t,ROUND(AA430*'Données Projet 1 (2)'!H439,_nbdeci1t1),0)</f>
        <v>0</v>
      </c>
      <c r="AC430" s="152">
        <f>IF(OR(W430&lt;=_differe1t1t,W430&gt;_noechmaxi1t),IF(_difftotal1t1t,-AB430,0),IF(W430&gt;=_noechremb12,AA430,IF('Données Projet 1 (2)'!I439-(AB430*_echfixe12)&gt;AA430-2,AA430,'Données Projet 1 (2)'!I439-(AB430*_echfixe12))))+R430</f>
        <v>0</v>
      </c>
      <c r="AD430" s="154">
        <f t="shared" si="83"/>
        <v>0</v>
      </c>
      <c r="AE430" s="157">
        <f t="shared" si="75"/>
        <v>0</v>
      </c>
    </row>
    <row r="431" spans="1:31" x14ac:dyDescent="0.2">
      <c r="A431" s="3"/>
      <c r="B431" s="164"/>
      <c r="C431" s="22"/>
      <c r="D431" s="21"/>
      <c r="E431" s="23"/>
      <c r="F431" s="10"/>
      <c r="G431" s="5" t="str">
        <f t="shared" si="76"/>
        <v/>
      </c>
      <c r="H431" s="7" t="str">
        <f t="shared" si="77"/>
        <v/>
      </c>
      <c r="I431" s="8" t="str">
        <f t="shared" si="72"/>
        <v/>
      </c>
      <c r="J431" s="31" t="str">
        <f>IF(K431=0,"",IF(_ijour12=0,MIN(DATE(YEAR(_debamort12),MONTH(_debamort12)+(G431-1)*_imois12,_jour12),DATE(YEAR(_debamort12),MONTH(_debamort12)+1+(G431-1)*_imois12,0)),DATE(YEAR(_debamort12),MONTH(_debamort12),_jour12+(G431-1)*_ijour12)))</f>
        <v/>
      </c>
      <c r="K431" s="156">
        <f t="shared" si="78"/>
        <v>0</v>
      </c>
      <c r="L431" s="153">
        <f>IF(G431&lt;=_noeechmaxi1,ROUND(K431*'Données Projet 1 (2)'!A440,_nbdeci1t),0)</f>
        <v>0</v>
      </c>
      <c r="M431" s="152">
        <f>IF(OR(G431&lt;=_differe1t,G431&gt;_noeechmaxi1),IF(_difftotal1t,-L431,0),IF(G431&gt;=_noechremb1t,K431,IF('Données Projet 1 (2)'!B440-(L431*_echfixe1t)&gt;K431-2,K431,'Données Projet 1 (2)'!B440-(L431*_echfixe1t))))+B431</f>
        <v>0</v>
      </c>
      <c r="N431" s="154">
        <f t="shared" si="79"/>
        <v>0</v>
      </c>
      <c r="O431" s="157">
        <f t="shared" si="73"/>
        <v>0</v>
      </c>
      <c r="Q431" s="3"/>
      <c r="R431" s="164"/>
      <c r="S431" s="22"/>
      <c r="T431" s="21"/>
      <c r="U431" s="23"/>
      <c r="V431" s="10"/>
      <c r="W431" s="5" t="str">
        <f t="shared" si="80"/>
        <v/>
      </c>
      <c r="X431" s="7" t="str">
        <f t="shared" si="81"/>
        <v/>
      </c>
      <c r="Y431" s="8" t="str">
        <f t="shared" si="74"/>
        <v/>
      </c>
      <c r="Z431" s="31" t="str">
        <f>IF(AA431=0,"",IF(_ijour122=0,MIN(DATE(YEAR(_debamort122),MONTH(_debamort122)+(W431-1)*_imois122,__jou123),DATE(YEAR(_debamort122),MONTH(_debamort122)+1+(W431-1)*_imois122,0)),DATE(YEAR(_debamort122),MONTH(_debamort122),__jou123+(W431-1)*_ijour122)))</f>
        <v/>
      </c>
      <c r="AA431" s="156">
        <f t="shared" si="82"/>
        <v>0</v>
      </c>
      <c r="AB431" s="153">
        <f>IF(W431&lt;=_noechmaxi1t,ROUND(AA431*'Données Projet 1 (2)'!H440,_nbdeci1t1),0)</f>
        <v>0</v>
      </c>
      <c r="AC431" s="152">
        <f>IF(OR(W431&lt;=_differe1t1t,W431&gt;_noechmaxi1t),IF(_difftotal1t1t,-AB431,0),IF(W431&gt;=_noechremb12,AA431,IF('Données Projet 1 (2)'!I440-(AB431*_echfixe12)&gt;AA431-2,AA431,'Données Projet 1 (2)'!I440-(AB431*_echfixe12))))+R431</f>
        <v>0</v>
      </c>
      <c r="AD431" s="154">
        <f t="shared" si="83"/>
        <v>0</v>
      </c>
      <c r="AE431" s="157">
        <f t="shared" si="75"/>
        <v>0</v>
      </c>
    </row>
    <row r="432" spans="1:31" x14ac:dyDescent="0.2">
      <c r="A432" s="3"/>
      <c r="B432" s="164"/>
      <c r="C432" s="22"/>
      <c r="D432" s="21"/>
      <c r="E432" s="23"/>
      <c r="F432" s="10"/>
      <c r="G432" s="5" t="str">
        <f t="shared" si="76"/>
        <v/>
      </c>
      <c r="H432" s="7" t="str">
        <f t="shared" si="77"/>
        <v/>
      </c>
      <c r="I432" s="8" t="str">
        <f t="shared" si="72"/>
        <v/>
      </c>
      <c r="J432" s="31" t="str">
        <f>IF(K432=0,"",IF(_ijour12=0,MIN(DATE(YEAR(_debamort12),MONTH(_debamort12)+_MoisD+(G432-1)*_imois12,_jour212),DATE(YEAR(_debamort12),MONTH(_debamort12)+_MoisD+1+(G432-1)*_imois12,0)),DATE(YEAR(_debamort12),MONTH(_debamort12),_jour12+(G432-1)*_ijour12)))</f>
        <v/>
      </c>
      <c r="K432" s="156">
        <f t="shared" si="78"/>
        <v>0</v>
      </c>
      <c r="L432" s="153">
        <f>IF(G432&lt;=_noeechmaxi1,ROUND(K432*'Données Projet 1 (2)'!A441,_nbdeci1t),0)</f>
        <v>0</v>
      </c>
      <c r="M432" s="152">
        <f>IF(OR(G432&lt;=_differe1t,G432&gt;_noeechmaxi1),IF(_difftotal1t,-L432,0),IF(G432&gt;=_noechremb1t,K432,IF('Données Projet 1 (2)'!B441-(L432*_echfixe1t)&gt;K432-2,K432,'Données Projet 1 (2)'!B441-(L432*_echfixe1t))))+B432</f>
        <v>0</v>
      </c>
      <c r="N432" s="154">
        <f t="shared" si="79"/>
        <v>0</v>
      </c>
      <c r="O432" s="157">
        <f t="shared" si="73"/>
        <v>0</v>
      </c>
      <c r="Q432" s="3"/>
      <c r="R432" s="164"/>
      <c r="S432" s="22"/>
      <c r="T432" s="21"/>
      <c r="U432" s="23"/>
      <c r="V432" s="10"/>
      <c r="W432" s="5" t="str">
        <f t="shared" si="80"/>
        <v/>
      </c>
      <c r="X432" s="7" t="str">
        <f t="shared" si="81"/>
        <v/>
      </c>
      <c r="Y432" s="8" t="str">
        <f t="shared" si="74"/>
        <v/>
      </c>
      <c r="Z432" s="31" t="str">
        <f>IF(AA432=0,"",IF(_ijour122=0,MIN(DATE(YEAR(_debamort122),MONTH(_debamort122)+_moisd12+(W432-1)*_imois122,__jou21),DATE(YEAR(_debamort122),MONTH(_debamort122)+_moisd12+1+(W432-1)*_imois122,0)),DATE(YEAR(_debamort122),MONTH(_debamort122),__jou123+(W432-1)*_ijour122)))</f>
        <v/>
      </c>
      <c r="AA432" s="156">
        <f t="shared" si="82"/>
        <v>0</v>
      </c>
      <c r="AB432" s="153">
        <f>IF(W432&lt;=_noechmaxi1t,ROUND(AA432*'Données Projet 1 (2)'!H441,_nbdeci1t1),0)</f>
        <v>0</v>
      </c>
      <c r="AC432" s="152">
        <f>IF(OR(W432&lt;=_differe1t1t,W432&gt;_noechmaxi1t),IF(_difftotal1t1t,-AB432,0),IF(W432&gt;=_noechremb12,AA432,IF('Données Projet 1 (2)'!I441-(AB432*_echfixe12)&gt;AA432-2,AA432,'Données Projet 1 (2)'!I441-(AB432*_echfixe12))))+R432</f>
        <v>0</v>
      </c>
      <c r="AD432" s="154">
        <f t="shared" si="83"/>
        <v>0</v>
      </c>
      <c r="AE432" s="157">
        <f t="shared" si="75"/>
        <v>0</v>
      </c>
    </row>
    <row r="433" spans="1:31" x14ac:dyDescent="0.2">
      <c r="A433" s="3"/>
      <c r="B433" s="164"/>
      <c r="C433" s="22"/>
      <c r="D433" s="21"/>
      <c r="E433" s="23"/>
      <c r="F433" s="10"/>
      <c r="G433" s="5" t="str">
        <f t="shared" si="76"/>
        <v/>
      </c>
      <c r="H433" s="7" t="str">
        <f t="shared" si="77"/>
        <v/>
      </c>
      <c r="I433" s="8" t="str">
        <f t="shared" si="72"/>
        <v/>
      </c>
      <c r="J433" s="31" t="str">
        <f>IF(K433=0,"",IF(_ijour12=0,MIN(DATE(YEAR(_debamort12),MONTH(_debamort12)+(G433-1)*_imois12,_jour12),DATE(YEAR(_debamort12),MONTH(_debamort12)+1+(G433-1)*_imois12,0)),DATE(YEAR(_debamort12),MONTH(_debamort12),_jour12+(G433-1)*_ijour12)))</f>
        <v/>
      </c>
      <c r="K433" s="156">
        <f t="shared" si="78"/>
        <v>0</v>
      </c>
      <c r="L433" s="153">
        <f>IF(G433&lt;=_noeechmaxi1,ROUND(K433*'Données Projet 1 (2)'!A442,_nbdeci1t),0)</f>
        <v>0</v>
      </c>
      <c r="M433" s="152">
        <f>IF(OR(G433&lt;=_differe1t,G433&gt;_noeechmaxi1),IF(_difftotal1t,-L433,0),IF(G433&gt;=_noechremb1t,K433,IF('Données Projet 1 (2)'!B442-(L433*_echfixe1t)&gt;K433-2,K433,'Données Projet 1 (2)'!B442-(L433*_echfixe1t))))+B433</f>
        <v>0</v>
      </c>
      <c r="N433" s="154">
        <f t="shared" si="79"/>
        <v>0</v>
      </c>
      <c r="O433" s="157">
        <f t="shared" si="73"/>
        <v>0</v>
      </c>
      <c r="Q433" s="3"/>
      <c r="R433" s="164"/>
      <c r="S433" s="22"/>
      <c r="T433" s="21"/>
      <c r="U433" s="23"/>
      <c r="V433" s="10"/>
      <c r="W433" s="5" t="str">
        <f t="shared" si="80"/>
        <v/>
      </c>
      <c r="X433" s="7" t="str">
        <f t="shared" si="81"/>
        <v/>
      </c>
      <c r="Y433" s="8" t="str">
        <f t="shared" si="74"/>
        <v/>
      </c>
      <c r="Z433" s="31" t="str">
        <f>IF(AA433=0,"",IF(_ijour122=0,MIN(DATE(YEAR(_debamort122),MONTH(_debamort122)+(W433-1)*_imois122,__jou123),DATE(YEAR(_debamort122),MONTH(_debamort122)+1+(W433-1)*_imois122,0)),DATE(YEAR(_debamort122),MONTH(_debamort122),__jou123+(W433-1)*_ijour122)))</f>
        <v/>
      </c>
      <c r="AA433" s="156">
        <f t="shared" si="82"/>
        <v>0</v>
      </c>
      <c r="AB433" s="153">
        <f>IF(W433&lt;=_noechmaxi1t,ROUND(AA433*'Données Projet 1 (2)'!H442,_nbdeci1t1),0)</f>
        <v>0</v>
      </c>
      <c r="AC433" s="152">
        <f>IF(OR(W433&lt;=_differe1t1t,W433&gt;_noechmaxi1t),IF(_difftotal1t1t,-AB433,0),IF(W433&gt;=_noechremb12,AA433,IF('Données Projet 1 (2)'!I442-(AB433*_echfixe12)&gt;AA433-2,AA433,'Données Projet 1 (2)'!I442-(AB433*_echfixe12))))+R433</f>
        <v>0</v>
      </c>
      <c r="AD433" s="154">
        <f t="shared" si="83"/>
        <v>0</v>
      </c>
      <c r="AE433" s="157">
        <f t="shared" si="75"/>
        <v>0</v>
      </c>
    </row>
    <row r="434" spans="1:31" x14ac:dyDescent="0.2">
      <c r="A434" s="3"/>
      <c r="B434" s="164"/>
      <c r="C434" s="22"/>
      <c r="D434" s="21"/>
      <c r="E434" s="23"/>
      <c r="F434" s="10"/>
      <c r="G434" s="5" t="str">
        <f t="shared" si="76"/>
        <v/>
      </c>
      <c r="H434" s="7" t="str">
        <f t="shared" si="77"/>
        <v/>
      </c>
      <c r="I434" s="8" t="str">
        <f t="shared" si="72"/>
        <v/>
      </c>
      <c r="J434" s="31" t="str">
        <f>IF(K434=0,"",IF(_ijour12=0,MIN(DATE(YEAR(_debamort12),MONTH(_debamort12)+_MoisD+(G434-1)*_imois12,_jour212),DATE(YEAR(_debamort12),MONTH(_debamort12)+_MoisD+1+(G434-1)*_imois12,0)),DATE(YEAR(_debamort12),MONTH(_debamort12),_jour12+(G434-1)*_ijour12)))</f>
        <v/>
      </c>
      <c r="K434" s="156">
        <f t="shared" si="78"/>
        <v>0</v>
      </c>
      <c r="L434" s="153">
        <f>IF(G434&lt;=_noeechmaxi1,ROUND(K434*'Données Projet 1 (2)'!A443,_nbdeci1t),0)</f>
        <v>0</v>
      </c>
      <c r="M434" s="152">
        <f>IF(OR(G434&lt;=_differe1t,G434&gt;_noeechmaxi1),IF(_difftotal1t,-L434,0),IF(G434&gt;=_noechremb1t,K434,IF('Données Projet 1 (2)'!B443-(L434*_echfixe1t)&gt;K434-2,K434,'Données Projet 1 (2)'!B443-(L434*_echfixe1t))))+B434</f>
        <v>0</v>
      </c>
      <c r="N434" s="154">
        <f t="shared" si="79"/>
        <v>0</v>
      </c>
      <c r="O434" s="157">
        <f t="shared" si="73"/>
        <v>0</v>
      </c>
      <c r="Q434" s="3"/>
      <c r="R434" s="164"/>
      <c r="S434" s="22"/>
      <c r="T434" s="21"/>
      <c r="U434" s="23"/>
      <c r="V434" s="10"/>
      <c r="W434" s="5" t="str">
        <f t="shared" si="80"/>
        <v/>
      </c>
      <c r="X434" s="7" t="str">
        <f t="shared" si="81"/>
        <v/>
      </c>
      <c r="Y434" s="8" t="str">
        <f t="shared" si="74"/>
        <v/>
      </c>
      <c r="Z434" s="31" t="str">
        <f>IF(AA434=0,"",IF(_ijour122=0,MIN(DATE(YEAR(_debamort122),MONTH(_debamort122)+_moisd12+(W434-1)*_imois122,__jou21),DATE(YEAR(_debamort122),MONTH(_debamort122)+_moisd12+1+(W434-1)*_imois122,0)),DATE(YEAR(_debamort122),MONTH(_debamort122),__jou123+(W434-1)*_ijour122)))</f>
        <v/>
      </c>
      <c r="AA434" s="156">
        <f t="shared" si="82"/>
        <v>0</v>
      </c>
      <c r="AB434" s="153">
        <f>IF(W434&lt;=_noechmaxi1t,ROUND(AA434*'Données Projet 1 (2)'!H443,_nbdeci1t1),0)</f>
        <v>0</v>
      </c>
      <c r="AC434" s="152">
        <f>IF(OR(W434&lt;=_differe1t1t,W434&gt;_noechmaxi1t),IF(_difftotal1t1t,-AB434,0),IF(W434&gt;=_noechremb12,AA434,IF('Données Projet 1 (2)'!I443-(AB434*_echfixe12)&gt;AA434-2,AA434,'Données Projet 1 (2)'!I443-(AB434*_echfixe12))))+R434</f>
        <v>0</v>
      </c>
      <c r="AD434" s="154">
        <f t="shared" si="83"/>
        <v>0</v>
      </c>
      <c r="AE434" s="157">
        <f t="shared" si="75"/>
        <v>0</v>
      </c>
    </row>
    <row r="435" spans="1:31" x14ac:dyDescent="0.2">
      <c r="A435" s="3"/>
      <c r="B435" s="164"/>
      <c r="C435" s="22"/>
      <c r="D435" s="21"/>
      <c r="E435" s="23"/>
      <c r="F435" s="10"/>
      <c r="G435" s="5" t="str">
        <f t="shared" si="76"/>
        <v/>
      </c>
      <c r="H435" s="7" t="str">
        <f t="shared" si="77"/>
        <v/>
      </c>
      <c r="I435" s="8" t="str">
        <f t="shared" si="72"/>
        <v/>
      </c>
      <c r="J435" s="31" t="str">
        <f>IF(K435=0,"",IF(_ijour12=0,MIN(DATE(YEAR(_debamort12),MONTH(_debamort12)+(G435-1)*_imois12,_jour12),DATE(YEAR(_debamort12),MONTH(_debamort12)+1+(G435-1)*_imois12,0)),DATE(YEAR(_debamort12),MONTH(_debamort12),_jour12+(G435-1)*_ijour12)))</f>
        <v/>
      </c>
      <c r="K435" s="156">
        <f t="shared" si="78"/>
        <v>0</v>
      </c>
      <c r="L435" s="153">
        <f>IF(G435&lt;=_noeechmaxi1,ROUND(K435*'Données Projet 1 (2)'!A444,_nbdeci1t),0)</f>
        <v>0</v>
      </c>
      <c r="M435" s="152">
        <f>IF(OR(G435&lt;=_differe1t,G435&gt;_noeechmaxi1),IF(_difftotal1t,-L435,0),IF(G435&gt;=_noechremb1t,K435,IF('Données Projet 1 (2)'!B444-(L435*_echfixe1t)&gt;K435-2,K435,'Données Projet 1 (2)'!B444-(L435*_echfixe1t))))+B435</f>
        <v>0</v>
      </c>
      <c r="N435" s="154">
        <f t="shared" si="79"/>
        <v>0</v>
      </c>
      <c r="O435" s="157">
        <f t="shared" si="73"/>
        <v>0</v>
      </c>
      <c r="Q435" s="3"/>
      <c r="R435" s="164"/>
      <c r="S435" s="22"/>
      <c r="T435" s="21"/>
      <c r="U435" s="23"/>
      <c r="V435" s="10"/>
      <c r="W435" s="5" t="str">
        <f t="shared" si="80"/>
        <v/>
      </c>
      <c r="X435" s="7" t="str">
        <f t="shared" si="81"/>
        <v/>
      </c>
      <c r="Y435" s="8" t="str">
        <f t="shared" si="74"/>
        <v/>
      </c>
      <c r="Z435" s="31" t="str">
        <f>IF(AA435=0,"",IF(_ijour122=0,MIN(DATE(YEAR(_debamort122),MONTH(_debamort122)+(W435-1)*_imois122,__jou123),DATE(YEAR(_debamort122),MONTH(_debamort122)+1+(W435-1)*_imois122,0)),DATE(YEAR(_debamort122),MONTH(_debamort122),__jou123+(W435-1)*_ijour122)))</f>
        <v/>
      </c>
      <c r="AA435" s="156">
        <f t="shared" si="82"/>
        <v>0</v>
      </c>
      <c r="AB435" s="153">
        <f>IF(W435&lt;=_noechmaxi1t,ROUND(AA435*'Données Projet 1 (2)'!H444,_nbdeci1t1),0)</f>
        <v>0</v>
      </c>
      <c r="AC435" s="152">
        <f>IF(OR(W435&lt;=_differe1t1t,W435&gt;_noechmaxi1t),IF(_difftotal1t1t,-AB435,0),IF(W435&gt;=_noechremb12,AA435,IF('Données Projet 1 (2)'!I444-(AB435*_echfixe12)&gt;AA435-2,AA435,'Données Projet 1 (2)'!I444-(AB435*_echfixe12))))+R435</f>
        <v>0</v>
      </c>
      <c r="AD435" s="154">
        <f t="shared" si="83"/>
        <v>0</v>
      </c>
      <c r="AE435" s="157">
        <f t="shared" si="75"/>
        <v>0</v>
      </c>
    </row>
    <row r="436" spans="1:31" x14ac:dyDescent="0.2">
      <c r="A436" s="3"/>
      <c r="B436" s="164"/>
      <c r="C436" s="22"/>
      <c r="D436" s="21"/>
      <c r="E436" s="23"/>
      <c r="F436" s="10"/>
      <c r="G436" s="5" t="str">
        <f t="shared" si="76"/>
        <v/>
      </c>
      <c r="H436" s="7" t="str">
        <f t="shared" si="77"/>
        <v/>
      </c>
      <c r="I436" s="8" t="str">
        <f t="shared" si="72"/>
        <v/>
      </c>
      <c r="J436" s="31" t="str">
        <f>IF(K436=0,"",IF(_ijour12=0,MIN(DATE(YEAR(_debamort12),MONTH(_debamort12)+_MoisD+(G436-1)*_imois12,_jour212),DATE(YEAR(_debamort12),MONTH(_debamort12)+_MoisD+1+(G436-1)*_imois12,0)),DATE(YEAR(_debamort12),MONTH(_debamort12),_jour12+(G436-1)*_ijour12)))</f>
        <v/>
      </c>
      <c r="K436" s="156">
        <f t="shared" si="78"/>
        <v>0</v>
      </c>
      <c r="L436" s="153">
        <f>IF(G436&lt;=_noeechmaxi1,ROUND(K436*'Données Projet 1 (2)'!A445,_nbdeci1t),0)</f>
        <v>0</v>
      </c>
      <c r="M436" s="152">
        <f>IF(OR(G436&lt;=_differe1t,G436&gt;_noeechmaxi1),IF(_difftotal1t,-L436,0),IF(G436&gt;=_noechremb1t,K436,IF('Données Projet 1 (2)'!B445-(L436*_echfixe1t)&gt;K436-2,K436,'Données Projet 1 (2)'!B445-(L436*_echfixe1t))))+B436</f>
        <v>0</v>
      </c>
      <c r="N436" s="154">
        <f t="shared" si="79"/>
        <v>0</v>
      </c>
      <c r="O436" s="157">
        <f t="shared" si="73"/>
        <v>0</v>
      </c>
      <c r="Q436" s="3"/>
      <c r="R436" s="164"/>
      <c r="S436" s="22"/>
      <c r="T436" s="21"/>
      <c r="U436" s="23"/>
      <c r="V436" s="10"/>
      <c r="W436" s="5" t="str">
        <f t="shared" si="80"/>
        <v/>
      </c>
      <c r="X436" s="7" t="str">
        <f t="shared" si="81"/>
        <v/>
      </c>
      <c r="Y436" s="8" t="str">
        <f t="shared" si="74"/>
        <v/>
      </c>
      <c r="Z436" s="31" t="str">
        <f>IF(AA436=0,"",IF(_ijour122=0,MIN(DATE(YEAR(_debamort122),MONTH(_debamort122)+_moisd12+(W436-1)*_imois122,__jou21),DATE(YEAR(_debamort122),MONTH(_debamort122)+_moisd12+1+(W436-1)*_imois122,0)),DATE(YEAR(_debamort122),MONTH(_debamort122),__jou123+(W436-1)*_ijour122)))</f>
        <v/>
      </c>
      <c r="AA436" s="156">
        <f t="shared" si="82"/>
        <v>0</v>
      </c>
      <c r="AB436" s="153">
        <f>IF(W436&lt;=_noechmaxi1t,ROUND(AA436*'Données Projet 1 (2)'!H445,_nbdeci1t1),0)</f>
        <v>0</v>
      </c>
      <c r="AC436" s="152">
        <f>IF(OR(W436&lt;=_differe1t1t,W436&gt;_noechmaxi1t),IF(_difftotal1t1t,-AB436,0),IF(W436&gt;=_noechremb12,AA436,IF('Données Projet 1 (2)'!I445-(AB436*_echfixe12)&gt;AA436-2,AA436,'Données Projet 1 (2)'!I445-(AB436*_echfixe12))))+R436</f>
        <v>0</v>
      </c>
      <c r="AD436" s="154">
        <f t="shared" si="83"/>
        <v>0</v>
      </c>
      <c r="AE436" s="157">
        <f t="shared" si="75"/>
        <v>0</v>
      </c>
    </row>
    <row r="437" spans="1:31" x14ac:dyDescent="0.2">
      <c r="A437" s="3"/>
      <c r="B437" s="164"/>
      <c r="C437" s="22"/>
      <c r="D437" s="21"/>
      <c r="E437" s="23"/>
      <c r="F437" s="10"/>
      <c r="G437" s="5" t="str">
        <f t="shared" si="76"/>
        <v/>
      </c>
      <c r="H437" s="7" t="str">
        <f t="shared" si="77"/>
        <v/>
      </c>
      <c r="I437" s="8" t="str">
        <f t="shared" si="72"/>
        <v/>
      </c>
      <c r="J437" s="31" t="str">
        <f>IF(K437=0,"",IF(_ijour12=0,MIN(DATE(YEAR(_debamort12),MONTH(_debamort12)+(G437-1)*_imois12,_jour12),DATE(YEAR(_debamort12),MONTH(_debamort12)+1+(G437-1)*_imois12,0)),DATE(YEAR(_debamort12),MONTH(_debamort12),_jour12+(G437-1)*_ijour12)))</f>
        <v/>
      </c>
      <c r="K437" s="156">
        <f t="shared" si="78"/>
        <v>0</v>
      </c>
      <c r="L437" s="153">
        <f>IF(G437&lt;=_noeechmaxi1,ROUND(K437*'Données Projet 1 (2)'!A446,_nbdeci1t),0)</f>
        <v>0</v>
      </c>
      <c r="M437" s="152">
        <f>IF(OR(G437&lt;=_differe1t,G437&gt;_noeechmaxi1),IF(_difftotal1t,-L437,0),IF(G437&gt;=_noechremb1t,K437,IF('Données Projet 1 (2)'!B446-(L437*_echfixe1t)&gt;K437-2,K437,'Données Projet 1 (2)'!B446-(L437*_echfixe1t))))+B437</f>
        <v>0</v>
      </c>
      <c r="N437" s="154">
        <f t="shared" si="79"/>
        <v>0</v>
      </c>
      <c r="O437" s="157">
        <f t="shared" si="73"/>
        <v>0</v>
      </c>
      <c r="Q437" s="3"/>
      <c r="R437" s="164"/>
      <c r="S437" s="22"/>
      <c r="T437" s="21"/>
      <c r="U437" s="23"/>
      <c r="V437" s="10"/>
      <c r="W437" s="5" t="str">
        <f t="shared" si="80"/>
        <v/>
      </c>
      <c r="X437" s="7" t="str">
        <f t="shared" si="81"/>
        <v/>
      </c>
      <c r="Y437" s="8" t="str">
        <f t="shared" si="74"/>
        <v/>
      </c>
      <c r="Z437" s="31" t="str">
        <f>IF(AA437=0,"",IF(_ijour122=0,MIN(DATE(YEAR(_debamort122),MONTH(_debamort122)+(W437-1)*_imois122,__jou123),DATE(YEAR(_debamort122),MONTH(_debamort122)+1+(W437-1)*_imois122,0)),DATE(YEAR(_debamort122),MONTH(_debamort122),__jou123+(W437-1)*_ijour122)))</f>
        <v/>
      </c>
      <c r="AA437" s="156">
        <f t="shared" si="82"/>
        <v>0</v>
      </c>
      <c r="AB437" s="153">
        <f>IF(W437&lt;=_noechmaxi1t,ROUND(AA437*'Données Projet 1 (2)'!H446,_nbdeci1t1),0)</f>
        <v>0</v>
      </c>
      <c r="AC437" s="152">
        <f>IF(OR(W437&lt;=_differe1t1t,W437&gt;_noechmaxi1t),IF(_difftotal1t1t,-AB437,0),IF(W437&gt;=_noechremb12,AA437,IF('Données Projet 1 (2)'!I446-(AB437*_echfixe12)&gt;AA437-2,AA437,'Données Projet 1 (2)'!I446-(AB437*_echfixe12))))+R437</f>
        <v>0</v>
      </c>
      <c r="AD437" s="154">
        <f t="shared" si="83"/>
        <v>0</v>
      </c>
      <c r="AE437" s="157">
        <f t="shared" si="75"/>
        <v>0</v>
      </c>
    </row>
    <row r="438" spans="1:31" x14ac:dyDescent="0.2">
      <c r="A438" s="3"/>
      <c r="B438" s="164"/>
      <c r="C438" s="22"/>
      <c r="D438" s="21"/>
      <c r="E438" s="23"/>
      <c r="F438" s="10"/>
      <c r="G438" s="5" t="str">
        <f t="shared" si="76"/>
        <v/>
      </c>
      <c r="H438" s="7" t="str">
        <f t="shared" si="77"/>
        <v/>
      </c>
      <c r="I438" s="8" t="str">
        <f t="shared" si="72"/>
        <v/>
      </c>
      <c r="J438" s="31" t="str">
        <f>IF(K438=0,"",IF(_ijour12=0,MIN(DATE(YEAR(_debamort12),MONTH(_debamort12)+_MoisD+(G438-1)*_imois12,_jour212),DATE(YEAR(_debamort12),MONTH(_debamort12)+_MoisD+1+(G438-1)*_imois12,0)),DATE(YEAR(_debamort12),MONTH(_debamort12),_jour12+(G438-1)*_ijour12)))</f>
        <v/>
      </c>
      <c r="K438" s="156">
        <f t="shared" si="78"/>
        <v>0</v>
      </c>
      <c r="L438" s="153">
        <f>IF(G438&lt;=_noeechmaxi1,ROUND(K438*'Données Projet 1 (2)'!A447,_nbdeci1t),0)</f>
        <v>0</v>
      </c>
      <c r="M438" s="152">
        <f>IF(OR(G438&lt;=_differe1t,G438&gt;_noeechmaxi1),IF(_difftotal1t,-L438,0),IF(G438&gt;=_noechremb1t,K438,IF('Données Projet 1 (2)'!B447-(L438*_echfixe1t)&gt;K438-2,K438,'Données Projet 1 (2)'!B447-(L438*_echfixe1t))))+B438</f>
        <v>0</v>
      </c>
      <c r="N438" s="154">
        <f t="shared" si="79"/>
        <v>0</v>
      </c>
      <c r="O438" s="157">
        <f t="shared" si="73"/>
        <v>0</v>
      </c>
      <c r="Q438" s="3"/>
      <c r="R438" s="164"/>
      <c r="S438" s="22"/>
      <c r="T438" s="21"/>
      <c r="U438" s="23"/>
      <c r="V438" s="10"/>
      <c r="W438" s="5" t="str">
        <f t="shared" si="80"/>
        <v/>
      </c>
      <c r="X438" s="7" t="str">
        <f t="shared" si="81"/>
        <v/>
      </c>
      <c r="Y438" s="8" t="str">
        <f t="shared" si="74"/>
        <v/>
      </c>
      <c r="Z438" s="31" t="str">
        <f>IF(AA438=0,"",IF(_ijour122=0,MIN(DATE(YEAR(_debamort122),MONTH(_debamort122)+_moisd12+(W438-1)*_imois122,__jou21),DATE(YEAR(_debamort122),MONTH(_debamort122)+_moisd12+1+(W438-1)*_imois122,0)),DATE(YEAR(_debamort122),MONTH(_debamort122),__jou123+(W438-1)*_ijour122)))</f>
        <v/>
      </c>
      <c r="AA438" s="156">
        <f t="shared" si="82"/>
        <v>0</v>
      </c>
      <c r="AB438" s="153">
        <f>IF(W438&lt;=_noechmaxi1t,ROUND(AA438*'Données Projet 1 (2)'!H447,_nbdeci1t1),0)</f>
        <v>0</v>
      </c>
      <c r="AC438" s="152">
        <f>IF(OR(W438&lt;=_differe1t1t,W438&gt;_noechmaxi1t),IF(_difftotal1t1t,-AB438,0),IF(W438&gt;=_noechremb12,AA438,IF('Données Projet 1 (2)'!I447-(AB438*_echfixe12)&gt;AA438-2,AA438,'Données Projet 1 (2)'!I447-(AB438*_echfixe12))))+R438</f>
        <v>0</v>
      </c>
      <c r="AD438" s="154">
        <f t="shared" si="83"/>
        <v>0</v>
      </c>
      <c r="AE438" s="157">
        <f t="shared" si="75"/>
        <v>0</v>
      </c>
    </row>
    <row r="439" spans="1:31" ht="13.5" thickBot="1" x14ac:dyDescent="0.25">
      <c r="A439" s="4"/>
      <c r="B439" s="165"/>
      <c r="C439" s="25"/>
      <c r="D439" s="24"/>
      <c r="E439" s="26"/>
      <c r="F439" s="10"/>
      <c r="G439" s="6" t="str">
        <f t="shared" si="76"/>
        <v/>
      </c>
      <c r="H439" s="9" t="str">
        <f t="shared" si="77"/>
        <v/>
      </c>
      <c r="I439" s="9" t="str">
        <f t="shared" si="72"/>
        <v/>
      </c>
      <c r="J439" s="32" t="str">
        <f>IF(K439=0,"",IF(_ijour12=0,MIN(DATE(YEAR(_debamort12),MONTH(_debamort12)+(G439-1)*_imois12,_jour12),DATE(YEAR(_debamort12),MONTH(_debamort12)+1+(G439-1)*_imois12,0)),DATE(YEAR(_debamort12),MONTH(_debamort12),_jour12+(G439-1)*_ijour12)))</f>
        <v/>
      </c>
      <c r="K439" s="158">
        <f t="shared" si="78"/>
        <v>0</v>
      </c>
      <c r="L439" s="159">
        <f>IF(G439&lt;=_noeechmaxi1,ROUND(K439*'Données Projet 1 (2)'!A448,_nbdeci1t),0)</f>
        <v>0</v>
      </c>
      <c r="M439" s="158">
        <f>IF(OR(G439&lt;=_differe1t,G439&gt;_noeechmaxi1),IF(_difftotal1t,-L439,0),IF(G439&gt;=_noechremb1t,K439,IF('Données Projet 1 (2)'!B448-(L439*_echfixe1t)&gt;K439-2,K439,'Données Projet 1 (2)'!B448-(L439*_echfixe1t))))+B439</f>
        <v>0</v>
      </c>
      <c r="N439" s="160">
        <f t="shared" si="79"/>
        <v>0</v>
      </c>
      <c r="O439" s="161">
        <f t="shared" si="73"/>
        <v>0</v>
      </c>
      <c r="Q439" s="4"/>
      <c r="R439" s="165"/>
      <c r="S439" s="25"/>
      <c r="T439" s="24"/>
      <c r="U439" s="26"/>
      <c r="V439" s="10"/>
      <c r="W439" s="6" t="str">
        <f t="shared" si="80"/>
        <v/>
      </c>
      <c r="X439" s="9" t="str">
        <f t="shared" si="81"/>
        <v/>
      </c>
      <c r="Y439" s="9" t="str">
        <f t="shared" si="74"/>
        <v/>
      </c>
      <c r="Z439" s="32" t="str">
        <f>IF(AA439=0,"",IF(_ijour122=0,MIN(DATE(YEAR(_debamort122),MONTH(_debamort122)+(W439-1)*_imois122,__jou123),DATE(YEAR(_debamort122),MONTH(_debamort122)+1+(W439-1)*_imois122,0)),DATE(YEAR(_debamort122),MONTH(_debamort122),__jou123+(W439-1)*_ijour122)))</f>
        <v/>
      </c>
      <c r="AA439" s="158">
        <f t="shared" si="82"/>
        <v>0</v>
      </c>
      <c r="AB439" s="159">
        <f>IF(W439&lt;=_noechmaxi1t,ROUND(AA439*'Données Projet 1 (2)'!H448,_nbdeci1t1),0)</f>
        <v>0</v>
      </c>
      <c r="AC439" s="158">
        <f>IF(OR(W439&lt;=_differe1t1t,W439&gt;_noechmaxi1t),IF(_difftotal1t1t,-AB439,0),IF(W439&gt;=_noechremb12,AA439,IF('Données Projet 1 (2)'!I448-(AB439*_echfixe12)&gt;AA439-2,AA439,'Données Projet 1 (2)'!I448-(AB439*_echfixe12))))+R439</f>
        <v>0</v>
      </c>
      <c r="AD439" s="160">
        <f t="shared" si="83"/>
        <v>0</v>
      </c>
      <c r="AE439" s="161">
        <f t="shared" si="75"/>
        <v>0</v>
      </c>
    </row>
    <row r="440" spans="1:31" x14ac:dyDescent="0.2">
      <c r="A440" s="11"/>
      <c r="B440" s="12"/>
      <c r="C440" s="10"/>
      <c r="D440" s="12"/>
      <c r="E440" s="12"/>
      <c r="F440" s="10"/>
      <c r="G440" s="10"/>
      <c r="H440" s="10"/>
      <c r="I440" s="27"/>
      <c r="J440" s="10"/>
      <c r="K440" s="10"/>
      <c r="L440" s="10"/>
      <c r="M440" s="10"/>
      <c r="N440" s="10"/>
      <c r="O440" s="10"/>
      <c r="Q440" s="11"/>
      <c r="R440" s="12"/>
      <c r="S440" s="10"/>
      <c r="T440" s="12"/>
      <c r="U440" s="12"/>
      <c r="V440" s="10"/>
      <c r="W440" s="10"/>
      <c r="X440" s="10"/>
      <c r="Y440" s="27"/>
      <c r="Z440" s="10"/>
      <c r="AA440" s="10"/>
      <c r="AB440" s="10"/>
      <c r="AC440" s="10"/>
      <c r="AD440" s="10"/>
      <c r="AE440" s="10"/>
    </row>
    <row r="441" spans="1:31" x14ac:dyDescent="0.2">
      <c r="A441" s="11"/>
      <c r="B441" s="12"/>
      <c r="C441" s="10"/>
      <c r="D441" s="12"/>
      <c r="E441" s="12"/>
      <c r="F441" s="10"/>
      <c r="G441" s="10"/>
      <c r="H441" s="10"/>
      <c r="I441" s="27"/>
      <c r="J441" s="111" t="s">
        <v>80</v>
      </c>
      <c r="K441" s="111"/>
      <c r="L441" s="166">
        <f>SUBTOTAL(9,L6:L439)</f>
        <v>67656.980000000141</v>
      </c>
      <c r="M441" s="166">
        <f>SUBTOTAL(9,M6:M439)</f>
        <v>0</v>
      </c>
      <c r="N441" s="166">
        <f>SUBTOTAL(9,N6:N439)</f>
        <v>6552.0000000000409</v>
      </c>
      <c r="O441" s="166">
        <f>SUBTOTAL(9,O6:O439)</f>
        <v>74208.979999999297</v>
      </c>
      <c r="Q441" s="11"/>
      <c r="R441" s="12"/>
      <c r="S441" s="10"/>
      <c r="T441" s="12"/>
      <c r="U441" s="12"/>
      <c r="V441" s="10"/>
      <c r="W441" s="10"/>
      <c r="X441" s="10"/>
      <c r="Y441" s="27"/>
      <c r="Z441" s="111" t="s">
        <v>80</v>
      </c>
      <c r="AA441" s="111"/>
      <c r="AB441" s="166">
        <f>SUBTOTAL(9,AB6:AB439)</f>
        <v>28800</v>
      </c>
      <c r="AC441" s="166">
        <f>SUBTOTAL(9,AC6:AC439)</f>
        <v>0</v>
      </c>
      <c r="AD441" s="166">
        <f>SUBTOTAL(9,AD6:AD439)</f>
        <v>2880</v>
      </c>
      <c r="AE441" s="166">
        <f>SUBTOTAL(9,AE6:AE439)</f>
        <v>31680</v>
      </c>
    </row>
  </sheetData>
  <mergeCells count="30">
    <mergeCell ref="C6:D6"/>
    <mergeCell ref="S6:T6"/>
    <mergeCell ref="AD3:AD5"/>
    <mergeCell ref="AE3:AE5"/>
    <mergeCell ref="A4:A5"/>
    <mergeCell ref="B4:B5"/>
    <mergeCell ref="C4:C5"/>
    <mergeCell ref="D4:D5"/>
    <mergeCell ref="E4:E5"/>
    <mergeCell ref="Q4:Q5"/>
    <mergeCell ref="R4:R5"/>
    <mergeCell ref="S4:S5"/>
    <mergeCell ref="O3:O5"/>
    <mergeCell ref="X3:X5"/>
    <mergeCell ref="Z3:Z5"/>
    <mergeCell ref="AA3:AA5"/>
    <mergeCell ref="AB3:AB5"/>
    <mergeCell ref="AC3:AC5"/>
    <mergeCell ref="T4:T5"/>
    <mergeCell ref="U4:U5"/>
    <mergeCell ref="A2:E2"/>
    <mergeCell ref="G2:O2"/>
    <mergeCell ref="Q2:U2"/>
    <mergeCell ref="W2:AE2"/>
    <mergeCell ref="H3:H5"/>
    <mergeCell ref="J3:J5"/>
    <mergeCell ref="K3:K5"/>
    <mergeCell ref="L3:L5"/>
    <mergeCell ref="M3:M5"/>
    <mergeCell ref="N3:N5"/>
  </mergeCells>
  <conditionalFormatting sqref="G7:O439">
    <cfRule type="expression" dxfId="16" priority="5" stopIfTrue="1">
      <formula>$H7=""</formula>
    </cfRule>
    <cfRule type="expression" dxfId="15" priority="6" stopIfTrue="1">
      <formula>$H7&lt;=_differe1t</formula>
    </cfRule>
  </conditionalFormatting>
  <conditionalFormatting sqref="A7:E439">
    <cfRule type="expression" dxfId="14" priority="7" stopIfTrue="1">
      <formula>$H7=""</formula>
    </cfRule>
    <cfRule type="expression" dxfId="13" priority="8" stopIfTrue="1">
      <formula>$H7&lt;=_differe1t</formula>
    </cfRule>
  </conditionalFormatting>
  <conditionalFormatting sqref="W7:AE439">
    <cfRule type="expression" dxfId="12" priority="1" stopIfTrue="1">
      <formula>$H7=""</formula>
    </cfRule>
    <cfRule type="expression" dxfId="11" priority="2" stopIfTrue="1">
      <formula>$H7&lt;=_differe1t1t</formula>
    </cfRule>
  </conditionalFormatting>
  <conditionalFormatting sqref="Q7:U439">
    <cfRule type="expression" dxfId="10" priority="3" stopIfTrue="1">
      <formula>$H7=""</formula>
    </cfRule>
    <cfRule type="expression" dxfId="9" priority="4" stopIfTrue="1">
      <formula>$H7&lt;=_differe1t1t</formula>
    </cfRule>
  </conditionalFormatting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5">
    <tabColor indexed="22"/>
  </sheetPr>
  <dimension ref="B1:I37"/>
  <sheetViews>
    <sheetView showGridLines="0" topLeftCell="A4" workbookViewId="0">
      <selection activeCell="D12" sqref="D12:D13"/>
    </sheetView>
  </sheetViews>
  <sheetFormatPr baseColWidth="10" defaultRowHeight="12.75" x14ac:dyDescent="0.2"/>
  <cols>
    <col min="1" max="1" width="4.7109375" customWidth="1"/>
    <col min="2" max="7" width="12.7109375" customWidth="1"/>
    <col min="9" max="9" width="11.7109375" style="10" hidden="1" customWidth="1"/>
  </cols>
  <sheetData>
    <row r="1" spans="2:9" x14ac:dyDescent="0.2">
      <c r="I1" s="10" t="s">
        <v>73</v>
      </c>
    </row>
    <row r="2" spans="2:9" x14ac:dyDescent="0.2">
      <c r="B2" s="71" t="s">
        <v>42</v>
      </c>
      <c r="C2" s="72"/>
      <c r="D2" s="72"/>
      <c r="E2" s="72"/>
      <c r="F2" s="78"/>
      <c r="G2" s="79"/>
      <c r="I2" s="10" t="s">
        <v>74</v>
      </c>
    </row>
    <row r="3" spans="2:9" x14ac:dyDescent="0.2">
      <c r="B3" s="56" t="s">
        <v>37</v>
      </c>
      <c r="C3" s="57"/>
      <c r="D3" s="104">
        <v>2</v>
      </c>
      <c r="E3" s="57"/>
      <c r="F3" s="57"/>
      <c r="G3" s="58"/>
      <c r="I3" s="10" t="s">
        <v>75</v>
      </c>
    </row>
    <row r="4" spans="2:9" x14ac:dyDescent="0.2">
      <c r="B4" s="81"/>
      <c r="C4" s="81"/>
      <c r="D4" s="81"/>
      <c r="E4" s="81"/>
      <c r="F4" s="81"/>
      <c r="G4" s="81"/>
      <c r="I4" s="10" t="s">
        <v>76</v>
      </c>
    </row>
    <row r="5" spans="2:9" x14ac:dyDescent="0.2">
      <c r="B5" s="71" t="s">
        <v>47</v>
      </c>
      <c r="C5" s="72"/>
      <c r="D5" s="72"/>
      <c r="E5" s="72"/>
      <c r="F5" s="72"/>
      <c r="G5" s="73"/>
    </row>
    <row r="6" spans="2:9" x14ac:dyDescent="0.2">
      <c r="B6" s="51"/>
      <c r="C6" s="52"/>
      <c r="D6" s="52"/>
      <c r="E6" s="52"/>
      <c r="F6" s="52"/>
      <c r="G6" s="53"/>
    </row>
    <row r="7" spans="2:9" x14ac:dyDescent="0.2">
      <c r="B7" s="54"/>
      <c r="C7" s="50"/>
      <c r="D7" s="50"/>
      <c r="E7" s="50"/>
      <c r="F7" s="50"/>
      <c r="G7" s="55"/>
    </row>
    <row r="8" spans="2:9" x14ac:dyDescent="0.2">
      <c r="B8" s="54"/>
      <c r="C8" s="50"/>
      <c r="D8" s="50"/>
      <c r="E8" s="50"/>
      <c r="F8" s="50"/>
      <c r="G8" s="55"/>
    </row>
    <row r="9" spans="2:9" x14ac:dyDescent="0.2">
      <c r="B9" s="80"/>
      <c r="C9" s="76"/>
      <c r="D9" s="76"/>
      <c r="E9" s="76"/>
      <c r="F9" s="76"/>
      <c r="G9" s="77"/>
      <c r="I9" s="106">
        <v>1</v>
      </c>
    </row>
    <row r="10" spans="2:9" x14ac:dyDescent="0.2">
      <c r="B10" s="81"/>
      <c r="C10" s="81"/>
      <c r="D10" s="81"/>
      <c r="E10" s="81"/>
      <c r="F10" s="81"/>
      <c r="G10" s="81"/>
    </row>
    <row r="11" spans="2:9" x14ac:dyDescent="0.2">
      <c r="B11" s="71" t="s">
        <v>40</v>
      </c>
      <c r="C11" s="72"/>
      <c r="D11" s="72"/>
      <c r="E11" s="72"/>
      <c r="F11" s="78"/>
      <c r="G11" s="79"/>
    </row>
    <row r="12" spans="2:9" x14ac:dyDescent="0.2">
      <c r="B12" s="51"/>
      <c r="C12" s="52"/>
      <c r="D12" s="52"/>
      <c r="E12" s="52"/>
      <c r="F12" s="52"/>
      <c r="G12" s="53"/>
      <c r="I12" s="107" t="b">
        <v>0</v>
      </c>
    </row>
    <row r="13" spans="2:9" x14ac:dyDescent="0.2">
      <c r="B13" s="54"/>
      <c r="C13" s="50"/>
      <c r="D13" s="50"/>
      <c r="E13" s="50"/>
      <c r="F13" s="50"/>
      <c r="G13" s="55"/>
    </row>
    <row r="14" spans="2:9" x14ac:dyDescent="0.2">
      <c r="B14" s="54"/>
      <c r="C14" s="63" t="s">
        <v>38</v>
      </c>
      <c r="D14" s="104"/>
      <c r="E14" s="50" t="s">
        <v>46</v>
      </c>
      <c r="F14" s="105"/>
      <c r="G14" s="55" t="s">
        <v>39</v>
      </c>
    </row>
    <row r="15" spans="2:9" x14ac:dyDescent="0.2">
      <c r="B15" s="54"/>
      <c r="C15" s="50"/>
      <c r="D15" s="50"/>
      <c r="E15" s="50"/>
      <c r="F15" s="50"/>
      <c r="G15" s="55"/>
      <c r="I15" s="108" t="b">
        <v>0</v>
      </c>
    </row>
    <row r="16" spans="2:9" x14ac:dyDescent="0.2">
      <c r="B16" s="54"/>
      <c r="C16" s="50"/>
      <c r="D16" s="50"/>
      <c r="E16" s="50"/>
      <c r="F16" s="50"/>
      <c r="G16" s="55"/>
    </row>
    <row r="17" spans="2:9" x14ac:dyDescent="0.2">
      <c r="B17" s="80"/>
      <c r="C17" s="76"/>
      <c r="D17" s="59">
        <f>IF(I12=TRUE,(D14*12+F14)*_nbechan1t/12,99999)</f>
        <v>99999</v>
      </c>
      <c r="E17" s="59">
        <f>IF(AND(I12,I15),(D14*12+F14)*_nbechan1t/12,99999)</f>
        <v>99999</v>
      </c>
      <c r="F17" s="76"/>
      <c r="G17" s="77"/>
    </row>
    <row r="19" spans="2:9" x14ac:dyDescent="0.2">
      <c r="B19" s="71" t="s">
        <v>41</v>
      </c>
      <c r="C19" s="72"/>
      <c r="D19" s="72"/>
      <c r="E19" s="72"/>
      <c r="F19" s="72"/>
      <c r="G19" s="73"/>
    </row>
    <row r="20" spans="2:9" x14ac:dyDescent="0.2">
      <c r="B20" s="60"/>
      <c r="C20" s="61"/>
      <c r="D20" s="61"/>
      <c r="E20" s="61"/>
      <c r="F20" s="50"/>
      <c r="G20" s="55"/>
    </row>
    <row r="21" spans="2:9" x14ac:dyDescent="0.2">
      <c r="B21" s="67" t="s">
        <v>48</v>
      </c>
      <c r="C21" s="65"/>
      <c r="D21" s="75">
        <f>_debamort12</f>
        <v>39814</v>
      </c>
      <c r="E21" s="61"/>
      <c r="F21" s="50"/>
      <c r="G21" s="55"/>
    </row>
    <row r="22" spans="2:9" x14ac:dyDescent="0.2">
      <c r="B22" s="54" t="s">
        <v>49</v>
      </c>
      <c r="C22" s="50"/>
      <c r="D22" s="62">
        <f>IF(_ijour12=0,MIN(DATE(YEAR(_debamort12),MONTH(_debamort12)-_MoisD-_imois12,_jour212),DATE(YEAR(_debamort12),MONTH(_debamort12)-_MoisD+1-_imois12,0)),DATE(YEAR(_debamort12),MONTH(_debamort12),_jour12-_ijour12))</f>
        <v>39783</v>
      </c>
      <c r="E22" s="86" t="str">
        <f>"   (Durée période : "&amp;F37&amp;" jours)"</f>
        <v xml:space="preserve">   (Durée période : 31 jours)</v>
      </c>
      <c r="F22" s="84"/>
      <c r="G22" s="85"/>
    </row>
    <row r="23" spans="2:9" x14ac:dyDescent="0.2">
      <c r="B23" s="54" t="s">
        <v>50</v>
      </c>
      <c r="C23" s="50"/>
      <c r="D23" s="74">
        <f>D22+I23-500</f>
        <v>39787</v>
      </c>
      <c r="E23" s="86" t="str">
        <f>"   (Durée période : "&amp;G37&amp;" jours)"</f>
        <v xml:space="preserve">   (Durée période : 27 jours)</v>
      </c>
      <c r="F23" s="84"/>
      <c r="G23" s="55"/>
      <c r="I23" s="109">
        <v>504</v>
      </c>
    </row>
    <row r="24" spans="2:9" x14ac:dyDescent="0.2">
      <c r="B24" s="60"/>
      <c r="C24" s="61"/>
      <c r="D24" s="61"/>
      <c r="E24" s="61"/>
      <c r="F24" s="50"/>
      <c r="G24" s="55"/>
    </row>
    <row r="25" spans="2:9" x14ac:dyDescent="0.2">
      <c r="B25" s="60"/>
      <c r="C25" s="61"/>
      <c r="D25" s="61"/>
      <c r="E25" s="61"/>
      <c r="F25" s="50"/>
      <c r="G25" s="55"/>
    </row>
    <row r="26" spans="2:9" x14ac:dyDescent="0.2">
      <c r="B26" s="60"/>
      <c r="C26" s="61"/>
      <c r="D26" s="61"/>
      <c r="E26" s="61"/>
      <c r="F26" s="50"/>
      <c r="G26" s="55"/>
    </row>
    <row r="27" spans="2:9" x14ac:dyDescent="0.2">
      <c r="B27" s="60"/>
      <c r="C27" s="61"/>
      <c r="D27" s="61"/>
      <c r="E27" s="61"/>
      <c r="F27" s="50"/>
      <c r="G27" s="55"/>
      <c r="I27" s="110">
        <v>1</v>
      </c>
    </row>
    <row r="28" spans="2:9" x14ac:dyDescent="0.2">
      <c r="B28" s="60"/>
      <c r="C28" s="61"/>
      <c r="D28" s="61"/>
      <c r="E28" s="61"/>
      <c r="F28" s="50"/>
      <c r="G28" s="55"/>
    </row>
    <row r="29" spans="2:9" x14ac:dyDescent="0.2">
      <c r="B29" s="60"/>
      <c r="C29" s="61"/>
      <c r="D29" s="61"/>
      <c r="E29" s="61"/>
      <c r="F29" s="50"/>
      <c r="G29" s="55"/>
    </row>
    <row r="30" spans="2:9" x14ac:dyDescent="0.2">
      <c r="B30" s="60"/>
      <c r="C30" s="61"/>
      <c r="D30" s="61"/>
      <c r="E30" s="61"/>
      <c r="F30" s="50"/>
      <c r="G30" s="55"/>
    </row>
    <row r="31" spans="2:9" x14ac:dyDescent="0.2">
      <c r="B31" s="60"/>
      <c r="C31" s="61"/>
      <c r="D31" s="61"/>
      <c r="E31" s="61"/>
      <c r="F31" s="50"/>
      <c r="G31" s="55"/>
    </row>
    <row r="32" spans="2:9" x14ac:dyDescent="0.2">
      <c r="B32" s="64"/>
      <c r="C32" s="65"/>
      <c r="D32" s="66" t="s">
        <v>43</v>
      </c>
      <c r="E32" s="66" t="s">
        <v>44</v>
      </c>
      <c r="F32" s="66" t="s">
        <v>45</v>
      </c>
      <c r="G32" s="179"/>
    </row>
    <row r="33" spans="2:7" x14ac:dyDescent="0.2">
      <c r="B33" s="67" t="s">
        <v>51</v>
      </c>
      <c r="C33" s="65"/>
      <c r="D33" s="68">
        <f>D22</f>
        <v>39783</v>
      </c>
      <c r="E33" s="68">
        <f>D23</f>
        <v>39787</v>
      </c>
      <c r="F33" s="68">
        <f>D23</f>
        <v>39787</v>
      </c>
      <c r="G33" s="180"/>
    </row>
    <row r="34" spans="2:7" x14ac:dyDescent="0.2">
      <c r="B34" s="67" t="s">
        <v>52</v>
      </c>
      <c r="C34" s="65"/>
      <c r="D34" s="167">
        <f>ROUND('Tableaux amortissement proj (2'!K7*'Données Projet 1 (2)'!A16,_nbdeci1t)</f>
        <v>290.24</v>
      </c>
      <c r="E34" s="167">
        <f>IF(_tauxactuariel1t,
ROUND('Tableaux amortissement proj (2'!K7*((('TAM Projet 1 (2)'!N5+1)^(G37/365))-1),_nbdeci1t),
ROUND('Tableaux amortissement proj (2'!K7*('TAM Projet 1 (2)'!N5*G37/365),_nbdeci1t))</f>
        <v>257.64</v>
      </c>
      <c r="F34" s="178"/>
      <c r="G34" s="181"/>
    </row>
    <row r="35" spans="2:7" x14ac:dyDescent="0.2">
      <c r="B35" s="67" t="s">
        <v>53</v>
      </c>
      <c r="C35" s="65"/>
      <c r="D35" s="167">
        <f>IF(1&lt;=_differe1t,IF(_difftotal1t,-D34,0),'Données Projet 1 (2)'!B16-(D34*_echfixe1t))</f>
        <v>316.67999999999995</v>
      </c>
      <c r="E35" s="167">
        <f>IF(AND(1&lt;=_differe1t,_difftotal1t),-E34,D35)</f>
        <v>316.67999999999995</v>
      </c>
      <c r="F35" s="178"/>
      <c r="G35" s="181"/>
    </row>
    <row r="36" spans="2:7" x14ac:dyDescent="0.2">
      <c r="B36" s="67" t="s">
        <v>54</v>
      </c>
      <c r="C36" s="65"/>
      <c r="D36" s="167">
        <f>D34+D35</f>
        <v>606.91999999999996</v>
      </c>
      <c r="E36" s="167">
        <f>E34+E35</f>
        <v>574.31999999999994</v>
      </c>
      <c r="F36" s="167">
        <f>F34+F35</f>
        <v>0</v>
      </c>
      <c r="G36" s="181"/>
    </row>
    <row r="37" spans="2:7" x14ac:dyDescent="0.2">
      <c r="B37" s="80"/>
      <c r="C37" s="69">
        <f>IF(I27=1,D22,D23)</f>
        <v>39783</v>
      </c>
      <c r="D37" s="70">
        <f>IF(I27=1,D34)+IF(I27=2,E34)+IF(I27=3,F34)</f>
        <v>290.24</v>
      </c>
      <c r="E37" s="70">
        <f>IF(I27=1,D35)+IF(I27=2,E35)+IF(I27=3,F35)</f>
        <v>316.67999999999995</v>
      </c>
      <c r="F37" s="82">
        <f>D21-D22</f>
        <v>31</v>
      </c>
      <c r="G37" s="83">
        <f>D21-D23</f>
        <v>27</v>
      </c>
    </row>
  </sheetData>
  <sheetProtection selectLockedCells="1" pivotTables="0"/>
  <conditionalFormatting sqref="D33:D36">
    <cfRule type="expression" dxfId="8" priority="1" stopIfTrue="1">
      <formula>$I$27=1</formula>
    </cfRule>
  </conditionalFormatting>
  <conditionalFormatting sqref="E33:E36">
    <cfRule type="expression" dxfId="7" priority="2" stopIfTrue="1">
      <formula>$I$27=2</formula>
    </cfRule>
  </conditionalFormatting>
  <conditionalFormatting sqref="F33:F36">
    <cfRule type="expression" dxfId="6" priority="3" stopIfTrue="1">
      <formula>$I$27=3</formula>
    </cfRule>
  </conditionalFormatting>
  <pageMargins left="0.78740157499999996" right="0.78740157499999996" top="0.984251969" bottom="0.984251969" header="0.4921259845" footer="0.4921259845"/>
  <pageSetup paperSize="9" orientation="portrait" horizontalDpi="4294967293" verticalDpi="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7409" r:id="rId4" name="Group Box 1">
              <controlPr defaultSize="0" autoFill="0" autoPict="0">
                <anchor moveWithCells="1">
                  <from>
                    <xdr:col>1</xdr:col>
                    <xdr:colOff>295275</xdr:colOff>
                    <xdr:row>5</xdr:row>
                    <xdr:rowOff>76200</xdr:rowOff>
                  </from>
                  <to>
                    <xdr:col>6</xdr:col>
                    <xdr:colOff>190500</xdr:colOff>
                    <xdr:row>7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0" r:id="rId5" name="Option Button 2">
              <controlPr defaultSize="0" autoFill="0" autoLine="0" autoPict="0">
                <anchor moveWithCells="1">
                  <from>
                    <xdr:col>1</xdr:col>
                    <xdr:colOff>361950</xdr:colOff>
                    <xdr:row>5</xdr:row>
                    <xdr:rowOff>114300</xdr:rowOff>
                  </from>
                  <to>
                    <xdr:col>3</xdr:col>
                    <xdr:colOff>381000</xdr:colOff>
                    <xdr:row>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1" r:id="rId6" name="Option Button 3">
              <controlPr defaultSize="0" autoFill="0" autoLine="0" autoPict="0">
                <anchor moveWithCells="1">
                  <from>
                    <xdr:col>3</xdr:col>
                    <xdr:colOff>685800</xdr:colOff>
                    <xdr:row>5</xdr:row>
                    <xdr:rowOff>114300</xdr:rowOff>
                  </from>
                  <to>
                    <xdr:col>6</xdr:col>
                    <xdr:colOff>19050</xdr:colOff>
                    <xdr:row>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2" r:id="rId7" name="Check Box 4">
              <controlPr locked="0" defaultSize="0" autoFill="0" autoLine="0" autoPict="0">
                <anchor moveWithCells="1">
                  <from>
                    <xdr:col>1</xdr:col>
                    <xdr:colOff>95250</xdr:colOff>
                    <xdr:row>11</xdr:row>
                    <xdr:rowOff>57150</xdr:rowOff>
                  </from>
                  <to>
                    <xdr:col>3</xdr:col>
                    <xdr:colOff>104775</xdr:colOff>
                    <xdr:row>12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3" r:id="rId8" name="Check Box 5">
              <controlPr locked="0" defaultSize="0" autoFill="0" autoLine="0" autoPict="0">
                <anchor moveWithCells="1">
                  <from>
                    <xdr:col>1</xdr:col>
                    <xdr:colOff>85725</xdr:colOff>
                    <xdr:row>14</xdr:row>
                    <xdr:rowOff>19050</xdr:rowOff>
                  </from>
                  <to>
                    <xdr:col>3</xdr:col>
                    <xdr:colOff>838200</xdr:colOff>
                    <xdr:row>15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4" r:id="rId9" name="Option Button 6">
              <controlPr locked="0" defaultSize="0" autoFill="0" autoLine="0" autoPict="0">
                <anchor moveWithCells="1">
                  <from>
                    <xdr:col>2</xdr:col>
                    <xdr:colOff>38100</xdr:colOff>
                    <xdr:row>24</xdr:row>
                    <xdr:rowOff>9525</xdr:rowOff>
                  </from>
                  <to>
                    <xdr:col>4</xdr:col>
                    <xdr:colOff>57150</xdr:colOff>
                    <xdr:row>25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5" r:id="rId10" name="Option Button 7">
              <controlPr locked="0" defaultSize="0" autoFill="0" autoLine="0" autoPict="0">
                <anchor moveWithCells="1">
                  <from>
                    <xdr:col>2</xdr:col>
                    <xdr:colOff>38100</xdr:colOff>
                    <xdr:row>25</xdr:row>
                    <xdr:rowOff>85725</xdr:rowOff>
                  </from>
                  <to>
                    <xdr:col>5</xdr:col>
                    <xdr:colOff>352425</xdr:colOff>
                    <xdr:row>26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6" r:id="rId11" name="Group Box 8">
              <controlPr defaultSize="0" autoFill="0" autoPict="0">
                <anchor moveWithCells="1">
                  <from>
                    <xdr:col>1</xdr:col>
                    <xdr:colOff>723900</xdr:colOff>
                    <xdr:row>23</xdr:row>
                    <xdr:rowOff>85725</xdr:rowOff>
                  </from>
                  <to>
                    <xdr:col>5</xdr:col>
                    <xdr:colOff>600075</xdr:colOff>
                    <xdr:row>30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7" r:id="rId12" name="Option Button 9">
              <controlPr locked="0" defaultSize="0" autoFill="0" autoLine="0" autoPict="0">
                <anchor moveWithCells="1">
                  <from>
                    <xdr:col>2</xdr:col>
                    <xdr:colOff>38100</xdr:colOff>
                    <xdr:row>27</xdr:row>
                    <xdr:rowOff>9525</xdr:rowOff>
                  </from>
                  <to>
                    <xdr:col>4</xdr:col>
                    <xdr:colOff>180975</xdr:colOff>
                    <xdr:row>28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8" r:id="rId13" name="Spinner 10">
              <controlPr locked="0" defaultSize="0" autoPict="0">
                <anchor moveWithCells="1">
                  <from>
                    <xdr:col>3</xdr:col>
                    <xdr:colOff>809625</xdr:colOff>
                    <xdr:row>21</xdr:row>
                    <xdr:rowOff>123825</xdr:rowOff>
                  </from>
                  <to>
                    <xdr:col>4</xdr:col>
                    <xdr:colOff>142875</xdr:colOff>
                    <xdr:row>23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6">
    <tabColor indexed="22"/>
  </sheetPr>
  <dimension ref="B1:I37"/>
  <sheetViews>
    <sheetView showGridLines="0" topLeftCell="A7" workbookViewId="0">
      <selection activeCell="D12" sqref="D12:D13"/>
    </sheetView>
  </sheetViews>
  <sheetFormatPr baseColWidth="10" defaultRowHeight="12.75" x14ac:dyDescent="0.2"/>
  <cols>
    <col min="1" max="1" width="4.7109375" customWidth="1"/>
    <col min="2" max="7" width="12.7109375" customWidth="1"/>
    <col min="9" max="9" width="11.7109375" style="10" hidden="1" customWidth="1"/>
  </cols>
  <sheetData>
    <row r="1" spans="2:9" x14ac:dyDescent="0.2">
      <c r="I1" s="10" t="s">
        <v>73</v>
      </c>
    </row>
    <row r="2" spans="2:9" x14ac:dyDescent="0.2">
      <c r="B2" s="71" t="s">
        <v>42</v>
      </c>
      <c r="C2" s="72"/>
      <c r="D2" s="72"/>
      <c r="E2" s="72"/>
      <c r="F2" s="78"/>
      <c r="G2" s="79"/>
      <c r="I2" s="10" t="s">
        <v>74</v>
      </c>
    </row>
    <row r="3" spans="2:9" x14ac:dyDescent="0.2">
      <c r="B3" s="56" t="s">
        <v>37</v>
      </c>
      <c r="C3" s="57"/>
      <c r="D3" s="104">
        <v>2</v>
      </c>
      <c r="E3" s="57"/>
      <c r="F3" s="57"/>
      <c r="G3" s="58"/>
      <c r="I3" s="10" t="s">
        <v>75</v>
      </c>
    </row>
    <row r="4" spans="2:9" x14ac:dyDescent="0.2">
      <c r="B4" s="81"/>
      <c r="C4" s="81"/>
      <c r="D4" s="81"/>
      <c r="E4" s="81"/>
      <c r="F4" s="81"/>
      <c r="G4" s="81"/>
      <c r="I4" s="10" t="s">
        <v>76</v>
      </c>
    </row>
    <row r="5" spans="2:9" x14ac:dyDescent="0.2">
      <c r="B5" s="71" t="s">
        <v>47</v>
      </c>
      <c r="C5" s="72"/>
      <c r="D5" s="72"/>
      <c r="E5" s="72"/>
      <c r="F5" s="72"/>
      <c r="G5" s="73"/>
    </row>
    <row r="6" spans="2:9" x14ac:dyDescent="0.2">
      <c r="B6" s="51"/>
      <c r="C6" s="52"/>
      <c r="D6" s="52"/>
      <c r="E6" s="52"/>
      <c r="F6" s="52"/>
      <c r="G6" s="53"/>
    </row>
    <row r="7" spans="2:9" x14ac:dyDescent="0.2">
      <c r="B7" s="54"/>
      <c r="C7" s="50"/>
      <c r="D7" s="50"/>
      <c r="E7" s="50"/>
      <c r="F7" s="50"/>
      <c r="G7" s="55"/>
    </row>
    <row r="8" spans="2:9" x14ac:dyDescent="0.2">
      <c r="B8" s="54"/>
      <c r="C8" s="50"/>
      <c r="D8" s="50"/>
      <c r="E8" s="50"/>
      <c r="F8" s="50"/>
      <c r="G8" s="55"/>
    </row>
    <row r="9" spans="2:9" x14ac:dyDescent="0.2">
      <c r="B9" s="80"/>
      <c r="C9" s="76"/>
      <c r="D9" s="76"/>
      <c r="E9" s="76"/>
      <c r="F9" s="76"/>
      <c r="G9" s="77"/>
      <c r="I9" s="106">
        <v>1</v>
      </c>
    </row>
    <row r="10" spans="2:9" x14ac:dyDescent="0.2">
      <c r="B10" s="81"/>
      <c r="C10" s="81"/>
      <c r="D10" s="81"/>
      <c r="E10" s="81"/>
      <c r="F10" s="81"/>
      <c r="G10" s="81"/>
    </row>
    <row r="11" spans="2:9" x14ac:dyDescent="0.2">
      <c r="B11" s="71" t="s">
        <v>40</v>
      </c>
      <c r="C11" s="72"/>
      <c r="D11" s="72"/>
      <c r="E11" s="72"/>
      <c r="F11" s="78"/>
      <c r="G11" s="79"/>
    </row>
    <row r="12" spans="2:9" x14ac:dyDescent="0.2">
      <c r="B12" s="51"/>
      <c r="C12" s="52"/>
      <c r="D12" s="52"/>
      <c r="E12" s="52"/>
      <c r="F12" s="52"/>
      <c r="G12" s="53"/>
      <c r="I12" s="107" t="b">
        <v>0</v>
      </c>
    </row>
    <row r="13" spans="2:9" x14ac:dyDescent="0.2">
      <c r="B13" s="54"/>
      <c r="C13" s="50"/>
      <c r="D13" s="50"/>
      <c r="E13" s="50"/>
      <c r="F13" s="50"/>
      <c r="G13" s="55"/>
    </row>
    <row r="14" spans="2:9" x14ac:dyDescent="0.2">
      <c r="B14" s="54"/>
      <c r="C14" s="63" t="s">
        <v>38</v>
      </c>
      <c r="D14" s="104"/>
      <c r="E14" s="50" t="s">
        <v>46</v>
      </c>
      <c r="F14" s="105"/>
      <c r="G14" s="55" t="s">
        <v>39</v>
      </c>
    </row>
    <row r="15" spans="2:9" x14ac:dyDescent="0.2">
      <c r="B15" s="54"/>
      <c r="C15" s="50"/>
      <c r="D15" s="50"/>
      <c r="E15" s="50"/>
      <c r="F15" s="50"/>
      <c r="G15" s="55"/>
      <c r="I15" s="108" t="b">
        <v>0</v>
      </c>
    </row>
    <row r="16" spans="2:9" x14ac:dyDescent="0.2">
      <c r="B16" s="54"/>
      <c r="C16" s="50"/>
      <c r="D16" s="50"/>
      <c r="E16" s="50"/>
      <c r="F16" s="50"/>
      <c r="G16" s="55"/>
    </row>
    <row r="17" spans="2:9" x14ac:dyDescent="0.2">
      <c r="B17" s="80"/>
      <c r="C17" s="76"/>
      <c r="D17" s="59">
        <f>IF(I12=TRUE,(D14*12+F14)*_nebchan1t/12,99999)</f>
        <v>99999</v>
      </c>
      <c r="E17" s="59">
        <f>IF(AND(I12,I15),(D14*12+F14)*_nebchan1t/12,99999)</f>
        <v>99999</v>
      </c>
      <c r="F17" s="76"/>
      <c r="G17" s="77"/>
    </row>
    <row r="19" spans="2:9" x14ac:dyDescent="0.2">
      <c r="B19" s="71" t="s">
        <v>41</v>
      </c>
      <c r="C19" s="72"/>
      <c r="D19" s="72"/>
      <c r="E19" s="72"/>
      <c r="F19" s="72"/>
      <c r="G19" s="73"/>
    </row>
    <row r="20" spans="2:9" x14ac:dyDescent="0.2">
      <c r="B20" s="60"/>
      <c r="C20" s="61"/>
      <c r="D20" s="61"/>
      <c r="E20" s="61"/>
      <c r="F20" s="50"/>
      <c r="G20" s="55"/>
    </row>
    <row r="21" spans="2:9" x14ac:dyDescent="0.2">
      <c r="B21" s="67" t="s">
        <v>48</v>
      </c>
      <c r="C21" s="65"/>
      <c r="D21" s="75">
        <f>_debamort122</f>
        <v>39814</v>
      </c>
      <c r="E21" s="61"/>
      <c r="F21" s="50"/>
      <c r="G21" s="55"/>
    </row>
    <row r="22" spans="2:9" x14ac:dyDescent="0.2">
      <c r="B22" s="54" t="s">
        <v>49</v>
      </c>
      <c r="C22" s="50"/>
      <c r="D22" s="62">
        <f>IF(_ijour122=0,MIN(DATE(YEAR(_debamort122),MONTH(_debamort122)-_moisd12-_imois122,__jou21),DATE(YEAR(_debamort122),MONTH(_debamort122)-_moisd12+1-_imois122,0)),DATE(YEAR(_debamort122),MONTH(_debamort122),__jou123-_ijour122))</f>
        <v>39783</v>
      </c>
      <c r="E22" s="86" t="str">
        <f>"   (Durée période : "&amp;F37&amp;" jours)"</f>
        <v xml:space="preserve">   (Durée période : 31 jours)</v>
      </c>
      <c r="F22" s="84"/>
      <c r="G22" s="85"/>
    </row>
    <row r="23" spans="2:9" x14ac:dyDescent="0.2">
      <c r="B23" s="54" t="s">
        <v>50</v>
      </c>
      <c r="C23" s="50"/>
      <c r="D23" s="74">
        <f>D22+I23-500</f>
        <v>39788</v>
      </c>
      <c r="E23" s="86" t="str">
        <f>"   (Durée période : "&amp;G37&amp;" jours)"</f>
        <v xml:space="preserve">   (Durée période : 26 jours)</v>
      </c>
      <c r="F23" s="84"/>
      <c r="G23" s="55"/>
      <c r="I23" s="109">
        <v>505</v>
      </c>
    </row>
    <row r="24" spans="2:9" x14ac:dyDescent="0.2">
      <c r="B24" s="60"/>
      <c r="C24" s="61"/>
      <c r="D24" s="61"/>
      <c r="E24" s="61"/>
      <c r="F24" s="50"/>
      <c r="G24" s="55"/>
    </row>
    <row r="25" spans="2:9" x14ac:dyDescent="0.2">
      <c r="B25" s="60"/>
      <c r="C25" s="61"/>
      <c r="D25" s="61"/>
      <c r="E25" s="61"/>
      <c r="F25" s="50"/>
      <c r="G25" s="55"/>
    </row>
    <row r="26" spans="2:9" x14ac:dyDescent="0.2">
      <c r="B26" s="60"/>
      <c r="C26" s="61"/>
      <c r="D26" s="61"/>
      <c r="E26" s="61"/>
      <c r="F26" s="50"/>
      <c r="G26" s="55"/>
    </row>
    <row r="27" spans="2:9" x14ac:dyDescent="0.2">
      <c r="B27" s="60"/>
      <c r="C27" s="61"/>
      <c r="D27" s="61"/>
      <c r="E27" s="61"/>
      <c r="F27" s="50"/>
      <c r="G27" s="55"/>
      <c r="I27" s="110">
        <v>1</v>
      </c>
    </row>
    <row r="28" spans="2:9" x14ac:dyDescent="0.2">
      <c r="B28" s="60"/>
      <c r="C28" s="61"/>
      <c r="D28" s="61"/>
      <c r="E28" s="61"/>
      <c r="F28" s="50"/>
      <c r="G28" s="55"/>
    </row>
    <row r="29" spans="2:9" x14ac:dyDescent="0.2">
      <c r="B29" s="60"/>
      <c r="C29" s="61"/>
      <c r="D29" s="61"/>
      <c r="E29" s="61"/>
      <c r="F29" s="50"/>
      <c r="G29" s="55"/>
    </row>
    <row r="30" spans="2:9" x14ac:dyDescent="0.2">
      <c r="B30" s="60"/>
      <c r="C30" s="61"/>
      <c r="D30" s="61"/>
      <c r="E30" s="61"/>
      <c r="F30" s="50"/>
      <c r="G30" s="55"/>
    </row>
    <row r="31" spans="2:9" x14ac:dyDescent="0.2">
      <c r="B31" s="60"/>
      <c r="C31" s="61"/>
      <c r="D31" s="61"/>
      <c r="E31" s="61"/>
      <c r="F31" s="50"/>
      <c r="G31" s="55"/>
    </row>
    <row r="32" spans="2:9" x14ac:dyDescent="0.2">
      <c r="B32" s="64"/>
      <c r="C32" s="65"/>
      <c r="D32" s="66" t="s">
        <v>43</v>
      </c>
      <c r="E32" s="66" t="s">
        <v>44</v>
      </c>
      <c r="F32" s="66" t="s">
        <v>45</v>
      </c>
      <c r="G32" s="179"/>
    </row>
    <row r="33" spans="2:7" x14ac:dyDescent="0.2">
      <c r="B33" s="67" t="s">
        <v>51</v>
      </c>
      <c r="C33" s="65"/>
      <c r="D33" s="68">
        <f>D22</f>
        <v>39783</v>
      </c>
      <c r="E33" s="68">
        <f>D23</f>
        <v>39788</v>
      </c>
      <c r="F33" s="68">
        <f>D23</f>
        <v>39788</v>
      </c>
      <c r="G33" s="180"/>
    </row>
    <row r="34" spans="2:7" x14ac:dyDescent="0.2">
      <c r="B34" s="67" t="s">
        <v>52</v>
      </c>
      <c r="C34" s="65"/>
      <c r="D34" s="167">
        <f>ROUND('Tableaux amortissement proj (2'!AA7*'Données Projet 1 (2)'!H16,_nbdeci1t1)</f>
        <v>200</v>
      </c>
      <c r="E34" s="167">
        <f>IF(_tauxactuariel1t1,
ROUND('Tableaux amortissement proj (2'!AA7*((('TAM Projet 1 (2)'!N13+1)^(G37/365))-1),_nbdeci1t1),
ROUND('Tableaux amortissement proj (2'!AA7*('TAM Projet 1 (2)'!N13*G37/365),_nbdeci1t1))</f>
        <v>170.96</v>
      </c>
      <c r="F34" s="178"/>
      <c r="G34" s="181"/>
    </row>
    <row r="35" spans="2:7" x14ac:dyDescent="0.2">
      <c r="B35" s="67" t="s">
        <v>53</v>
      </c>
      <c r="C35" s="65"/>
      <c r="D35" s="167">
        <f>IF(1&lt;=_differe1t1t,IF(_difftotal1t1t,-D34,0),'Données Projet 1 (2)'!I16-(D34*_echfixe12))</f>
        <v>0</v>
      </c>
      <c r="E35" s="167">
        <f>IF(AND(1&lt;=_differe1t1t,_difftotal1t1t),-E34,D35)</f>
        <v>0</v>
      </c>
      <c r="F35" s="178"/>
      <c r="G35" s="181"/>
    </row>
    <row r="36" spans="2:7" x14ac:dyDescent="0.2">
      <c r="B36" s="67" t="s">
        <v>54</v>
      </c>
      <c r="C36" s="65"/>
      <c r="D36" s="167">
        <f>D34+D35</f>
        <v>200</v>
      </c>
      <c r="E36" s="167">
        <f>E34+E35</f>
        <v>170.96</v>
      </c>
      <c r="F36" s="167">
        <f>F34+F35</f>
        <v>0</v>
      </c>
      <c r="G36" s="181"/>
    </row>
    <row r="37" spans="2:7" x14ac:dyDescent="0.2">
      <c r="B37" s="80"/>
      <c r="C37" s="69">
        <f>IF(I27=1,D22,D23)</f>
        <v>39783</v>
      </c>
      <c r="D37" s="70">
        <f>IF(I27=1,D34)+IF(I27=2,E34)+IF(I27=3,F34)</f>
        <v>200</v>
      </c>
      <c r="E37" s="70">
        <f>IF(I27=1,D35)+IF(I27=2,E35)+IF(I27=3,F35)</f>
        <v>0</v>
      </c>
      <c r="F37" s="82">
        <f>D21-D22</f>
        <v>31</v>
      </c>
      <c r="G37" s="83">
        <f>D21-D23</f>
        <v>26</v>
      </c>
    </row>
  </sheetData>
  <sheetProtection selectLockedCells="1" pivotTables="0"/>
  <conditionalFormatting sqref="D33:D36">
    <cfRule type="expression" dxfId="5" priority="1" stopIfTrue="1">
      <formula>$I$27=1</formula>
    </cfRule>
  </conditionalFormatting>
  <conditionalFormatting sqref="E33:E36">
    <cfRule type="expression" dxfId="4" priority="2" stopIfTrue="1">
      <formula>$I$27=2</formula>
    </cfRule>
  </conditionalFormatting>
  <conditionalFormatting sqref="F33:F36">
    <cfRule type="expression" dxfId="3" priority="3" stopIfTrue="1">
      <formula>$I$27=3</formula>
    </cfRule>
  </conditionalFormatting>
  <pageMargins left="0.78740157499999996" right="0.78740157499999996" top="0.984251969" bottom="0.984251969" header="0.4921259845" footer="0.4921259845"/>
  <pageSetup paperSize="9" orientation="portrait" horizontalDpi="4294967293" verticalDpi="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8433" r:id="rId4" name="Group Box 1">
              <controlPr defaultSize="0" autoFill="0" autoPict="0">
                <anchor moveWithCells="1">
                  <from>
                    <xdr:col>1</xdr:col>
                    <xdr:colOff>295275</xdr:colOff>
                    <xdr:row>5</xdr:row>
                    <xdr:rowOff>76200</xdr:rowOff>
                  </from>
                  <to>
                    <xdr:col>6</xdr:col>
                    <xdr:colOff>190500</xdr:colOff>
                    <xdr:row>7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4" r:id="rId5" name="Option Button 2">
              <controlPr defaultSize="0" autoFill="0" autoLine="0" autoPict="0">
                <anchor moveWithCells="1">
                  <from>
                    <xdr:col>1</xdr:col>
                    <xdr:colOff>361950</xdr:colOff>
                    <xdr:row>5</xdr:row>
                    <xdr:rowOff>114300</xdr:rowOff>
                  </from>
                  <to>
                    <xdr:col>3</xdr:col>
                    <xdr:colOff>381000</xdr:colOff>
                    <xdr:row>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5" r:id="rId6" name="Option Button 3">
              <controlPr defaultSize="0" autoFill="0" autoLine="0" autoPict="0">
                <anchor moveWithCells="1">
                  <from>
                    <xdr:col>3</xdr:col>
                    <xdr:colOff>685800</xdr:colOff>
                    <xdr:row>5</xdr:row>
                    <xdr:rowOff>114300</xdr:rowOff>
                  </from>
                  <to>
                    <xdr:col>6</xdr:col>
                    <xdr:colOff>19050</xdr:colOff>
                    <xdr:row>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6" r:id="rId7" name="Check Box 4">
              <controlPr locked="0" defaultSize="0" autoFill="0" autoLine="0" autoPict="0">
                <anchor moveWithCells="1">
                  <from>
                    <xdr:col>1</xdr:col>
                    <xdr:colOff>95250</xdr:colOff>
                    <xdr:row>11</xdr:row>
                    <xdr:rowOff>57150</xdr:rowOff>
                  </from>
                  <to>
                    <xdr:col>3</xdr:col>
                    <xdr:colOff>104775</xdr:colOff>
                    <xdr:row>12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7" r:id="rId8" name="Check Box 5">
              <controlPr locked="0" defaultSize="0" autoFill="0" autoLine="0" autoPict="0">
                <anchor moveWithCells="1">
                  <from>
                    <xdr:col>1</xdr:col>
                    <xdr:colOff>85725</xdr:colOff>
                    <xdr:row>14</xdr:row>
                    <xdr:rowOff>19050</xdr:rowOff>
                  </from>
                  <to>
                    <xdr:col>3</xdr:col>
                    <xdr:colOff>838200</xdr:colOff>
                    <xdr:row>15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8" r:id="rId9" name="Option Button 6">
              <controlPr locked="0" defaultSize="0" autoFill="0" autoLine="0" autoPict="0">
                <anchor moveWithCells="1">
                  <from>
                    <xdr:col>2</xdr:col>
                    <xdr:colOff>38100</xdr:colOff>
                    <xdr:row>24</xdr:row>
                    <xdr:rowOff>9525</xdr:rowOff>
                  </from>
                  <to>
                    <xdr:col>4</xdr:col>
                    <xdr:colOff>57150</xdr:colOff>
                    <xdr:row>25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9" r:id="rId10" name="Option Button 7">
              <controlPr locked="0" defaultSize="0" autoFill="0" autoLine="0" autoPict="0">
                <anchor moveWithCells="1">
                  <from>
                    <xdr:col>2</xdr:col>
                    <xdr:colOff>38100</xdr:colOff>
                    <xdr:row>25</xdr:row>
                    <xdr:rowOff>85725</xdr:rowOff>
                  </from>
                  <to>
                    <xdr:col>5</xdr:col>
                    <xdr:colOff>352425</xdr:colOff>
                    <xdr:row>26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40" r:id="rId11" name="Group Box 8">
              <controlPr defaultSize="0" autoFill="0" autoPict="0">
                <anchor moveWithCells="1">
                  <from>
                    <xdr:col>1</xdr:col>
                    <xdr:colOff>723900</xdr:colOff>
                    <xdr:row>23</xdr:row>
                    <xdr:rowOff>85725</xdr:rowOff>
                  </from>
                  <to>
                    <xdr:col>5</xdr:col>
                    <xdr:colOff>600075</xdr:colOff>
                    <xdr:row>30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41" r:id="rId12" name="Option Button 9">
              <controlPr locked="0" defaultSize="0" autoFill="0" autoLine="0" autoPict="0">
                <anchor moveWithCells="1">
                  <from>
                    <xdr:col>2</xdr:col>
                    <xdr:colOff>38100</xdr:colOff>
                    <xdr:row>27</xdr:row>
                    <xdr:rowOff>9525</xdr:rowOff>
                  </from>
                  <to>
                    <xdr:col>4</xdr:col>
                    <xdr:colOff>180975</xdr:colOff>
                    <xdr:row>28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42" r:id="rId13" name="Spinner 10">
              <controlPr locked="0" defaultSize="0" autoPict="0">
                <anchor moveWithCells="1">
                  <from>
                    <xdr:col>3</xdr:col>
                    <xdr:colOff>809625</xdr:colOff>
                    <xdr:row>21</xdr:row>
                    <xdr:rowOff>123825</xdr:rowOff>
                  </from>
                  <to>
                    <xdr:col>4</xdr:col>
                    <xdr:colOff>142875</xdr:colOff>
                    <xdr:row>23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7">
    <tabColor indexed="22"/>
  </sheetPr>
  <dimension ref="A1:AD456"/>
  <sheetViews>
    <sheetView showGridLines="0" zoomScaleNormal="100" workbookViewId="0">
      <selection activeCell="L24" sqref="L24"/>
    </sheetView>
  </sheetViews>
  <sheetFormatPr baseColWidth="10" defaultRowHeight="15.75" customHeight="1" x14ac:dyDescent="0.2"/>
  <cols>
    <col min="1" max="1" width="23.5703125" style="11" customWidth="1"/>
    <col min="2" max="2" width="13.140625" style="12" customWidth="1"/>
    <col min="3" max="3" width="23.42578125" style="10" customWidth="1"/>
    <col min="4" max="4" width="12.140625" style="12" customWidth="1"/>
    <col min="5" max="5" width="22.7109375" style="12" customWidth="1"/>
    <col min="6" max="6" width="11.42578125" style="10" customWidth="1"/>
    <col min="7" max="7" width="14.5703125" style="10" customWidth="1"/>
    <col min="8" max="8" width="11.42578125" style="10" customWidth="1"/>
    <col min="9" max="9" width="22.7109375" style="27" customWidth="1"/>
    <col min="10" max="13" width="11.42578125" style="10" customWidth="1"/>
    <col min="14" max="14" width="11.42578125" style="10"/>
    <col min="15" max="16" width="11.42578125" style="10" customWidth="1"/>
    <col min="17" max="17" width="11.42578125" style="14" customWidth="1"/>
    <col min="18" max="18" width="11.42578125" style="15" customWidth="1"/>
    <col min="19" max="25" width="11.42578125" style="10" customWidth="1"/>
    <col min="26" max="26" width="11.42578125" style="10"/>
    <col min="27" max="32" width="11.42578125" style="10" customWidth="1"/>
    <col min="33" max="16384" width="11.42578125" style="10"/>
  </cols>
  <sheetData>
    <row r="1" spans="1:26" ht="15.75" customHeight="1" thickBot="1" x14ac:dyDescent="0.35">
      <c r="A1" s="639" t="s">
        <v>166</v>
      </c>
      <c r="B1" s="640"/>
      <c r="C1" s="641" t="s">
        <v>329</v>
      </c>
      <c r="D1" s="642"/>
      <c r="E1" s="643" t="s">
        <v>168</v>
      </c>
      <c r="F1" s="644"/>
      <c r="G1" s="644"/>
      <c r="H1" s="644"/>
      <c r="I1" s="644"/>
      <c r="J1" s="645"/>
      <c r="L1" s="646" t="s">
        <v>85</v>
      </c>
      <c r="M1" s="646"/>
      <c r="N1" s="646"/>
      <c r="O1" s="646"/>
      <c r="P1" s="646"/>
      <c r="Q1" s="646"/>
      <c r="R1" s="646"/>
      <c r="S1" s="646"/>
      <c r="T1" s="646"/>
      <c r="U1" s="646"/>
      <c r="V1" s="646"/>
      <c r="W1" s="646"/>
      <c r="X1" s="646"/>
      <c r="Y1" s="646"/>
      <c r="Z1" s="646"/>
    </row>
    <row r="2" spans="1:26" ht="15.75" customHeight="1" x14ac:dyDescent="0.3">
      <c r="A2" s="336" t="s">
        <v>169</v>
      </c>
      <c r="B2" s="280">
        <v>240000</v>
      </c>
      <c r="C2" s="283" t="s">
        <v>187</v>
      </c>
      <c r="D2" s="333">
        <v>11500</v>
      </c>
      <c r="E2" s="647" t="s">
        <v>171</v>
      </c>
      <c r="F2" s="648"/>
      <c r="G2" s="649"/>
      <c r="H2" s="649"/>
      <c r="I2" s="650" t="s">
        <v>167</v>
      </c>
      <c r="J2" s="651"/>
      <c r="L2" s="187" t="s">
        <v>81</v>
      </c>
      <c r="M2" s="188"/>
      <c r="N2" s="191"/>
      <c r="O2" s="190"/>
      <c r="P2" s="190"/>
      <c r="Q2" s="191"/>
      <c r="R2" s="191"/>
      <c r="S2" s="191"/>
      <c r="T2" s="192"/>
      <c r="U2" s="225" t="s">
        <v>68</v>
      </c>
      <c r="V2" s="191"/>
      <c r="W2" s="216"/>
      <c r="X2" s="225" t="s">
        <v>4</v>
      </c>
      <c r="Y2" s="217"/>
      <c r="Z2" s="192"/>
    </row>
    <row r="3" spans="1:26" ht="15.75" customHeight="1" x14ac:dyDescent="0.3">
      <c r="A3" s="350" t="s">
        <v>172</v>
      </c>
      <c r="B3" s="282">
        <f>SUM(B2*0.02)</f>
        <v>4800</v>
      </c>
      <c r="C3" s="283" t="s">
        <v>191</v>
      </c>
      <c r="D3" s="333">
        <v>0</v>
      </c>
      <c r="E3" s="352" t="s">
        <v>174</v>
      </c>
      <c r="F3" s="279">
        <v>0</v>
      </c>
      <c r="G3" s="284" t="s">
        <v>175</v>
      </c>
      <c r="H3" s="279">
        <v>0</v>
      </c>
      <c r="I3" s="351" t="s">
        <v>170</v>
      </c>
      <c r="J3" s="329"/>
      <c r="L3" s="193"/>
      <c r="M3" s="194" t="s">
        <v>66</v>
      </c>
      <c r="N3" s="212">
        <v>187250</v>
      </c>
      <c r="O3" s="194" t="s">
        <v>61</v>
      </c>
      <c r="P3" s="213">
        <v>35</v>
      </c>
      <c r="Q3" s="195" t="s">
        <v>64</v>
      </c>
      <c r="R3" s="196"/>
      <c r="S3" s="196"/>
      <c r="T3" s="197"/>
      <c r="U3" s="218" t="s">
        <v>18</v>
      </c>
      <c r="V3" s="203"/>
      <c r="W3" s="227">
        <f>(N3*0.1%)/12</f>
        <v>15.604166666666666</v>
      </c>
      <c r="X3" s="652" t="s">
        <v>21</v>
      </c>
      <c r="Y3" s="653"/>
      <c r="Z3" s="219">
        <f>MAX('Tableaux amortissement proj (2'!J6:J439)</f>
        <v>52566</v>
      </c>
    </row>
    <row r="4" spans="1:26" ht="15.75" customHeight="1" thickBot="1" x14ac:dyDescent="0.35">
      <c r="A4" s="336" t="s">
        <v>176</v>
      </c>
      <c r="B4" s="285">
        <f>SUM(B2*0.07)</f>
        <v>16800</v>
      </c>
      <c r="C4" s="283" t="s">
        <v>193</v>
      </c>
      <c r="D4" s="333">
        <v>1.5</v>
      </c>
      <c r="E4" s="337" t="s">
        <v>178</v>
      </c>
      <c r="F4" s="286">
        <f>VLOOKUP(E4,'TAM Projet 1 (2)'!U49:V50,2,FALSE)</f>
        <v>0</v>
      </c>
      <c r="G4" s="287" t="s">
        <v>178</v>
      </c>
      <c r="H4" s="286">
        <f>VLOOKUP(G4,'TAM Projet 1 (2)'!U76:V78,2,FALSE)</f>
        <v>0</v>
      </c>
      <c r="I4" s="351" t="s">
        <v>173</v>
      </c>
      <c r="J4" s="354">
        <f>F21</f>
        <v>0</v>
      </c>
      <c r="L4" s="193"/>
      <c r="M4" s="198"/>
      <c r="N4" s="196"/>
      <c r="O4" s="199" t="s">
        <v>63</v>
      </c>
      <c r="P4" s="213"/>
      <c r="Q4" s="195" t="s">
        <v>39</v>
      </c>
      <c r="R4" s="196"/>
      <c r="S4" s="196"/>
      <c r="T4" s="197"/>
      <c r="U4" s="220" t="s">
        <v>19</v>
      </c>
      <c r="V4" s="221"/>
      <c r="W4" s="228"/>
      <c r="X4" s="652" t="s">
        <v>20</v>
      </c>
      <c r="Y4" s="653"/>
      <c r="Z4" s="222">
        <f>MAX('Tableaux amortissement proj (2'!G6:G439)</f>
        <v>420</v>
      </c>
    </row>
    <row r="5" spans="1:26" ht="15.75" customHeight="1" x14ac:dyDescent="0.3">
      <c r="A5" s="336" t="s">
        <v>179</v>
      </c>
      <c r="B5" s="281">
        <v>0</v>
      </c>
      <c r="C5" s="283" t="s">
        <v>197</v>
      </c>
      <c r="D5" s="333">
        <v>1512</v>
      </c>
      <c r="E5" s="352" t="s">
        <v>181</v>
      </c>
      <c r="F5" s="279">
        <v>0</v>
      </c>
      <c r="G5" s="278" t="s">
        <v>182</v>
      </c>
      <c r="H5" s="279">
        <v>0</v>
      </c>
      <c r="I5" s="351" t="s">
        <v>177</v>
      </c>
      <c r="J5" s="329"/>
      <c r="L5" s="193"/>
      <c r="M5" s="194" t="s">
        <v>65</v>
      </c>
      <c r="N5" s="214">
        <v>1.8599999999999998E-2</v>
      </c>
      <c r="O5" s="198"/>
      <c r="P5" s="200" t="s">
        <v>67</v>
      </c>
      <c r="Q5" s="201"/>
      <c r="R5" s="201" t="s">
        <v>62</v>
      </c>
      <c r="S5" s="201"/>
      <c r="T5" s="202"/>
      <c r="U5" s="225" t="s">
        <v>34</v>
      </c>
      <c r="V5" s="191"/>
      <c r="W5" s="216"/>
      <c r="X5" s="652" t="s">
        <v>15</v>
      </c>
      <c r="Y5" s="653"/>
      <c r="Z5" s="223">
        <f>SUM('Tableaux amortissement proj (2'!L6:L439)</f>
        <v>67656.980000000141</v>
      </c>
    </row>
    <row r="6" spans="1:26" ht="15.75" customHeight="1" x14ac:dyDescent="0.3">
      <c r="A6" s="350" t="s">
        <v>183</v>
      </c>
      <c r="B6" s="288"/>
      <c r="C6" s="330"/>
      <c r="D6" s="334"/>
      <c r="E6" s="337" t="s">
        <v>178</v>
      </c>
      <c r="F6" s="286">
        <f>VLOOKUP(E6,'TAM Projet 1 (2)'!U52:V54,2,FALSE)</f>
        <v>0</v>
      </c>
      <c r="G6" s="287" t="s">
        <v>178</v>
      </c>
      <c r="H6" s="286">
        <f>VLOOKUP(G6,'TAM Projet 1 (2)'!U80:V82,2,FALSE)</f>
        <v>0</v>
      </c>
      <c r="I6" s="351" t="s">
        <v>180</v>
      </c>
      <c r="J6" s="329"/>
      <c r="L6" s="193"/>
      <c r="M6" s="198"/>
      <c r="N6" s="196"/>
      <c r="O6" s="198"/>
      <c r="P6" s="215">
        <v>39814</v>
      </c>
      <c r="Q6" s="196"/>
      <c r="R6" s="203"/>
      <c r="S6" s="203"/>
      <c r="T6" s="204"/>
      <c r="U6" s="224"/>
      <c r="V6" s="196"/>
      <c r="W6" s="222"/>
      <c r="X6" s="652" t="s">
        <v>16</v>
      </c>
      <c r="Y6" s="653"/>
      <c r="Z6" s="223">
        <f>SUM('Tableaux amortissement proj (2'!M6:M439)-SUMIF('Tableaux amortissement proj (2'!B6:B439,"&lt;0")</f>
        <v>187250</v>
      </c>
    </row>
    <row r="7" spans="1:26" ht="15.75" customHeight="1" thickBot="1" x14ac:dyDescent="0.35">
      <c r="A7" s="345" t="s">
        <v>184</v>
      </c>
      <c r="B7" s="331">
        <f>SUM(B2+B4+B5+B6)</f>
        <v>256800</v>
      </c>
      <c r="C7" s="332"/>
      <c r="D7" s="335"/>
      <c r="E7" s="352" t="s">
        <v>185</v>
      </c>
      <c r="F7" s="279">
        <v>0</v>
      </c>
      <c r="G7" s="284" t="s">
        <v>186</v>
      </c>
      <c r="H7" s="279">
        <v>0</v>
      </c>
      <c r="I7" s="351" t="s">
        <v>179</v>
      </c>
      <c r="J7" s="329"/>
      <c r="L7" s="205"/>
      <c r="M7" s="198"/>
      <c r="N7" s="196"/>
      <c r="O7" s="198"/>
      <c r="P7" s="198"/>
      <c r="Q7" s="196"/>
      <c r="R7" s="196"/>
      <c r="S7" s="196"/>
      <c r="T7" s="197"/>
      <c r="U7" s="218" t="s">
        <v>71</v>
      </c>
      <c r="V7" s="196"/>
      <c r="W7" s="229"/>
      <c r="X7" s="652" t="s">
        <v>5</v>
      </c>
      <c r="Y7" s="653"/>
      <c r="Z7" s="223">
        <f>SUM('Tableaux amortissement proj (2'!N6:N439)</f>
        <v>6552.0000000000409</v>
      </c>
    </row>
    <row r="8" spans="1:26" ht="15.75" customHeight="1" thickBot="1" x14ac:dyDescent="0.35">
      <c r="A8" s="231"/>
      <c r="B8" s="289"/>
      <c r="E8" s="337" t="s">
        <v>178</v>
      </c>
      <c r="F8" s="286">
        <f>VLOOKUP(E8,'TAM Projet 1 (2)'!U56:V58,2,FALSE)</f>
        <v>0</v>
      </c>
      <c r="G8" s="287" t="s">
        <v>178</v>
      </c>
      <c r="H8" s="286">
        <f>VLOOKUP(G8,'TAM Projet 1 (2)'!U84:V86,2,FALSE)</f>
        <v>0</v>
      </c>
      <c r="I8" s="351" t="s">
        <v>183</v>
      </c>
      <c r="J8" s="329"/>
      <c r="L8" s="206"/>
      <c r="M8" s="383" t="str">
        <f>IF(_echfixe1t,"Montant échéance fixe :","Capital / échéance :")</f>
        <v>Montant échéance fixe :</v>
      </c>
      <c r="N8" s="189">
        <f>IF(OR(N5=0,NOT(_echfixe1t)),ROUND(_mtemprunt12/_nbech123,_nbdeci1t),ROUND(_mtemprunt12*_txper12/(1-((1+_txper12)^-_nbech123)),_nbdeci1t))</f>
        <v>606.91999999999996</v>
      </c>
      <c r="O8" s="207" t="s">
        <v>82</v>
      </c>
      <c r="P8" s="207"/>
      <c r="Q8" s="208" t="s">
        <v>83</v>
      </c>
      <c r="R8" s="211">
        <f>'Tableaux amortissement proj (2'!O7</f>
        <v>622.52</v>
      </c>
      <c r="S8" s="209"/>
      <c r="T8" s="210"/>
      <c r="U8" s="220" t="s">
        <v>32</v>
      </c>
      <c r="V8" s="209"/>
      <c r="W8" s="230"/>
      <c r="X8" s="636" t="s">
        <v>17</v>
      </c>
      <c r="Y8" s="637"/>
      <c r="Z8" s="226">
        <f>SUM(Z5:Z7)</f>
        <v>261458.98000000019</v>
      </c>
    </row>
    <row r="9" spans="1:26" ht="15.75" customHeight="1" thickBot="1" x14ac:dyDescent="0.35">
      <c r="E9" s="352" t="s">
        <v>189</v>
      </c>
      <c r="F9" s="279">
        <v>0</v>
      </c>
      <c r="G9" s="284" t="s">
        <v>190</v>
      </c>
      <c r="H9" s="279">
        <v>2930</v>
      </c>
      <c r="I9" s="269"/>
      <c r="J9" s="338"/>
      <c r="L9" s="638" t="s">
        <v>86</v>
      </c>
      <c r="M9" s="638"/>
      <c r="N9" s="638"/>
      <c r="O9" s="638"/>
      <c r="P9" s="638"/>
      <c r="Q9" s="638"/>
      <c r="R9" s="638"/>
      <c r="S9" s="638"/>
      <c r="T9" s="638"/>
      <c r="U9" s="638"/>
      <c r="V9" s="638"/>
      <c r="W9" s="638"/>
      <c r="X9" s="638"/>
      <c r="Y9" s="638"/>
      <c r="Z9" s="638"/>
    </row>
    <row r="10" spans="1:26" ht="15.75" customHeight="1" x14ac:dyDescent="0.3">
      <c r="D10" s="328"/>
      <c r="E10" s="337" t="s">
        <v>178</v>
      </c>
      <c r="F10" s="286">
        <f>VLOOKUP(E10,'TAM Projet 1 (2)'!U60:V62,2,FALSE)</f>
        <v>0</v>
      </c>
      <c r="G10" s="290" t="s">
        <v>178</v>
      </c>
      <c r="H10" s="286">
        <f>VLOOKUP(G10,'TAM Projet 1 (2)'!U88:V90,2,FALSE)</f>
        <v>1465</v>
      </c>
      <c r="I10" s="654" t="s">
        <v>188</v>
      </c>
      <c r="J10" s="655"/>
      <c r="L10" s="117" t="s">
        <v>81</v>
      </c>
      <c r="M10" s="118"/>
      <c r="N10" s="119"/>
      <c r="O10" s="120"/>
      <c r="P10" s="120"/>
      <c r="Q10" s="119"/>
      <c r="R10" s="119"/>
      <c r="S10" s="119"/>
      <c r="T10" s="121"/>
      <c r="U10" s="122" t="s">
        <v>68</v>
      </c>
      <c r="V10" s="119"/>
      <c r="W10" s="123"/>
      <c r="X10" s="122" t="s">
        <v>4</v>
      </c>
      <c r="Y10" s="124"/>
      <c r="Z10" s="121"/>
    </row>
    <row r="11" spans="1:26" ht="15.75" customHeight="1" x14ac:dyDescent="0.3">
      <c r="E11" s="352" t="s">
        <v>195</v>
      </c>
      <c r="F11" s="279">
        <v>0</v>
      </c>
      <c r="G11" s="284" t="s">
        <v>196</v>
      </c>
      <c r="H11" s="279">
        <v>0</v>
      </c>
      <c r="I11" s="351" t="s">
        <v>192</v>
      </c>
      <c r="J11" s="339">
        <f>SUM((F3+F5+F7+F9+F11+F13+F15+H3+H5+H7+H9+H12)*12)</f>
        <v>35160</v>
      </c>
      <c r="L11" s="125"/>
      <c r="M11" s="126" t="s">
        <v>66</v>
      </c>
      <c r="N11" s="171">
        <v>240000</v>
      </c>
      <c r="O11" s="126" t="s">
        <v>61</v>
      </c>
      <c r="P11" s="213">
        <v>0</v>
      </c>
      <c r="Q11" s="127" t="s">
        <v>64</v>
      </c>
      <c r="R11" s="128"/>
      <c r="S11" s="128"/>
      <c r="T11" s="129">
        <v>12</v>
      </c>
      <c r="U11" s="130" t="s">
        <v>18</v>
      </c>
      <c r="V11" s="131"/>
      <c r="W11" s="173">
        <f>(N11*0.1%)/12</f>
        <v>20</v>
      </c>
      <c r="X11" s="656" t="s">
        <v>21</v>
      </c>
      <c r="Y11" s="657"/>
      <c r="Z11" s="132">
        <f>MAX('Tableaux amortissement proj (2'!Z6:Z439)</f>
        <v>44166</v>
      </c>
    </row>
    <row r="12" spans="1:26" ht="15.75" customHeight="1" thickBot="1" x14ac:dyDescent="0.35">
      <c r="E12" s="337" t="s">
        <v>178</v>
      </c>
      <c r="F12" s="286">
        <f>VLOOKUP(E12,'TAM Projet 1 (2)'!U64:V66,2,FALSE)</f>
        <v>0</v>
      </c>
      <c r="G12" s="287" t="s">
        <v>199</v>
      </c>
      <c r="H12" s="286">
        <f>VLOOKUP(G12,'TAM Projet 1 (2)'!U93:V95,2,FALSE)</f>
        <v>0</v>
      </c>
      <c r="I12" s="351" t="s">
        <v>194</v>
      </c>
      <c r="J12" s="339">
        <f>SUM(F4+F6+F8+F10+F12+F14+F16+H4+H6+H8+H10+H12)*12</f>
        <v>17580</v>
      </c>
      <c r="L12" s="125"/>
      <c r="M12" s="133"/>
      <c r="N12" s="128"/>
      <c r="O12" s="134" t="s">
        <v>63</v>
      </c>
      <c r="P12" s="213">
        <v>1</v>
      </c>
      <c r="Q12" s="127" t="s">
        <v>39</v>
      </c>
      <c r="R12" s="128"/>
      <c r="S12" s="128"/>
      <c r="T12" s="129"/>
      <c r="U12" s="135" t="s">
        <v>19</v>
      </c>
      <c r="V12" s="136"/>
      <c r="W12" s="174"/>
      <c r="X12" s="656" t="s">
        <v>20</v>
      </c>
      <c r="Y12" s="657"/>
      <c r="Z12" s="137">
        <f>MAX('Tableaux amortissement proj (2'!W6:W439)</f>
        <v>144</v>
      </c>
    </row>
    <row r="13" spans="1:26" ht="15.75" customHeight="1" x14ac:dyDescent="0.3">
      <c r="E13" s="352" t="s">
        <v>201</v>
      </c>
      <c r="F13" s="279">
        <v>0</v>
      </c>
      <c r="G13" s="269"/>
      <c r="H13" s="269"/>
      <c r="I13" s="351" t="s">
        <v>198</v>
      </c>
      <c r="J13" s="339">
        <f>SUM(J11*0.3)</f>
        <v>10548</v>
      </c>
      <c r="L13" s="125"/>
      <c r="M13" s="126" t="s">
        <v>65</v>
      </c>
      <c r="N13" s="177">
        <v>0.01</v>
      </c>
      <c r="O13" s="133"/>
      <c r="P13" s="138" t="s">
        <v>67</v>
      </c>
      <c r="Q13" s="139"/>
      <c r="R13" s="139" t="s">
        <v>62</v>
      </c>
      <c r="S13" s="139"/>
      <c r="T13" s="140"/>
      <c r="U13" s="122" t="s">
        <v>84</v>
      </c>
      <c r="V13" s="119"/>
      <c r="W13" s="123"/>
      <c r="X13" s="656" t="s">
        <v>15</v>
      </c>
      <c r="Y13" s="657"/>
      <c r="Z13" s="168">
        <f>SUM('Tableaux amortissement proj (2'!AB6:AB439)</f>
        <v>28800</v>
      </c>
    </row>
    <row r="14" spans="1:26" s="17" customFormat="1" ht="15.75" customHeight="1" x14ac:dyDescent="0.3">
      <c r="E14" s="340" t="s">
        <v>178</v>
      </c>
      <c r="F14" s="286">
        <f>VLOOKUP(E14,'TAM Projet 1 (2)'!U68:V70,2,FALSE)</f>
        <v>0</v>
      </c>
      <c r="G14" s="269"/>
      <c r="H14" s="269"/>
      <c r="I14" s="351" t="s">
        <v>200</v>
      </c>
      <c r="J14" s="339">
        <f>SUM((F17+F18)*12)</f>
        <v>0</v>
      </c>
      <c r="L14" s="125"/>
      <c r="M14" s="133"/>
      <c r="N14" s="128"/>
      <c r="O14" s="133"/>
      <c r="P14" s="172">
        <v>39814</v>
      </c>
      <c r="Q14" s="128"/>
      <c r="R14" s="131"/>
      <c r="S14" s="131"/>
      <c r="T14" s="141"/>
      <c r="U14" s="142"/>
      <c r="V14" s="128"/>
      <c r="W14" s="137"/>
      <c r="X14" s="656" t="s">
        <v>16</v>
      </c>
      <c r="Y14" s="657"/>
      <c r="Z14" s="168">
        <f>SUM('Tableaux amortissement proj (2'!AC6:AC439)-SUMIF('Tableaux amortissement proj (2'!R6:R439,"&lt;0")</f>
        <v>240000</v>
      </c>
    </row>
    <row r="15" spans="1:26" s="17" customFormat="1" ht="15.75" customHeight="1" x14ac:dyDescent="0.3">
      <c r="E15" s="352" t="s">
        <v>202</v>
      </c>
      <c r="F15" s="279">
        <v>0</v>
      </c>
      <c r="G15" s="269"/>
      <c r="H15" s="269"/>
      <c r="I15" s="351" t="s">
        <v>184</v>
      </c>
      <c r="J15" s="339">
        <f>SUM(J11+J14)</f>
        <v>35160</v>
      </c>
      <c r="L15" s="143"/>
      <c r="M15" s="133"/>
      <c r="N15" s="128"/>
      <c r="O15" s="133"/>
      <c r="P15" s="133"/>
      <c r="Q15" s="128"/>
      <c r="R15" s="128"/>
      <c r="S15" s="128"/>
      <c r="T15" s="129"/>
      <c r="U15" s="130" t="s">
        <v>71</v>
      </c>
      <c r="V15" s="128"/>
      <c r="W15" s="175">
        <f>T11*12-1</f>
        <v>143</v>
      </c>
      <c r="X15" s="656" t="s">
        <v>5</v>
      </c>
      <c r="Y15" s="657"/>
      <c r="Z15" s="168">
        <f>SUM('Tableaux amortissement proj (2'!AD6:AD439)</f>
        <v>2880</v>
      </c>
    </row>
    <row r="16" spans="1:26" s="17" customFormat="1" ht="15.75" customHeight="1" thickBot="1" x14ac:dyDescent="0.35">
      <c r="E16" s="340" t="s">
        <v>178</v>
      </c>
      <c r="F16" s="286">
        <f>VLOOKUP(E16,'TAM Projet 1 (2)'!U72:V74,2,FALSE)</f>
        <v>0</v>
      </c>
      <c r="G16" s="269"/>
      <c r="H16" s="269"/>
      <c r="I16" s="341"/>
      <c r="J16" s="342"/>
      <c r="L16" s="144"/>
      <c r="M16" s="382" t="str">
        <f>IF(_echfixe12,"Montant échéance fixe :","Capital / échéance :")</f>
        <v>Montant échéance fixe :</v>
      </c>
      <c r="N16" s="170">
        <f>IF(OR(N13=0,NOT(_echfixe12)),ROUND(_mtemprunt123/_nbech1234,_nbdeci1t1),ROUND(_mtemprunt123*_txper123/(1-((1+_txper123)^-_nbech1234)),_nbdeci1t1))</f>
        <v>240200</v>
      </c>
      <c r="O16" s="182" t="s">
        <v>82</v>
      </c>
      <c r="P16" s="182"/>
      <c r="Q16" s="184" t="s">
        <v>83</v>
      </c>
      <c r="R16" s="183">
        <f>'Tableaux amortissement proj (2'!AE7</f>
        <v>220</v>
      </c>
      <c r="S16" s="145"/>
      <c r="T16" s="146"/>
      <c r="U16" s="135" t="s">
        <v>32</v>
      </c>
      <c r="V16" s="145"/>
      <c r="W16" s="176">
        <v>0</v>
      </c>
      <c r="X16" s="661" t="s">
        <v>17</v>
      </c>
      <c r="Y16" s="662"/>
      <c r="Z16" s="169">
        <f>SUM(Z13:Z15)</f>
        <v>271680</v>
      </c>
    </row>
    <row r="17" spans="1:24" ht="15.75" customHeight="1" x14ac:dyDescent="0.3">
      <c r="E17" s="352" t="s">
        <v>206</v>
      </c>
      <c r="F17" s="279">
        <v>0</v>
      </c>
      <c r="G17" s="269"/>
      <c r="H17" s="269"/>
      <c r="I17" s="343"/>
      <c r="J17" s="344"/>
      <c r="P17" s="13"/>
      <c r="T17" s="231"/>
      <c r="U17" s="231"/>
    </row>
    <row r="18" spans="1:24" ht="15.75" customHeight="1" x14ac:dyDescent="0.3">
      <c r="E18" s="352" t="s">
        <v>207</v>
      </c>
      <c r="F18" s="279">
        <v>0</v>
      </c>
      <c r="G18" s="269"/>
      <c r="H18" s="269"/>
      <c r="I18" s="343"/>
      <c r="J18" s="344"/>
      <c r="N18" s="91"/>
      <c r="O18" s="91"/>
      <c r="P18" s="16"/>
      <c r="T18" s="231"/>
      <c r="U18" s="231"/>
    </row>
    <row r="19" spans="1:24" ht="15.75" customHeight="1" x14ac:dyDescent="0.3">
      <c r="E19" s="663" t="s">
        <v>205</v>
      </c>
      <c r="F19" s="664"/>
      <c r="G19" s="269"/>
      <c r="H19" s="269"/>
      <c r="I19" s="343"/>
      <c r="J19" s="344"/>
      <c r="P19" s="1"/>
      <c r="T19" s="231"/>
      <c r="U19" s="231"/>
    </row>
    <row r="20" spans="1:24" ht="15.75" customHeight="1" x14ac:dyDescent="0.3">
      <c r="E20" s="352" t="s">
        <v>209</v>
      </c>
      <c r="F20" s="279"/>
      <c r="G20" s="269"/>
      <c r="H20" s="269"/>
      <c r="I20" s="343"/>
      <c r="J20" s="344"/>
      <c r="P20" s="1"/>
      <c r="T20" s="231"/>
      <c r="U20" s="231"/>
    </row>
    <row r="21" spans="1:24" ht="15.75" customHeight="1" thickBot="1" x14ac:dyDescent="0.35">
      <c r="E21" s="353" t="s">
        <v>211</v>
      </c>
      <c r="F21" s="346"/>
      <c r="G21" s="347"/>
      <c r="H21" s="347"/>
      <c r="I21" s="348"/>
      <c r="J21" s="349"/>
      <c r="P21" s="2"/>
      <c r="T21" s="231"/>
      <c r="U21" s="231"/>
    </row>
    <row r="22" spans="1:24" ht="15.75" customHeight="1" thickBot="1" x14ac:dyDescent="0.25">
      <c r="P22" s="2"/>
      <c r="T22" s="11"/>
      <c r="U22" s="12"/>
      <c r="W22" s="12"/>
      <c r="X22" s="12"/>
    </row>
    <row r="23" spans="1:24" ht="15.75" customHeight="1" x14ac:dyDescent="0.25">
      <c r="A23" s="665" t="s">
        <v>323</v>
      </c>
      <c r="B23" s="666"/>
      <c r="C23" s="667" t="s">
        <v>322</v>
      </c>
      <c r="D23" s="666"/>
      <c r="E23" s="668" t="s">
        <v>326</v>
      </c>
      <c r="F23" s="669"/>
      <c r="P23" s="2"/>
      <c r="T23" s="11"/>
      <c r="U23" s="12"/>
      <c r="W23" s="12"/>
      <c r="X23" s="12"/>
    </row>
    <row r="24" spans="1:24" ht="15.75" customHeight="1" x14ac:dyDescent="0.25">
      <c r="A24" s="360" t="s">
        <v>173</v>
      </c>
      <c r="B24" s="359">
        <v>0</v>
      </c>
      <c r="C24" s="355" t="s">
        <v>173</v>
      </c>
      <c r="D24" s="359">
        <v>0</v>
      </c>
      <c r="E24" s="355" t="s">
        <v>173</v>
      </c>
      <c r="F24" s="361">
        <v>1900</v>
      </c>
      <c r="P24" s="1"/>
      <c r="T24" s="11"/>
      <c r="U24" s="12"/>
      <c r="W24" s="12"/>
      <c r="X24" s="12"/>
    </row>
    <row r="25" spans="1:24" ht="15.75" customHeight="1" x14ac:dyDescent="0.25">
      <c r="A25" s="360" t="s">
        <v>203</v>
      </c>
      <c r="B25" s="359"/>
      <c r="C25" s="355" t="s">
        <v>203</v>
      </c>
      <c r="D25" s="359"/>
      <c r="E25" s="356" t="s">
        <v>203</v>
      </c>
      <c r="F25" s="361"/>
      <c r="P25" s="1"/>
      <c r="T25" s="11"/>
      <c r="U25" s="12"/>
      <c r="W25" s="12"/>
      <c r="X25" s="12"/>
    </row>
    <row r="26" spans="1:24" ht="15.75" customHeight="1" x14ac:dyDescent="0.25">
      <c r="A26" s="360" t="s">
        <v>204</v>
      </c>
      <c r="B26" s="291">
        <f>SUM('Tableaux amortissement proj (2'!L7:L18)</f>
        <v>3450.3</v>
      </c>
      <c r="C26" s="355" t="s">
        <v>204</v>
      </c>
      <c r="D26" s="291">
        <f>SUM('Tableaux amortissement proj (2'!AB7:AB18)</f>
        <v>2400</v>
      </c>
      <c r="E26" s="355" t="s">
        <v>205</v>
      </c>
      <c r="F26" s="361"/>
      <c r="P26" s="1"/>
      <c r="T26" s="11"/>
      <c r="U26" s="12"/>
      <c r="W26" s="12"/>
      <c r="X26" s="12"/>
    </row>
    <row r="27" spans="1:24" ht="15.75" customHeight="1" x14ac:dyDescent="0.25">
      <c r="A27" s="360" t="s">
        <v>194</v>
      </c>
      <c r="B27" s="292">
        <f>J12</f>
        <v>17580</v>
      </c>
      <c r="C27" s="355" t="s">
        <v>194</v>
      </c>
      <c r="D27" s="292">
        <f>'TAM Projet 1 (2)'!J12</f>
        <v>17580</v>
      </c>
      <c r="E27" s="356" t="s">
        <v>198</v>
      </c>
      <c r="F27" s="362">
        <f>SUM(+'TAM Projet 1 (2)'!J13)</f>
        <v>10548</v>
      </c>
      <c r="P27" s="1"/>
      <c r="T27" s="11"/>
      <c r="U27" s="12"/>
      <c r="W27" s="12"/>
      <c r="X27" s="12"/>
    </row>
    <row r="28" spans="1:24" ht="15.75" customHeight="1" x14ac:dyDescent="0.25">
      <c r="A28" s="360" t="s">
        <v>184</v>
      </c>
      <c r="B28" s="291">
        <f>SUM(B24+B25+B26+B27)</f>
        <v>21030.3</v>
      </c>
      <c r="C28" s="355" t="s">
        <v>184</v>
      </c>
      <c r="D28" s="291">
        <f>SUM(D24+D25+D26+D27)</f>
        <v>19980</v>
      </c>
      <c r="E28" s="356" t="s">
        <v>204</v>
      </c>
      <c r="F28" s="362">
        <f>SUM(+'Impots projet 1 (2)'!K7)</f>
        <v>0</v>
      </c>
      <c r="P28" s="1"/>
      <c r="T28" s="11"/>
      <c r="U28" s="12"/>
      <c r="W28" s="12"/>
      <c r="X28" s="12"/>
    </row>
    <row r="29" spans="1:24" ht="15.75" customHeight="1" x14ac:dyDescent="0.3">
      <c r="A29" s="363"/>
      <c r="B29" s="269"/>
      <c r="C29" s="269"/>
      <c r="D29" s="269"/>
      <c r="E29" s="356" t="s">
        <v>208</v>
      </c>
      <c r="F29" s="364"/>
      <c r="P29" s="1"/>
      <c r="T29" s="11"/>
      <c r="U29" s="12"/>
      <c r="W29" s="12"/>
      <c r="X29" s="12"/>
    </row>
    <row r="30" spans="1:24" ht="15.75" customHeight="1" x14ac:dyDescent="0.3">
      <c r="A30" s="363"/>
      <c r="B30" s="269"/>
      <c r="C30" s="269"/>
      <c r="D30" s="269"/>
      <c r="E30" s="355" t="s">
        <v>210</v>
      </c>
      <c r="F30" s="362">
        <f>IF(G32=1,_ann1t,'Dégressif projet 1 (2)'!D11)</f>
        <v>15604.166666666668</v>
      </c>
      <c r="P30" s="1"/>
      <c r="T30" s="11"/>
      <c r="U30" s="12"/>
      <c r="W30" s="12"/>
      <c r="X30" s="12"/>
    </row>
    <row r="31" spans="1:24" ht="15.75" customHeight="1" x14ac:dyDescent="0.3">
      <c r="A31" s="363"/>
      <c r="B31" s="269"/>
      <c r="C31" s="269"/>
      <c r="D31" s="269"/>
      <c r="E31" s="356" t="s">
        <v>184</v>
      </c>
      <c r="F31" s="362">
        <f>SUM(F24+F25+F26+F27+F28+F29+F30)</f>
        <v>28052.166666666668</v>
      </c>
      <c r="P31" s="1"/>
      <c r="T31" s="11"/>
      <c r="U31" s="12"/>
      <c r="W31" s="12"/>
      <c r="X31" s="12"/>
    </row>
    <row r="32" spans="1:24" ht="15.75" customHeight="1" x14ac:dyDescent="0.3">
      <c r="A32" s="363"/>
      <c r="B32" s="269"/>
      <c r="C32" s="269"/>
      <c r="D32" s="269"/>
      <c r="E32" s="269"/>
      <c r="F32" s="338"/>
      <c r="G32" s="10">
        <v>1</v>
      </c>
      <c r="P32" s="1"/>
      <c r="T32" s="11"/>
      <c r="U32" s="12"/>
      <c r="W32" s="12"/>
      <c r="X32" s="12"/>
    </row>
    <row r="33" spans="1:28" ht="15.75" customHeight="1" x14ac:dyDescent="0.3">
      <c r="A33" s="658" t="s">
        <v>327</v>
      </c>
      <c r="B33" s="659"/>
      <c r="C33" s="659" t="s">
        <v>212</v>
      </c>
      <c r="D33" s="659"/>
      <c r="E33" s="659" t="s">
        <v>213</v>
      </c>
      <c r="F33" s="660"/>
      <c r="P33" s="1"/>
      <c r="T33" s="11"/>
      <c r="U33" s="12"/>
      <c r="W33" s="12"/>
      <c r="X33" s="12"/>
    </row>
    <row r="34" spans="1:28" ht="15.75" customHeight="1" x14ac:dyDescent="0.3">
      <c r="A34" s="365" t="s">
        <v>187</v>
      </c>
      <c r="B34" s="357">
        <f>D2</f>
        <v>11500</v>
      </c>
      <c r="C34" s="293" t="s">
        <v>187</v>
      </c>
      <c r="D34" s="357">
        <f>'TAM Projet 1 (2)'!D2</f>
        <v>11500</v>
      </c>
      <c r="E34" s="294" t="s">
        <v>214</v>
      </c>
      <c r="F34" s="366">
        <f>SUM('TAM Projet 1 (2)'!J15-F31)</f>
        <v>7107.8333333333321</v>
      </c>
      <c r="P34" s="1"/>
      <c r="T34" s="11"/>
      <c r="U34" s="12"/>
      <c r="W34" s="12"/>
      <c r="X34" s="12"/>
    </row>
    <row r="35" spans="1:28" ht="15.75" customHeight="1" x14ac:dyDescent="0.3">
      <c r="A35" s="365" t="s">
        <v>218</v>
      </c>
      <c r="B35" s="357">
        <f>11500*0.9</f>
        <v>10350</v>
      </c>
      <c r="C35" s="293" t="s">
        <v>218</v>
      </c>
      <c r="D35" s="357">
        <f>11500*0.9</f>
        <v>10350</v>
      </c>
      <c r="E35" s="294" t="s">
        <v>219</v>
      </c>
      <c r="F35" s="366">
        <f>SUM(+'Impots projet 1 (2)'!R5)</f>
        <v>1066.1749999999997</v>
      </c>
      <c r="P35" s="1"/>
      <c r="T35" s="11"/>
      <c r="U35" s="12"/>
      <c r="W35" s="12"/>
      <c r="X35" s="12"/>
    </row>
    <row r="36" spans="1:28" ht="15.75" customHeight="1" x14ac:dyDescent="0.3">
      <c r="A36" s="365" t="s">
        <v>221</v>
      </c>
      <c r="B36" s="357">
        <f>J15</f>
        <v>35160</v>
      </c>
      <c r="C36" s="293" t="s">
        <v>221</v>
      </c>
      <c r="D36" s="357">
        <f>'TAM Projet 1 (2)'!J15</f>
        <v>35160</v>
      </c>
      <c r="E36" s="269"/>
      <c r="F36" s="367"/>
      <c r="P36" s="1"/>
      <c r="T36" s="11"/>
      <c r="U36" s="12"/>
      <c r="W36" s="12"/>
      <c r="X36" s="12"/>
    </row>
    <row r="37" spans="1:28" ht="15.75" customHeight="1" x14ac:dyDescent="0.3">
      <c r="A37" s="365" t="s">
        <v>223</v>
      </c>
      <c r="B37" s="358">
        <f>'TAM Projet 1 (2)'!J11-B28</f>
        <v>14129.7</v>
      </c>
      <c r="C37" s="293" t="s">
        <v>223</v>
      </c>
      <c r="D37" s="358">
        <f>'TAM Projet 1 (2)'!J11-D28</f>
        <v>15180</v>
      </c>
      <c r="E37" s="269" t="s">
        <v>224</v>
      </c>
      <c r="F37" s="368">
        <f>SUM('TAM Projet 1 (2)'!J15-F35)</f>
        <v>34093.824999999997</v>
      </c>
      <c r="P37" s="1"/>
      <c r="T37" s="11"/>
      <c r="U37" s="12"/>
      <c r="W37" s="12"/>
      <c r="X37" s="12"/>
    </row>
    <row r="38" spans="1:28" ht="15.75" customHeight="1" x14ac:dyDescent="0.3">
      <c r="A38" s="365" t="s">
        <v>226</v>
      </c>
      <c r="B38" s="358">
        <f>B35+B37+'TAM Projet 1 (2)'!J14</f>
        <v>24479.7</v>
      </c>
      <c r="C38" s="293" t="s">
        <v>226</v>
      </c>
      <c r="D38" s="358">
        <f>D35+D37+'TAM Projet 1 (2)'!J14</f>
        <v>25530</v>
      </c>
      <c r="E38" s="269"/>
      <c r="F38" s="367"/>
      <c r="P38" s="1"/>
      <c r="T38" s="11"/>
      <c r="U38" s="12"/>
      <c r="W38" s="12"/>
      <c r="X38" s="12"/>
      <c r="AB38" s="27"/>
    </row>
    <row r="39" spans="1:28" ht="15.75" customHeight="1" x14ac:dyDescent="0.3">
      <c r="A39" s="365" t="s">
        <v>228</v>
      </c>
      <c r="B39" s="279">
        <v>1.5</v>
      </c>
      <c r="C39" s="293" t="s">
        <v>228</v>
      </c>
      <c r="D39" s="279">
        <v>1.5</v>
      </c>
      <c r="E39" s="294" t="s">
        <v>229</v>
      </c>
      <c r="F39" s="366">
        <f>SUM(+F37)</f>
        <v>34093.824999999997</v>
      </c>
      <c r="P39" s="1"/>
      <c r="T39" s="11"/>
      <c r="U39" s="12"/>
      <c r="W39" s="12"/>
      <c r="X39" s="12"/>
      <c r="AB39" s="27"/>
    </row>
    <row r="40" spans="1:28" ht="15.75" customHeight="1" x14ac:dyDescent="0.3">
      <c r="A40" s="365" t="s">
        <v>231</v>
      </c>
      <c r="B40" s="357">
        <f>B38/B39</f>
        <v>16319.800000000001</v>
      </c>
      <c r="C40" s="293" t="s">
        <v>231</v>
      </c>
      <c r="D40" s="357">
        <f>D38/D39</f>
        <v>17020</v>
      </c>
      <c r="E40" s="294" t="s">
        <v>232</v>
      </c>
      <c r="F40" s="366">
        <f>SUM(F39*0.4)</f>
        <v>13637.529999999999</v>
      </c>
      <c r="P40" s="1"/>
      <c r="T40" s="11"/>
      <c r="U40" s="12"/>
      <c r="W40" s="12"/>
      <c r="X40" s="12"/>
      <c r="AB40" s="27"/>
    </row>
    <row r="41" spans="1:28" ht="15.75" customHeight="1" x14ac:dyDescent="0.3">
      <c r="A41" s="365" t="s">
        <v>234</v>
      </c>
      <c r="B41" s="297">
        <f>SUM('Impots projet 1 (2)'!R10+'Impots projet 1 (2)'!R11+'Impots projet 1 (2)'!R12)*'TAM Projet 1 (2)'!D4</f>
        <v>1367.6880000000003</v>
      </c>
      <c r="C41" s="293" t="s">
        <v>234</v>
      </c>
      <c r="D41" s="297">
        <f>SUM('Impots projet 1 (2)'!R28:R31)*'TAM Projet 1 (2)'!D4</f>
        <v>1514.73</v>
      </c>
      <c r="E41" s="293" t="s">
        <v>235</v>
      </c>
      <c r="F41" s="366">
        <f>SUM(F39-F40)</f>
        <v>20456.294999999998</v>
      </c>
      <c r="N41" s="231"/>
      <c r="P41" s="1"/>
      <c r="T41" s="11"/>
      <c r="U41" s="12"/>
      <c r="W41" s="12"/>
      <c r="X41" s="12"/>
      <c r="AB41" s="27"/>
    </row>
    <row r="42" spans="1:28" ht="15.75" customHeight="1" x14ac:dyDescent="0.3">
      <c r="A42" s="363"/>
      <c r="B42" s="369"/>
      <c r="C42" s="269"/>
      <c r="D42" s="369"/>
      <c r="E42" s="293" t="s">
        <v>237</v>
      </c>
      <c r="F42" s="366">
        <f>SUM('Impots projet 1 (2)'!R20+'Impots projet 1 (2)'!R21+'Impots projet 1 (2)'!R22)</f>
        <v>1490.9013</v>
      </c>
      <c r="P42" s="1"/>
      <c r="T42" s="11"/>
      <c r="U42" s="12"/>
      <c r="W42" s="12"/>
      <c r="X42" s="12"/>
      <c r="AB42" s="27"/>
    </row>
    <row r="43" spans="1:28" ht="15.75" customHeight="1" x14ac:dyDescent="0.3">
      <c r="A43" s="363" t="s">
        <v>239</v>
      </c>
      <c r="B43" s="369"/>
      <c r="C43" s="269" t="s">
        <v>239</v>
      </c>
      <c r="D43" s="369"/>
      <c r="E43" s="293" t="s">
        <v>240</v>
      </c>
      <c r="F43" s="366">
        <f>SUM(F41*15.5%)</f>
        <v>3170.7257249999998</v>
      </c>
      <c r="P43" s="1"/>
      <c r="T43" s="11"/>
      <c r="U43" s="12"/>
      <c r="W43" s="12"/>
      <c r="X43" s="12"/>
      <c r="AB43" s="27"/>
    </row>
    <row r="44" spans="1:28" ht="15.75" customHeight="1" x14ac:dyDescent="0.3">
      <c r="A44" s="363" t="s">
        <v>242</v>
      </c>
      <c r="B44" s="369">
        <v>1</v>
      </c>
      <c r="C44" s="269" t="s">
        <v>242</v>
      </c>
      <c r="D44" s="369">
        <v>1</v>
      </c>
      <c r="E44" s="269"/>
      <c r="F44" s="367"/>
      <c r="P44" s="1"/>
      <c r="T44" s="11"/>
      <c r="U44" s="12"/>
      <c r="W44" s="12"/>
      <c r="X44" s="12"/>
      <c r="AB44" s="27"/>
    </row>
    <row r="45" spans="1:28" ht="15.75" customHeight="1" x14ac:dyDescent="0.3">
      <c r="A45" s="363" t="s">
        <v>244</v>
      </c>
      <c r="B45" s="370">
        <f>B44*'TAM Projet 1 (2)'!D5</f>
        <v>1512</v>
      </c>
      <c r="C45" s="269" t="s">
        <v>244</v>
      </c>
      <c r="D45" s="370">
        <f>D44*'TAM Projet 1 (2)'!D5</f>
        <v>1512</v>
      </c>
      <c r="E45" s="371" t="s">
        <v>245</v>
      </c>
      <c r="F45" s="368">
        <f>SUM(F42+F43)</f>
        <v>4661.6270249999998</v>
      </c>
      <c r="P45" s="1"/>
      <c r="T45" s="11"/>
      <c r="U45" s="12"/>
      <c r="W45" s="12"/>
      <c r="X45" s="12"/>
      <c r="AB45" s="27"/>
    </row>
    <row r="46" spans="1:28" ht="15.75" customHeight="1" x14ac:dyDescent="0.3">
      <c r="A46" s="363" t="s">
        <v>247</v>
      </c>
      <c r="B46" s="372">
        <f>B41</f>
        <v>1367.6880000000003</v>
      </c>
      <c r="C46" s="269" t="s">
        <v>247</v>
      </c>
      <c r="D46" s="372">
        <f>D41</f>
        <v>1514.73</v>
      </c>
      <c r="E46" s="293" t="s">
        <v>248</v>
      </c>
      <c r="F46" s="366">
        <f>SUM(F37-F45)</f>
        <v>29432.197974999995</v>
      </c>
      <c r="P46" s="1"/>
      <c r="T46" s="11"/>
      <c r="U46" s="12"/>
      <c r="W46" s="12"/>
      <c r="X46" s="12"/>
      <c r="AB46" s="27"/>
    </row>
    <row r="47" spans="1:28" ht="15.75" customHeight="1" x14ac:dyDescent="0.3">
      <c r="A47" s="363" t="s">
        <v>250</v>
      </c>
      <c r="B47" s="370">
        <f>B46-1512</f>
        <v>-144.31199999999967</v>
      </c>
      <c r="C47" s="269" t="s">
        <v>250</v>
      </c>
      <c r="D47" s="370">
        <f>D46-1512</f>
        <v>2.7300000000000182</v>
      </c>
      <c r="E47" s="293" t="s">
        <v>251</v>
      </c>
      <c r="F47" s="366">
        <f>SUM(F37-F42)</f>
        <v>32602.923699999996</v>
      </c>
      <c r="P47" s="1"/>
      <c r="T47" s="11"/>
      <c r="U47" s="12"/>
      <c r="W47" s="12"/>
      <c r="X47" s="12"/>
      <c r="AB47" s="27"/>
    </row>
    <row r="48" spans="1:28" ht="15.75" customHeight="1" x14ac:dyDescent="0.3">
      <c r="A48" s="363"/>
      <c r="B48" s="369"/>
      <c r="C48" s="269"/>
      <c r="D48" s="369"/>
      <c r="E48" s="269"/>
      <c r="F48" s="367" t="e">
        <f>F47-F24-#REF!*12</f>
        <v>#REF!</v>
      </c>
      <c r="P48" s="1"/>
      <c r="T48" s="324" t="s">
        <v>328</v>
      </c>
      <c r="U48" s="326" t="s">
        <v>199</v>
      </c>
      <c r="V48" s="327">
        <v>0</v>
      </c>
      <c r="W48" s="12"/>
      <c r="X48" s="12"/>
      <c r="AB48" s="27"/>
    </row>
    <row r="49" spans="1:30" ht="15.75" customHeight="1" x14ac:dyDescent="0.3">
      <c r="A49" s="373" t="s">
        <v>254</v>
      </c>
      <c r="B49" s="370">
        <f>IF(1177-(B41*0.75)&lt;=0,"0",1177-(B41*0.75))</f>
        <v>151.2339999999997</v>
      </c>
      <c r="C49" s="371" t="s">
        <v>254</v>
      </c>
      <c r="D49" s="370">
        <f>IF(1177-(D41*0.75)&lt;=0,"0",1177-(D41*0.75))</f>
        <v>40.952499999999873</v>
      </c>
      <c r="E49" s="269"/>
      <c r="F49" s="374" t="e">
        <f>F48/12</f>
        <v>#REF!</v>
      </c>
      <c r="P49" s="1"/>
      <c r="T49" s="231"/>
      <c r="U49" s="321" t="s">
        <v>309</v>
      </c>
      <c r="V49" s="320">
        <f>SUM('TAM Projet 1 (2)'!F3*0.15)</f>
        <v>0</v>
      </c>
      <c r="W49" s="12"/>
      <c r="X49" s="12"/>
      <c r="AB49" s="27"/>
    </row>
    <row r="50" spans="1:30" ht="15.75" customHeight="1" x14ac:dyDescent="0.3">
      <c r="A50" s="373" t="s">
        <v>256</v>
      </c>
      <c r="B50" s="370">
        <f>IF(1939-(B41*0.75)&lt;=0,"0",1939-(B41*0.75))</f>
        <v>913.2339999999997</v>
      </c>
      <c r="C50" s="371" t="s">
        <v>256</v>
      </c>
      <c r="D50" s="370">
        <f>IF(1939-(D41*0.75)&lt;=0,"0",1939-(D41*0.75))</f>
        <v>802.95249999999987</v>
      </c>
      <c r="E50" s="334"/>
      <c r="F50" s="344"/>
      <c r="P50" s="1"/>
      <c r="T50" s="231"/>
      <c r="U50" s="321" t="s">
        <v>178</v>
      </c>
      <c r="V50" s="320">
        <f>SUM('TAM Projet 1 (2)'!F3*0.5)</f>
        <v>0</v>
      </c>
      <c r="W50" s="12"/>
      <c r="X50" s="12"/>
      <c r="AA50" s="231"/>
      <c r="AB50" s="295" t="s">
        <v>215</v>
      </c>
      <c r="AC50" s="295" t="s">
        <v>216</v>
      </c>
      <c r="AD50" s="295" t="s">
        <v>217</v>
      </c>
    </row>
    <row r="51" spans="1:30" ht="15.75" customHeight="1" x14ac:dyDescent="0.3">
      <c r="A51" s="373" t="s">
        <v>258</v>
      </c>
      <c r="B51" s="375">
        <f>IF((B41-B49)&lt;=0,"0",(B41-B49))</f>
        <v>1216.4540000000006</v>
      </c>
      <c r="C51" s="371" t="s">
        <v>258</v>
      </c>
      <c r="D51" s="375">
        <f>IF((D41-D49)&lt;=0,"0",(D41-D49))</f>
        <v>1473.7775000000001</v>
      </c>
      <c r="E51" s="334"/>
      <c r="F51" s="344"/>
      <c r="P51" s="1"/>
      <c r="T51" s="231"/>
      <c r="U51" s="231"/>
      <c r="V51" s="231"/>
      <c r="W51" s="12"/>
      <c r="X51" s="12"/>
      <c r="AA51" s="231" t="s">
        <v>220</v>
      </c>
      <c r="AB51" s="295">
        <f>SUM('TAM Projet 1 (2)'!B5)</f>
        <v>0</v>
      </c>
      <c r="AC51" s="296">
        <f>'TAM Projet 1 (2)'!$B$37</f>
        <v>14129.7</v>
      </c>
      <c r="AD51" s="296">
        <f t="shared" ref="AD51:AD69" si="0">SUM(AB51-AC51)</f>
        <v>-14129.7</v>
      </c>
    </row>
    <row r="52" spans="1:30" ht="15.75" customHeight="1" x14ac:dyDescent="0.3">
      <c r="A52" s="373" t="s">
        <v>260</v>
      </c>
      <c r="B52" s="375">
        <f>B51</f>
        <v>1216.4540000000006</v>
      </c>
      <c r="C52" s="371" t="s">
        <v>260</v>
      </c>
      <c r="D52" s="375">
        <f>D51</f>
        <v>1473.7775000000001</v>
      </c>
      <c r="E52" s="334"/>
      <c r="F52" s="344"/>
      <c r="P52" s="1"/>
      <c r="T52" s="318" t="s">
        <v>310</v>
      </c>
      <c r="U52" s="325" t="s">
        <v>199</v>
      </c>
      <c r="V52" s="320">
        <v>0</v>
      </c>
      <c r="W52" s="12"/>
      <c r="X52" s="12"/>
      <c r="AA52" s="231" t="s">
        <v>222</v>
      </c>
      <c r="AB52" s="295">
        <f t="shared" ref="AB52:AB69" si="1">SUM(+AD51)</f>
        <v>-14129.7</v>
      </c>
      <c r="AC52" s="296">
        <f>'TAM Projet 1 (2)'!$B$37</f>
        <v>14129.7</v>
      </c>
      <c r="AD52" s="296">
        <f t="shared" si="0"/>
        <v>-28259.4</v>
      </c>
    </row>
    <row r="53" spans="1:30" ht="15.75" customHeight="1" x14ac:dyDescent="0.3">
      <c r="A53" s="363"/>
      <c r="B53" s="369"/>
      <c r="C53" s="269"/>
      <c r="D53" s="369"/>
      <c r="E53" s="334"/>
      <c r="F53" s="344"/>
      <c r="P53" s="1"/>
      <c r="T53" s="231"/>
      <c r="U53" s="321" t="s">
        <v>309</v>
      </c>
      <c r="V53" s="320">
        <f>SUM('TAM Projet 1 (2)'!F5*0.15)</f>
        <v>0</v>
      </c>
      <c r="W53" s="12"/>
      <c r="X53" s="12"/>
      <c r="AA53" s="231" t="s">
        <v>225</v>
      </c>
      <c r="AB53" s="295">
        <f t="shared" si="1"/>
        <v>-28259.4</v>
      </c>
      <c r="AC53" s="296">
        <f>'TAM Projet 1 (2)'!$B$37</f>
        <v>14129.7</v>
      </c>
      <c r="AD53" s="296">
        <f t="shared" si="0"/>
        <v>-42389.100000000006</v>
      </c>
    </row>
    <row r="54" spans="1:30" ht="15.75" customHeight="1" x14ac:dyDescent="0.3">
      <c r="A54" s="373" t="s">
        <v>240</v>
      </c>
      <c r="B54" s="370">
        <f>B37*17.2%</f>
        <v>2430.3083999999999</v>
      </c>
      <c r="C54" s="371" t="s">
        <v>240</v>
      </c>
      <c r="D54" s="370">
        <f>D37*17.2%</f>
        <v>2610.9599999999996</v>
      </c>
      <c r="E54" s="334"/>
      <c r="F54" s="344"/>
      <c r="P54" s="1"/>
      <c r="T54" s="231"/>
      <c r="U54" s="321" t="s">
        <v>178</v>
      </c>
      <c r="V54" s="320">
        <f>SUM('TAM Projet 1 (2)'!F5*0.5)</f>
        <v>0</v>
      </c>
      <c r="W54" s="12"/>
      <c r="X54" s="12"/>
      <c r="AA54" s="231" t="s">
        <v>227</v>
      </c>
      <c r="AB54" s="295">
        <f t="shared" si="1"/>
        <v>-42389.100000000006</v>
      </c>
      <c r="AC54" s="296">
        <f>'TAM Projet 1 (2)'!$B$37</f>
        <v>14129.7</v>
      </c>
      <c r="AD54" s="296">
        <f t="shared" si="0"/>
        <v>-56518.8</v>
      </c>
    </row>
    <row r="55" spans="1:30" ht="15.75" customHeight="1" x14ac:dyDescent="0.3">
      <c r="A55" s="373" t="s">
        <v>263</v>
      </c>
      <c r="B55" s="375">
        <f>B52+B54</f>
        <v>3646.7624000000005</v>
      </c>
      <c r="C55" s="371" t="s">
        <v>263</v>
      </c>
      <c r="D55" s="375">
        <f>D52+D54</f>
        <v>4084.7374999999997</v>
      </c>
      <c r="E55" s="334"/>
      <c r="F55" s="344"/>
      <c r="P55" s="1"/>
      <c r="T55" s="231"/>
      <c r="U55" s="231"/>
      <c r="V55" s="231"/>
      <c r="W55" s="12"/>
      <c r="X55" s="12"/>
      <c r="AA55" s="231" t="s">
        <v>230</v>
      </c>
      <c r="AB55" s="295">
        <f t="shared" si="1"/>
        <v>-56518.8</v>
      </c>
      <c r="AC55" s="296">
        <f>'TAM Projet 1 (2)'!$B$37</f>
        <v>14129.7</v>
      </c>
      <c r="AD55" s="296">
        <f t="shared" si="0"/>
        <v>-70648.5</v>
      </c>
    </row>
    <row r="56" spans="1:30" ht="15.75" customHeight="1" x14ac:dyDescent="0.3">
      <c r="A56" s="363"/>
      <c r="B56" s="369"/>
      <c r="C56" s="269"/>
      <c r="D56" s="369"/>
      <c r="E56" s="334"/>
      <c r="F56" s="344"/>
      <c r="P56" s="1"/>
      <c r="T56" s="318" t="s">
        <v>311</v>
      </c>
      <c r="U56" s="319" t="s">
        <v>199</v>
      </c>
      <c r="V56" s="320">
        <v>0</v>
      </c>
      <c r="W56" s="12"/>
      <c r="X56" s="12"/>
      <c r="AA56" s="231" t="s">
        <v>233</v>
      </c>
      <c r="AB56" s="295">
        <f t="shared" si="1"/>
        <v>-70648.5</v>
      </c>
      <c r="AC56" s="296">
        <f>'TAM Projet 1 (2)'!$B$37</f>
        <v>14129.7</v>
      </c>
      <c r="AD56" s="296">
        <f t="shared" si="0"/>
        <v>-84778.2</v>
      </c>
    </row>
    <row r="57" spans="1:30" ht="15.75" customHeight="1" x14ac:dyDescent="0.3">
      <c r="A57" s="373" t="s">
        <v>248</v>
      </c>
      <c r="B57" s="375">
        <f>SUM('TAM Projet 1 (2)'!J15-B55)</f>
        <v>31513.2376</v>
      </c>
      <c r="C57" s="371" t="s">
        <v>248</v>
      </c>
      <c r="D57" s="375">
        <f>SUM('TAM Projet 1 (2)'!J15-D55)</f>
        <v>31075.262500000001</v>
      </c>
      <c r="E57" s="334"/>
      <c r="F57" s="344"/>
      <c r="P57" s="1"/>
      <c r="T57" s="231"/>
      <c r="U57" s="321" t="s">
        <v>309</v>
      </c>
      <c r="V57" s="320">
        <f>SUM('TAM Projet 1 (2)'!F7*0.15)</f>
        <v>0</v>
      </c>
      <c r="W57" s="12"/>
      <c r="X57" s="12"/>
      <c r="AA57" s="231" t="s">
        <v>236</v>
      </c>
      <c r="AB57" s="295">
        <f t="shared" si="1"/>
        <v>-84778.2</v>
      </c>
      <c r="AC57" s="296">
        <f>'TAM Projet 1 (2)'!$B$37</f>
        <v>14129.7</v>
      </c>
      <c r="AD57" s="296">
        <f t="shared" si="0"/>
        <v>-98907.9</v>
      </c>
    </row>
    <row r="58" spans="1:30" ht="15.75" customHeight="1" x14ac:dyDescent="0.3">
      <c r="A58" s="373" t="s">
        <v>264</v>
      </c>
      <c r="B58" s="376">
        <f>B57-B24-R8*12</f>
        <v>24042.997600000002</v>
      </c>
      <c r="C58" s="371" t="s">
        <v>264</v>
      </c>
      <c r="D58" s="376">
        <f>D57-D24-'TAM Projet 1 (2)'!R16*12</f>
        <v>28435.262500000001</v>
      </c>
      <c r="E58" s="334"/>
      <c r="F58" s="344"/>
      <c r="P58" s="1"/>
      <c r="T58" s="231"/>
      <c r="U58" s="321" t="s">
        <v>178</v>
      </c>
      <c r="V58" s="320">
        <f>SUM('TAM Projet 1 (2)'!F7*0.5)</f>
        <v>0</v>
      </c>
      <c r="W58" s="12"/>
      <c r="X58" s="12"/>
      <c r="AA58" s="231" t="s">
        <v>238</v>
      </c>
      <c r="AB58" s="295">
        <f t="shared" si="1"/>
        <v>-98907.9</v>
      </c>
      <c r="AC58" s="296">
        <f>'TAM Projet 1 (2)'!$B$37</f>
        <v>14129.7</v>
      </c>
      <c r="AD58" s="296">
        <f t="shared" si="0"/>
        <v>-113037.59999999999</v>
      </c>
    </row>
    <row r="59" spans="1:30" ht="15.75" customHeight="1" thickBot="1" x14ac:dyDescent="0.35">
      <c r="A59" s="377" t="s">
        <v>265</v>
      </c>
      <c r="B59" s="378">
        <f>B58/12</f>
        <v>2003.5831333333335</v>
      </c>
      <c r="C59" s="379" t="s">
        <v>265</v>
      </c>
      <c r="D59" s="378">
        <f>D58/12</f>
        <v>2369.6052083333334</v>
      </c>
      <c r="E59" s="335"/>
      <c r="F59" s="349"/>
      <c r="P59" s="1"/>
      <c r="T59" s="231"/>
      <c r="U59" s="231"/>
      <c r="V59" s="231"/>
      <c r="W59" s="12"/>
      <c r="X59" s="12"/>
      <c r="AA59" s="231" t="s">
        <v>241</v>
      </c>
      <c r="AB59" s="295">
        <f t="shared" si="1"/>
        <v>-113037.59999999999</v>
      </c>
      <c r="AC59" s="296">
        <f>'TAM Projet 1 (2)'!$B$37</f>
        <v>14129.7</v>
      </c>
      <c r="AD59" s="296">
        <f t="shared" si="0"/>
        <v>-127167.29999999999</v>
      </c>
    </row>
    <row r="60" spans="1:30" ht="15.75" customHeight="1" x14ac:dyDescent="0.3">
      <c r="P60" s="1"/>
      <c r="T60" s="318" t="s">
        <v>312</v>
      </c>
      <c r="U60" s="319" t="s">
        <v>199</v>
      </c>
      <c r="V60" s="320">
        <v>0</v>
      </c>
      <c r="W60" s="12"/>
      <c r="X60" s="12"/>
      <c r="AA60" s="231" t="s">
        <v>243</v>
      </c>
      <c r="AB60" s="295">
        <f t="shared" si="1"/>
        <v>-127167.29999999999</v>
      </c>
      <c r="AC60" s="296">
        <f>'TAM Projet 1 (2)'!$B$37</f>
        <v>14129.7</v>
      </c>
      <c r="AD60" s="296">
        <f t="shared" si="0"/>
        <v>-141297</v>
      </c>
    </row>
    <row r="61" spans="1:30" ht="15.75" customHeight="1" x14ac:dyDescent="0.3">
      <c r="P61" s="1"/>
      <c r="T61" s="231"/>
      <c r="U61" s="321" t="s">
        <v>309</v>
      </c>
      <c r="V61" s="320">
        <f>SUM('TAM Projet 1 (2)'!F9*0.15)</f>
        <v>0</v>
      </c>
      <c r="W61" s="12"/>
      <c r="X61" s="12"/>
      <c r="AA61" s="231" t="s">
        <v>246</v>
      </c>
      <c r="AB61" s="295">
        <f t="shared" si="1"/>
        <v>-141297</v>
      </c>
      <c r="AC61" s="296">
        <f>'TAM Projet 1 (2)'!$B$37</f>
        <v>14129.7</v>
      </c>
      <c r="AD61" s="296">
        <f t="shared" si="0"/>
        <v>-155426.70000000001</v>
      </c>
    </row>
    <row r="62" spans="1:30" ht="15.75" customHeight="1" x14ac:dyDescent="0.3">
      <c r="P62" s="1"/>
      <c r="T62" s="231"/>
      <c r="U62" s="321" t="s">
        <v>178</v>
      </c>
      <c r="V62" s="320">
        <f>SUM('TAM Projet 1 (2)'!F9*0.5)</f>
        <v>0</v>
      </c>
      <c r="W62" s="12"/>
      <c r="X62" s="12"/>
      <c r="AA62" s="231" t="s">
        <v>249</v>
      </c>
      <c r="AB62" s="295">
        <f t="shared" si="1"/>
        <v>-155426.70000000001</v>
      </c>
      <c r="AC62" s="296">
        <f>'TAM Projet 1 (2)'!$B$37</f>
        <v>14129.7</v>
      </c>
      <c r="AD62" s="296">
        <f t="shared" si="0"/>
        <v>-169556.40000000002</v>
      </c>
    </row>
    <row r="63" spans="1:30" ht="15.75" customHeight="1" x14ac:dyDescent="0.3">
      <c r="P63" s="1"/>
      <c r="T63" s="231"/>
      <c r="U63" s="231"/>
      <c r="V63" s="231"/>
      <c r="W63" s="12"/>
      <c r="X63" s="12"/>
      <c r="AA63" s="231" t="s">
        <v>252</v>
      </c>
      <c r="AB63" s="295">
        <f t="shared" si="1"/>
        <v>-169556.40000000002</v>
      </c>
      <c r="AC63" s="296">
        <f>'TAM Projet 1 (2)'!$B$37</f>
        <v>14129.7</v>
      </c>
      <c r="AD63" s="296">
        <f t="shared" si="0"/>
        <v>-183686.10000000003</v>
      </c>
    </row>
    <row r="64" spans="1:30" ht="15.75" customHeight="1" x14ac:dyDescent="0.3">
      <c r="P64" s="1"/>
      <c r="T64" s="318" t="s">
        <v>313</v>
      </c>
      <c r="U64" s="322" t="s">
        <v>199</v>
      </c>
      <c r="V64" s="320">
        <v>0</v>
      </c>
      <c r="W64" s="12"/>
      <c r="X64" s="12"/>
      <c r="AA64" s="231" t="s">
        <v>253</v>
      </c>
      <c r="AB64" s="295">
        <f t="shared" si="1"/>
        <v>-183686.10000000003</v>
      </c>
      <c r="AC64" s="296">
        <f>'TAM Projet 1 (2)'!$B$37</f>
        <v>14129.7</v>
      </c>
      <c r="AD64" s="296">
        <f t="shared" si="0"/>
        <v>-197815.80000000005</v>
      </c>
    </row>
    <row r="65" spans="16:30" ht="15.75" customHeight="1" x14ac:dyDescent="0.3">
      <c r="P65" s="1"/>
      <c r="T65" s="318"/>
      <c r="U65" s="321" t="s">
        <v>309</v>
      </c>
      <c r="V65" s="320">
        <f>SUM('TAM Projet 1 (2)'!F11*0.15)</f>
        <v>0</v>
      </c>
      <c r="W65" s="12"/>
      <c r="X65" s="12"/>
      <c r="AA65" s="231" t="s">
        <v>255</v>
      </c>
      <c r="AB65" s="295">
        <f t="shared" si="1"/>
        <v>-197815.80000000005</v>
      </c>
      <c r="AC65" s="296">
        <f>'TAM Projet 1 (2)'!$B$37</f>
        <v>14129.7</v>
      </c>
      <c r="AD65" s="296">
        <f t="shared" si="0"/>
        <v>-211945.50000000006</v>
      </c>
    </row>
    <row r="66" spans="16:30" ht="15.75" customHeight="1" x14ac:dyDescent="0.3">
      <c r="P66" s="1"/>
      <c r="T66" s="231"/>
      <c r="U66" s="321" t="s">
        <v>178</v>
      </c>
      <c r="V66" s="320">
        <f>SUM('TAM Projet 1 (2)'!F11*0.5)</f>
        <v>0</v>
      </c>
      <c r="W66" s="12"/>
      <c r="X66" s="12"/>
      <c r="AA66" s="231" t="s">
        <v>257</v>
      </c>
      <c r="AB66" s="295">
        <f t="shared" si="1"/>
        <v>-211945.50000000006</v>
      </c>
      <c r="AC66" s="296">
        <f>'TAM Projet 1 (2)'!$B$37</f>
        <v>14129.7</v>
      </c>
      <c r="AD66" s="296">
        <f t="shared" si="0"/>
        <v>-226075.20000000007</v>
      </c>
    </row>
    <row r="67" spans="16:30" ht="15.75" customHeight="1" x14ac:dyDescent="0.3">
      <c r="P67" s="1"/>
      <c r="T67" s="231"/>
      <c r="U67" s="231"/>
      <c r="V67" s="231"/>
      <c r="W67" s="12"/>
      <c r="X67" s="12"/>
      <c r="AA67" s="231" t="s">
        <v>259</v>
      </c>
      <c r="AB67" s="295">
        <f t="shared" si="1"/>
        <v>-226075.20000000007</v>
      </c>
      <c r="AC67" s="296">
        <f>'TAM Projet 1 (2)'!$B$37</f>
        <v>14129.7</v>
      </c>
      <c r="AD67" s="296">
        <f t="shared" si="0"/>
        <v>-240204.90000000008</v>
      </c>
    </row>
    <row r="68" spans="16:30" ht="15.75" customHeight="1" x14ac:dyDescent="0.3">
      <c r="P68" s="1"/>
      <c r="T68" s="318" t="s">
        <v>314</v>
      </c>
      <c r="U68" s="322" t="s">
        <v>199</v>
      </c>
      <c r="V68" s="320">
        <v>0</v>
      </c>
      <c r="W68" s="12"/>
      <c r="X68" s="12"/>
      <c r="AA68" s="231" t="s">
        <v>261</v>
      </c>
      <c r="AB68" s="295">
        <f t="shared" si="1"/>
        <v>-240204.90000000008</v>
      </c>
      <c r="AC68" s="296">
        <f>'TAM Projet 1 (2)'!$B$37</f>
        <v>14129.7</v>
      </c>
      <c r="AD68" s="296">
        <f t="shared" si="0"/>
        <v>-254334.60000000009</v>
      </c>
    </row>
    <row r="69" spans="16:30" ht="15.75" customHeight="1" x14ac:dyDescent="0.3">
      <c r="P69" s="1"/>
      <c r="T69" s="318"/>
      <c r="U69" s="321" t="s">
        <v>309</v>
      </c>
      <c r="V69" s="320">
        <f>SUM('TAM Projet 1 (2)'!F13*0.15)</f>
        <v>0</v>
      </c>
      <c r="W69" s="12"/>
      <c r="X69" s="12"/>
      <c r="AA69" s="231" t="s">
        <v>262</v>
      </c>
      <c r="AB69" s="295">
        <f t="shared" si="1"/>
        <v>-254334.60000000009</v>
      </c>
      <c r="AC69" s="296">
        <f>'TAM Projet 1 (2)'!$B$37</f>
        <v>14129.7</v>
      </c>
      <c r="AD69" s="296">
        <f t="shared" si="0"/>
        <v>-268464.3000000001</v>
      </c>
    </row>
    <row r="70" spans="16:30" ht="15.75" customHeight="1" x14ac:dyDescent="0.3">
      <c r="P70" s="1"/>
      <c r="T70" s="318"/>
      <c r="U70" s="321" t="s">
        <v>178</v>
      </c>
      <c r="V70" s="320">
        <f>SUM('TAM Projet 1 (2)'!F13*0.5)</f>
        <v>0</v>
      </c>
      <c r="W70" s="12"/>
      <c r="X70" s="12"/>
      <c r="AB70" s="27"/>
    </row>
    <row r="71" spans="16:30" ht="15.75" customHeight="1" x14ac:dyDescent="0.3">
      <c r="P71" s="1"/>
      <c r="T71" s="318"/>
      <c r="U71" s="231"/>
      <c r="V71" s="231"/>
      <c r="W71" s="12"/>
      <c r="X71" s="12"/>
      <c r="AB71" s="27"/>
    </row>
    <row r="72" spans="16:30" ht="15.75" customHeight="1" x14ac:dyDescent="0.3">
      <c r="P72" s="1"/>
      <c r="T72" s="318" t="s">
        <v>315</v>
      </c>
      <c r="U72" s="322" t="s">
        <v>199</v>
      </c>
      <c r="V72" s="320">
        <v>0</v>
      </c>
      <c r="W72" s="12"/>
      <c r="X72" s="12"/>
      <c r="AB72" s="27"/>
    </row>
    <row r="73" spans="16:30" ht="15.75" customHeight="1" x14ac:dyDescent="0.3">
      <c r="P73" s="1"/>
      <c r="T73" s="318"/>
      <c r="U73" s="321" t="s">
        <v>309</v>
      </c>
      <c r="V73" s="320">
        <f>SUM('TAM Projet 1 (2)'!F15*0.15)</f>
        <v>0</v>
      </c>
      <c r="W73" s="12"/>
      <c r="X73" s="12"/>
      <c r="AB73" s="27"/>
    </row>
    <row r="74" spans="16:30" ht="15.75" customHeight="1" x14ac:dyDescent="0.3">
      <c r="P74" s="1"/>
      <c r="T74" s="318"/>
      <c r="U74" s="321" t="s">
        <v>178</v>
      </c>
      <c r="V74" s="320">
        <f>SUM('TAM Projet 1 (2)'!F15*0.5)</f>
        <v>0</v>
      </c>
      <c r="W74" s="12"/>
      <c r="X74" s="12"/>
      <c r="AB74" s="27"/>
    </row>
    <row r="75" spans="16:30" ht="15.75" customHeight="1" x14ac:dyDescent="0.3">
      <c r="P75" s="1"/>
      <c r="T75" s="318"/>
      <c r="U75" s="231"/>
      <c r="V75" s="231"/>
      <c r="W75" s="12"/>
      <c r="X75" s="12"/>
      <c r="AB75" s="27"/>
    </row>
    <row r="76" spans="16:30" ht="15.75" customHeight="1" x14ac:dyDescent="0.3">
      <c r="P76" s="1"/>
      <c r="T76" s="318" t="s">
        <v>316</v>
      </c>
      <c r="U76" s="322" t="s">
        <v>199</v>
      </c>
      <c r="V76" s="320">
        <v>0</v>
      </c>
      <c r="W76" s="12"/>
      <c r="X76" s="12"/>
      <c r="AB76" s="27"/>
    </row>
    <row r="77" spans="16:30" ht="15.75" customHeight="1" x14ac:dyDescent="0.3">
      <c r="P77" s="1"/>
      <c r="T77" s="318"/>
      <c r="U77" s="321" t="s">
        <v>309</v>
      </c>
      <c r="V77" s="320">
        <f>SUM('TAM Projet 1 (2)'!H3*0.15)</f>
        <v>0</v>
      </c>
      <c r="W77" s="12"/>
      <c r="X77" s="12"/>
      <c r="AB77" s="27"/>
    </row>
    <row r="78" spans="16:30" ht="15.75" customHeight="1" x14ac:dyDescent="0.3">
      <c r="P78" s="1"/>
      <c r="T78" s="318"/>
      <c r="U78" s="321" t="s">
        <v>178</v>
      </c>
      <c r="V78" s="320">
        <f>SUM('TAM Projet 1 (2)'!H3*0.5)</f>
        <v>0</v>
      </c>
      <c r="W78" s="12"/>
      <c r="X78" s="12"/>
      <c r="AB78" s="27"/>
    </row>
    <row r="79" spans="16:30" ht="15.75" customHeight="1" x14ac:dyDescent="0.3">
      <c r="P79" s="1"/>
      <c r="T79" s="318"/>
      <c r="U79" s="231"/>
      <c r="V79" s="231"/>
      <c r="W79" s="12"/>
      <c r="X79" s="12"/>
      <c r="AB79" s="27"/>
    </row>
    <row r="80" spans="16:30" ht="15.75" customHeight="1" x14ac:dyDescent="0.3">
      <c r="P80" s="1"/>
      <c r="T80" s="318" t="s">
        <v>317</v>
      </c>
      <c r="U80" s="322" t="s">
        <v>199</v>
      </c>
      <c r="V80" s="320">
        <v>0</v>
      </c>
      <c r="W80" s="12"/>
      <c r="X80" s="12"/>
      <c r="AB80" s="27"/>
    </row>
    <row r="81" spans="16:28" ht="15.75" customHeight="1" x14ac:dyDescent="0.3">
      <c r="P81" s="1"/>
      <c r="T81" s="318"/>
      <c r="U81" s="321" t="s">
        <v>309</v>
      </c>
      <c r="V81" s="320">
        <f>SUM('TAM Projet 1 (2)'!H5*0.15)</f>
        <v>0</v>
      </c>
      <c r="W81" s="12"/>
      <c r="X81" s="12"/>
      <c r="AB81" s="27"/>
    </row>
    <row r="82" spans="16:28" ht="15.75" customHeight="1" x14ac:dyDescent="0.3">
      <c r="P82" s="1"/>
      <c r="T82" s="318"/>
      <c r="U82" s="321" t="s">
        <v>178</v>
      </c>
      <c r="V82" s="320">
        <f>SUM('TAM Projet 1 (2)'!H5*0.5)</f>
        <v>0</v>
      </c>
      <c r="W82" s="12"/>
      <c r="X82" s="12"/>
      <c r="AB82" s="27"/>
    </row>
    <row r="83" spans="16:28" ht="15.75" customHeight="1" x14ac:dyDescent="0.3">
      <c r="P83" s="1"/>
      <c r="T83" s="318"/>
      <c r="U83" s="231"/>
      <c r="V83" s="231"/>
      <c r="W83" s="12"/>
      <c r="X83" s="12"/>
      <c r="AB83" s="27"/>
    </row>
    <row r="84" spans="16:28" ht="15.75" customHeight="1" x14ac:dyDescent="0.3">
      <c r="P84" s="1"/>
      <c r="T84" s="318" t="s">
        <v>318</v>
      </c>
      <c r="U84" s="322" t="s">
        <v>199</v>
      </c>
      <c r="V84" s="320">
        <v>0</v>
      </c>
      <c r="W84" s="12"/>
      <c r="X84" s="12"/>
      <c r="AB84" s="27"/>
    </row>
    <row r="85" spans="16:28" ht="15.75" customHeight="1" x14ac:dyDescent="0.3">
      <c r="P85" s="1"/>
      <c r="T85" s="318"/>
      <c r="U85" s="321" t="s">
        <v>309</v>
      </c>
      <c r="V85" s="320">
        <f>SUM('TAM Projet 1 (2)'!H7*0.15)</f>
        <v>0</v>
      </c>
      <c r="W85" s="12"/>
      <c r="X85" s="12"/>
      <c r="AB85" s="27"/>
    </row>
    <row r="86" spans="16:28" ht="15.75" customHeight="1" x14ac:dyDescent="0.3">
      <c r="P86" s="1"/>
      <c r="T86" s="318"/>
      <c r="U86" s="321" t="s">
        <v>178</v>
      </c>
      <c r="V86" s="320">
        <f>SUM('TAM Projet 1 (2)'!H7*0.5)</f>
        <v>0</v>
      </c>
      <c r="W86" s="12"/>
      <c r="X86" s="12"/>
      <c r="AB86" s="27"/>
    </row>
    <row r="87" spans="16:28" ht="15.75" customHeight="1" x14ac:dyDescent="0.3">
      <c r="P87" s="1"/>
      <c r="T87" s="318"/>
      <c r="U87" s="231"/>
      <c r="V87" s="231"/>
      <c r="W87" s="12"/>
      <c r="X87" s="12"/>
      <c r="AB87" s="27"/>
    </row>
    <row r="88" spans="16:28" ht="15.75" customHeight="1" x14ac:dyDescent="0.3">
      <c r="P88" s="1"/>
      <c r="T88" s="318" t="s">
        <v>319</v>
      </c>
      <c r="U88" s="322" t="s">
        <v>199</v>
      </c>
      <c r="V88" s="320">
        <v>0</v>
      </c>
      <c r="W88" s="12"/>
      <c r="X88" s="12"/>
      <c r="AB88" s="27"/>
    </row>
    <row r="89" spans="16:28" ht="15.75" customHeight="1" x14ac:dyDescent="0.3">
      <c r="P89" s="1"/>
      <c r="T89" s="231"/>
      <c r="U89" s="321" t="s">
        <v>309</v>
      </c>
      <c r="V89" s="320">
        <f>SUM('TAM Projet 1 (2)'!H9*0.15)</f>
        <v>439.5</v>
      </c>
      <c r="W89" s="12"/>
      <c r="X89" s="12"/>
      <c r="AB89" s="27"/>
    </row>
    <row r="90" spans="16:28" ht="15.75" customHeight="1" x14ac:dyDescent="0.3">
      <c r="P90" s="1"/>
      <c r="T90" s="231"/>
      <c r="U90" s="321" t="s">
        <v>178</v>
      </c>
      <c r="V90" s="320">
        <f>SUM('TAM Projet 1 (2)'!H9*0.5)</f>
        <v>1465</v>
      </c>
      <c r="W90" s="12"/>
      <c r="X90" s="12"/>
      <c r="AB90" s="27"/>
    </row>
    <row r="91" spans="16:28" ht="15.75" customHeight="1" x14ac:dyDescent="0.3">
      <c r="P91" s="1"/>
      <c r="T91" s="231"/>
      <c r="U91" s="231"/>
      <c r="V91" s="231"/>
      <c r="W91" s="12"/>
      <c r="X91" s="12"/>
      <c r="AB91" s="27"/>
    </row>
    <row r="92" spans="16:28" ht="15.75" customHeight="1" x14ac:dyDescent="0.3">
      <c r="P92" s="1"/>
      <c r="T92" s="231"/>
      <c r="U92" s="231"/>
      <c r="V92" s="231"/>
      <c r="W92" s="12"/>
      <c r="X92" s="12"/>
      <c r="AB92" s="27"/>
    </row>
    <row r="93" spans="16:28" ht="15.75" customHeight="1" x14ac:dyDescent="0.3">
      <c r="P93" s="1"/>
      <c r="T93" s="231" t="s">
        <v>320</v>
      </c>
      <c r="U93" s="322" t="s">
        <v>199</v>
      </c>
      <c r="V93" s="320">
        <v>0</v>
      </c>
      <c r="W93" s="12"/>
      <c r="X93" s="12"/>
      <c r="AB93" s="27"/>
    </row>
    <row r="94" spans="16:28" ht="15.75" customHeight="1" x14ac:dyDescent="0.3">
      <c r="P94" s="1"/>
      <c r="T94" s="231"/>
      <c r="U94" s="321" t="s">
        <v>309</v>
      </c>
      <c r="V94" s="320">
        <f>SUM('TAM Projet 1 (2)'!H11*0.15)</f>
        <v>0</v>
      </c>
      <c r="W94" s="12"/>
      <c r="X94" s="12"/>
      <c r="AB94" s="27"/>
    </row>
    <row r="95" spans="16:28" ht="15.75" customHeight="1" x14ac:dyDescent="0.3">
      <c r="P95" s="1"/>
      <c r="T95" s="231"/>
      <c r="U95" s="321" t="s">
        <v>178</v>
      </c>
      <c r="V95" s="320">
        <f>SUM('TAM Projet 1 (2)'!H11*0.5)</f>
        <v>0</v>
      </c>
      <c r="W95" s="12"/>
      <c r="X95" s="12"/>
      <c r="AB95" s="27"/>
    </row>
    <row r="96" spans="16:28" ht="15.75" customHeight="1" x14ac:dyDescent="0.2">
      <c r="P96" s="1"/>
    </row>
    <row r="97" spans="16:16" ht="15.75" customHeight="1" x14ac:dyDescent="0.2">
      <c r="P97" s="1"/>
    </row>
    <row r="98" spans="16:16" ht="15.75" customHeight="1" x14ac:dyDescent="0.2">
      <c r="P98" s="1"/>
    </row>
    <row r="99" spans="16:16" ht="15.75" customHeight="1" x14ac:dyDescent="0.2">
      <c r="P99" s="1"/>
    </row>
    <row r="100" spans="16:16" ht="15.75" customHeight="1" x14ac:dyDescent="0.2">
      <c r="P100" s="1"/>
    </row>
    <row r="101" spans="16:16" ht="15.75" customHeight="1" x14ac:dyDescent="0.2">
      <c r="P101" s="1"/>
    </row>
    <row r="102" spans="16:16" ht="15.75" customHeight="1" x14ac:dyDescent="0.2">
      <c r="P102" s="1"/>
    </row>
    <row r="103" spans="16:16" ht="15.75" customHeight="1" x14ac:dyDescent="0.2">
      <c r="P103" s="1"/>
    </row>
    <row r="104" spans="16:16" ht="15.75" customHeight="1" x14ac:dyDescent="0.2">
      <c r="P104" s="1"/>
    </row>
    <row r="105" spans="16:16" ht="15.75" customHeight="1" x14ac:dyDescent="0.2">
      <c r="P105" s="1"/>
    </row>
    <row r="106" spans="16:16" ht="15.75" customHeight="1" x14ac:dyDescent="0.2">
      <c r="P106" s="1"/>
    </row>
    <row r="107" spans="16:16" ht="15.75" customHeight="1" x14ac:dyDescent="0.2">
      <c r="P107" s="1"/>
    </row>
    <row r="108" spans="16:16" ht="15.75" customHeight="1" x14ac:dyDescent="0.2">
      <c r="P108" s="1"/>
    </row>
    <row r="109" spans="16:16" ht="15.75" customHeight="1" x14ac:dyDescent="0.2">
      <c r="P109" s="1"/>
    </row>
    <row r="110" spans="16:16" ht="15.75" customHeight="1" x14ac:dyDescent="0.2">
      <c r="P110" s="1"/>
    </row>
    <row r="111" spans="16:16" ht="15.75" customHeight="1" x14ac:dyDescent="0.2">
      <c r="P111" s="1"/>
    </row>
    <row r="112" spans="16:16" ht="15.75" customHeight="1" x14ac:dyDescent="0.2">
      <c r="P112" s="1"/>
    </row>
    <row r="113" spans="16:16" ht="15.75" customHeight="1" x14ac:dyDescent="0.2">
      <c r="P113" s="1"/>
    </row>
    <row r="114" spans="16:16" ht="15.75" customHeight="1" x14ac:dyDescent="0.2">
      <c r="P114" s="1"/>
    </row>
    <row r="115" spans="16:16" ht="15.75" customHeight="1" x14ac:dyDescent="0.2">
      <c r="P115" s="1"/>
    </row>
    <row r="116" spans="16:16" ht="15.75" customHeight="1" x14ac:dyDescent="0.2">
      <c r="P116" s="1"/>
    </row>
    <row r="117" spans="16:16" ht="15.75" customHeight="1" x14ac:dyDescent="0.2">
      <c r="P117" s="1"/>
    </row>
    <row r="118" spans="16:16" ht="15.75" customHeight="1" x14ac:dyDescent="0.2">
      <c r="P118" s="1"/>
    </row>
    <row r="119" spans="16:16" ht="15.75" customHeight="1" x14ac:dyDescent="0.2">
      <c r="P119" s="1"/>
    </row>
    <row r="120" spans="16:16" ht="15.75" customHeight="1" x14ac:dyDescent="0.2">
      <c r="P120" s="1"/>
    </row>
    <row r="121" spans="16:16" ht="15.75" customHeight="1" x14ac:dyDescent="0.2">
      <c r="P121" s="1"/>
    </row>
    <row r="122" spans="16:16" ht="15.75" customHeight="1" x14ac:dyDescent="0.2">
      <c r="P122" s="1"/>
    </row>
    <row r="123" spans="16:16" ht="15.75" customHeight="1" x14ac:dyDescent="0.2">
      <c r="P123" s="1"/>
    </row>
    <row r="124" spans="16:16" ht="15.75" customHeight="1" x14ac:dyDescent="0.2">
      <c r="P124" s="1"/>
    </row>
    <row r="125" spans="16:16" ht="15.75" customHeight="1" x14ac:dyDescent="0.2">
      <c r="P125" s="1"/>
    </row>
    <row r="126" spans="16:16" ht="15.75" customHeight="1" x14ac:dyDescent="0.2">
      <c r="P126" s="1"/>
    </row>
    <row r="127" spans="16:16" ht="15.75" customHeight="1" x14ac:dyDescent="0.2">
      <c r="P127" s="1"/>
    </row>
    <row r="128" spans="16:16" ht="15.75" customHeight="1" x14ac:dyDescent="0.2">
      <c r="P128" s="1"/>
    </row>
    <row r="129" spans="16:16" ht="15.75" customHeight="1" x14ac:dyDescent="0.2">
      <c r="P129" s="1"/>
    </row>
    <row r="130" spans="16:16" ht="15.75" customHeight="1" x14ac:dyDescent="0.2">
      <c r="P130" s="1"/>
    </row>
    <row r="131" spans="16:16" ht="15.75" customHeight="1" x14ac:dyDescent="0.2">
      <c r="P131" s="1"/>
    </row>
    <row r="132" spans="16:16" ht="15.75" customHeight="1" x14ac:dyDescent="0.2">
      <c r="P132" s="1"/>
    </row>
    <row r="133" spans="16:16" ht="15.75" customHeight="1" x14ac:dyDescent="0.2">
      <c r="P133" s="1"/>
    </row>
    <row r="134" spans="16:16" ht="15.75" customHeight="1" x14ac:dyDescent="0.2">
      <c r="P134" s="1"/>
    </row>
    <row r="135" spans="16:16" ht="15.75" customHeight="1" x14ac:dyDescent="0.2">
      <c r="P135" s="1"/>
    </row>
    <row r="136" spans="16:16" ht="15.75" customHeight="1" x14ac:dyDescent="0.2">
      <c r="P136" s="1"/>
    </row>
    <row r="137" spans="16:16" ht="15.75" customHeight="1" x14ac:dyDescent="0.2">
      <c r="P137" s="1"/>
    </row>
    <row r="138" spans="16:16" ht="15.75" customHeight="1" x14ac:dyDescent="0.2">
      <c r="P138" s="1"/>
    </row>
    <row r="139" spans="16:16" ht="15.75" customHeight="1" x14ac:dyDescent="0.2">
      <c r="P139" s="1"/>
    </row>
    <row r="140" spans="16:16" ht="15.75" customHeight="1" x14ac:dyDescent="0.2">
      <c r="P140" s="1"/>
    </row>
    <row r="141" spans="16:16" ht="15.75" customHeight="1" x14ac:dyDescent="0.2">
      <c r="P141" s="1"/>
    </row>
    <row r="142" spans="16:16" ht="15.75" customHeight="1" x14ac:dyDescent="0.2">
      <c r="P142" s="1"/>
    </row>
    <row r="143" spans="16:16" ht="15.75" customHeight="1" x14ac:dyDescent="0.2">
      <c r="P143" s="1"/>
    </row>
    <row r="144" spans="16:16" ht="15.75" customHeight="1" x14ac:dyDescent="0.2">
      <c r="P144" s="1"/>
    </row>
    <row r="145" spans="16:16" ht="15.75" customHeight="1" x14ac:dyDescent="0.2">
      <c r="P145" s="1"/>
    </row>
    <row r="146" spans="16:16" ht="15.75" customHeight="1" x14ac:dyDescent="0.2">
      <c r="P146" s="1"/>
    </row>
    <row r="147" spans="16:16" ht="15.75" customHeight="1" x14ac:dyDescent="0.2">
      <c r="P147" s="1"/>
    </row>
    <row r="148" spans="16:16" ht="15.75" customHeight="1" x14ac:dyDescent="0.2">
      <c r="P148" s="1"/>
    </row>
    <row r="149" spans="16:16" ht="15.75" customHeight="1" x14ac:dyDescent="0.2">
      <c r="P149" s="1"/>
    </row>
    <row r="150" spans="16:16" ht="15.75" customHeight="1" x14ac:dyDescent="0.2">
      <c r="P150" s="1"/>
    </row>
    <row r="151" spans="16:16" ht="15.75" customHeight="1" x14ac:dyDescent="0.2">
      <c r="P151" s="1"/>
    </row>
    <row r="152" spans="16:16" ht="15.75" customHeight="1" x14ac:dyDescent="0.2">
      <c r="P152" s="1"/>
    </row>
    <row r="153" spans="16:16" ht="15.75" customHeight="1" x14ac:dyDescent="0.2">
      <c r="P153" s="1"/>
    </row>
    <row r="154" spans="16:16" ht="15.75" customHeight="1" x14ac:dyDescent="0.2">
      <c r="P154" s="1"/>
    </row>
    <row r="155" spans="16:16" ht="15.75" customHeight="1" x14ac:dyDescent="0.2">
      <c r="P155" s="1"/>
    </row>
    <row r="156" spans="16:16" ht="15.75" customHeight="1" x14ac:dyDescent="0.2">
      <c r="P156" s="1"/>
    </row>
    <row r="157" spans="16:16" ht="15.75" customHeight="1" x14ac:dyDescent="0.2">
      <c r="P157" s="1"/>
    </row>
    <row r="158" spans="16:16" ht="15.75" customHeight="1" x14ac:dyDescent="0.2">
      <c r="P158" s="1"/>
    </row>
    <row r="159" spans="16:16" ht="15.75" customHeight="1" x14ac:dyDescent="0.2">
      <c r="P159" s="1"/>
    </row>
    <row r="160" spans="16:16" ht="15.75" customHeight="1" x14ac:dyDescent="0.2">
      <c r="P160" s="1"/>
    </row>
    <row r="161" spans="16:16" ht="15.75" customHeight="1" x14ac:dyDescent="0.2">
      <c r="P161" s="1"/>
    </row>
    <row r="162" spans="16:16" ht="15.75" customHeight="1" x14ac:dyDescent="0.2">
      <c r="P162" s="1"/>
    </row>
    <row r="163" spans="16:16" ht="15.75" customHeight="1" x14ac:dyDescent="0.2">
      <c r="P163" s="1"/>
    </row>
    <row r="164" spans="16:16" ht="15.75" customHeight="1" x14ac:dyDescent="0.2">
      <c r="P164" s="1"/>
    </row>
    <row r="165" spans="16:16" ht="15.75" customHeight="1" x14ac:dyDescent="0.2">
      <c r="P165" s="1"/>
    </row>
    <row r="166" spans="16:16" ht="15.75" customHeight="1" x14ac:dyDescent="0.2">
      <c r="P166" s="1"/>
    </row>
    <row r="167" spans="16:16" ht="15.75" customHeight="1" x14ac:dyDescent="0.2">
      <c r="P167" s="1"/>
    </row>
    <row r="168" spans="16:16" ht="15.75" customHeight="1" x14ac:dyDescent="0.2">
      <c r="P168" s="1"/>
    </row>
    <row r="169" spans="16:16" ht="15.75" customHeight="1" x14ac:dyDescent="0.2">
      <c r="P169" s="1"/>
    </row>
    <row r="170" spans="16:16" ht="15.75" customHeight="1" x14ac:dyDescent="0.2">
      <c r="P170" s="1"/>
    </row>
    <row r="171" spans="16:16" ht="15.75" customHeight="1" x14ac:dyDescent="0.2">
      <c r="P171" s="1"/>
    </row>
    <row r="172" spans="16:16" ht="15.75" customHeight="1" x14ac:dyDescent="0.2">
      <c r="P172" s="1"/>
    </row>
    <row r="173" spans="16:16" ht="15.75" customHeight="1" x14ac:dyDescent="0.2">
      <c r="P173" s="1"/>
    </row>
    <row r="174" spans="16:16" ht="15.75" customHeight="1" x14ac:dyDescent="0.2">
      <c r="P174" s="1"/>
    </row>
    <row r="175" spans="16:16" ht="15.75" customHeight="1" x14ac:dyDescent="0.2">
      <c r="P175" s="1"/>
    </row>
    <row r="176" spans="16:16" ht="15.75" customHeight="1" x14ac:dyDescent="0.2">
      <c r="P176" s="1"/>
    </row>
    <row r="177" spans="16:16" ht="15.75" customHeight="1" x14ac:dyDescent="0.2">
      <c r="P177" s="1"/>
    </row>
    <row r="178" spans="16:16" ht="15.75" customHeight="1" x14ac:dyDescent="0.2">
      <c r="P178" s="1"/>
    </row>
    <row r="179" spans="16:16" ht="15.75" customHeight="1" x14ac:dyDescent="0.2">
      <c r="P179" s="1"/>
    </row>
    <row r="180" spans="16:16" ht="15.75" customHeight="1" x14ac:dyDescent="0.2">
      <c r="P180" s="1"/>
    </row>
    <row r="181" spans="16:16" ht="15.75" customHeight="1" x14ac:dyDescent="0.2">
      <c r="P181" s="1"/>
    </row>
    <row r="182" spans="16:16" ht="15.75" customHeight="1" x14ac:dyDescent="0.2">
      <c r="P182" s="1"/>
    </row>
    <row r="183" spans="16:16" ht="15.75" customHeight="1" x14ac:dyDescent="0.2">
      <c r="P183" s="1"/>
    </row>
    <row r="184" spans="16:16" ht="15.75" customHeight="1" x14ac:dyDescent="0.2">
      <c r="P184" s="1"/>
    </row>
    <row r="185" spans="16:16" ht="15.75" customHeight="1" x14ac:dyDescent="0.2">
      <c r="P185" s="1"/>
    </row>
    <row r="186" spans="16:16" ht="15.75" customHeight="1" x14ac:dyDescent="0.2">
      <c r="P186" s="1"/>
    </row>
    <row r="187" spans="16:16" ht="15.75" customHeight="1" x14ac:dyDescent="0.2">
      <c r="P187" s="1"/>
    </row>
    <row r="188" spans="16:16" ht="15.75" customHeight="1" x14ac:dyDescent="0.2">
      <c r="P188" s="1"/>
    </row>
    <row r="189" spans="16:16" ht="15.75" customHeight="1" x14ac:dyDescent="0.2">
      <c r="P189" s="1"/>
    </row>
    <row r="190" spans="16:16" ht="15.75" customHeight="1" x14ac:dyDescent="0.2">
      <c r="P190" s="1"/>
    </row>
    <row r="191" spans="16:16" ht="15.75" customHeight="1" x14ac:dyDescent="0.2">
      <c r="P191" s="1"/>
    </row>
    <row r="192" spans="16:16" ht="15.75" customHeight="1" x14ac:dyDescent="0.2">
      <c r="P192" s="1"/>
    </row>
    <row r="193" spans="16:16" ht="15.75" customHeight="1" x14ac:dyDescent="0.2">
      <c r="P193" s="1"/>
    </row>
    <row r="194" spans="16:16" ht="15.75" customHeight="1" x14ac:dyDescent="0.2">
      <c r="P194" s="1"/>
    </row>
    <row r="195" spans="16:16" ht="15.75" customHeight="1" x14ac:dyDescent="0.2">
      <c r="P195" s="1"/>
    </row>
    <row r="196" spans="16:16" ht="15.75" customHeight="1" x14ac:dyDescent="0.2">
      <c r="P196" s="1"/>
    </row>
    <row r="197" spans="16:16" ht="15.75" customHeight="1" x14ac:dyDescent="0.2">
      <c r="P197" s="1"/>
    </row>
    <row r="198" spans="16:16" ht="15.75" customHeight="1" x14ac:dyDescent="0.2">
      <c r="P198" s="1"/>
    </row>
    <row r="199" spans="16:16" ht="15.75" customHeight="1" x14ac:dyDescent="0.2">
      <c r="P199" s="1"/>
    </row>
    <row r="200" spans="16:16" ht="15.75" customHeight="1" x14ac:dyDescent="0.2">
      <c r="P200" s="1"/>
    </row>
    <row r="201" spans="16:16" ht="15.75" customHeight="1" x14ac:dyDescent="0.2">
      <c r="P201" s="1"/>
    </row>
    <row r="202" spans="16:16" ht="15.75" customHeight="1" x14ac:dyDescent="0.2">
      <c r="P202" s="1"/>
    </row>
    <row r="203" spans="16:16" ht="15.75" customHeight="1" x14ac:dyDescent="0.2">
      <c r="P203" s="1"/>
    </row>
    <row r="204" spans="16:16" ht="15.75" customHeight="1" x14ac:dyDescent="0.2">
      <c r="P204" s="1"/>
    </row>
    <row r="205" spans="16:16" ht="15.75" customHeight="1" x14ac:dyDescent="0.2">
      <c r="P205" s="1"/>
    </row>
    <row r="206" spans="16:16" ht="15.75" customHeight="1" x14ac:dyDescent="0.2">
      <c r="P206" s="1"/>
    </row>
    <row r="207" spans="16:16" ht="15.75" customHeight="1" x14ac:dyDescent="0.2">
      <c r="P207" s="1"/>
    </row>
    <row r="208" spans="16:16" ht="15.75" customHeight="1" x14ac:dyDescent="0.2">
      <c r="P208" s="1"/>
    </row>
    <row r="209" spans="16:16" ht="15.75" customHeight="1" x14ac:dyDescent="0.2">
      <c r="P209" s="1"/>
    </row>
    <row r="210" spans="16:16" ht="15.75" customHeight="1" x14ac:dyDescent="0.2">
      <c r="P210" s="1"/>
    </row>
    <row r="211" spans="16:16" ht="15.75" customHeight="1" x14ac:dyDescent="0.2">
      <c r="P211" s="1"/>
    </row>
    <row r="212" spans="16:16" ht="15.75" customHeight="1" x14ac:dyDescent="0.2">
      <c r="P212" s="1"/>
    </row>
    <row r="213" spans="16:16" ht="15.75" customHeight="1" x14ac:dyDescent="0.2">
      <c r="P213" s="1"/>
    </row>
    <row r="214" spans="16:16" ht="15.75" customHeight="1" x14ac:dyDescent="0.2">
      <c r="P214" s="1"/>
    </row>
    <row r="215" spans="16:16" ht="15.75" customHeight="1" x14ac:dyDescent="0.2">
      <c r="P215" s="1"/>
    </row>
    <row r="216" spans="16:16" ht="15.75" customHeight="1" x14ac:dyDescent="0.2">
      <c r="P216" s="1"/>
    </row>
    <row r="217" spans="16:16" ht="15.75" customHeight="1" x14ac:dyDescent="0.2">
      <c r="P217" s="1"/>
    </row>
    <row r="218" spans="16:16" ht="15.75" customHeight="1" x14ac:dyDescent="0.2">
      <c r="P218" s="1"/>
    </row>
    <row r="219" spans="16:16" ht="15.75" customHeight="1" x14ac:dyDescent="0.2">
      <c r="P219" s="1"/>
    </row>
    <row r="220" spans="16:16" ht="15.75" customHeight="1" x14ac:dyDescent="0.2">
      <c r="P220" s="1"/>
    </row>
    <row r="221" spans="16:16" ht="15.75" customHeight="1" x14ac:dyDescent="0.2">
      <c r="P221" s="1"/>
    </row>
    <row r="222" spans="16:16" ht="15.75" customHeight="1" x14ac:dyDescent="0.2">
      <c r="P222" s="1"/>
    </row>
    <row r="223" spans="16:16" ht="15.75" customHeight="1" x14ac:dyDescent="0.2">
      <c r="P223" s="1"/>
    </row>
    <row r="224" spans="16:16" ht="15.75" customHeight="1" x14ac:dyDescent="0.2">
      <c r="P224" s="1"/>
    </row>
    <row r="225" spans="16:16" ht="15.75" customHeight="1" x14ac:dyDescent="0.2">
      <c r="P225" s="1"/>
    </row>
    <row r="226" spans="16:16" ht="15.75" customHeight="1" x14ac:dyDescent="0.2">
      <c r="P226" s="1"/>
    </row>
    <row r="227" spans="16:16" ht="15.75" customHeight="1" x14ac:dyDescent="0.2">
      <c r="P227" s="1"/>
    </row>
    <row r="228" spans="16:16" ht="15.75" customHeight="1" x14ac:dyDescent="0.2">
      <c r="P228" s="1"/>
    </row>
    <row r="229" spans="16:16" ht="15.75" customHeight="1" x14ac:dyDescent="0.2">
      <c r="P229" s="1"/>
    </row>
    <row r="230" spans="16:16" ht="15.75" customHeight="1" x14ac:dyDescent="0.2">
      <c r="P230" s="1"/>
    </row>
    <row r="231" spans="16:16" ht="15.75" customHeight="1" x14ac:dyDescent="0.2">
      <c r="P231" s="1"/>
    </row>
    <row r="232" spans="16:16" ht="15.75" customHeight="1" x14ac:dyDescent="0.2">
      <c r="P232" s="1"/>
    </row>
    <row r="233" spans="16:16" ht="15.75" customHeight="1" x14ac:dyDescent="0.2">
      <c r="P233" s="1"/>
    </row>
    <row r="234" spans="16:16" ht="15.75" customHeight="1" x14ac:dyDescent="0.2">
      <c r="P234" s="1"/>
    </row>
    <row r="235" spans="16:16" ht="15.75" customHeight="1" x14ac:dyDescent="0.2">
      <c r="P235" s="1"/>
    </row>
    <row r="236" spans="16:16" ht="15.75" customHeight="1" x14ac:dyDescent="0.2">
      <c r="P236" s="1"/>
    </row>
    <row r="237" spans="16:16" ht="15.75" customHeight="1" x14ac:dyDescent="0.2">
      <c r="P237" s="1"/>
    </row>
    <row r="238" spans="16:16" ht="15.75" customHeight="1" x14ac:dyDescent="0.2">
      <c r="P238" s="1"/>
    </row>
    <row r="239" spans="16:16" ht="15.75" customHeight="1" x14ac:dyDescent="0.2">
      <c r="P239" s="1"/>
    </row>
    <row r="240" spans="16:16" ht="15.75" customHeight="1" x14ac:dyDescent="0.2">
      <c r="P240" s="1"/>
    </row>
    <row r="241" spans="16:16" ht="15.75" customHeight="1" x14ac:dyDescent="0.2">
      <c r="P241" s="1"/>
    </row>
    <row r="242" spans="16:16" ht="15.75" customHeight="1" x14ac:dyDescent="0.2">
      <c r="P242" s="1"/>
    </row>
    <row r="243" spans="16:16" ht="15.75" customHeight="1" x14ac:dyDescent="0.2">
      <c r="P243" s="1"/>
    </row>
    <row r="244" spans="16:16" ht="15.75" customHeight="1" x14ac:dyDescent="0.2">
      <c r="P244" s="1"/>
    </row>
    <row r="245" spans="16:16" ht="15.75" customHeight="1" x14ac:dyDescent="0.2">
      <c r="P245" s="1"/>
    </row>
    <row r="246" spans="16:16" ht="15.75" customHeight="1" x14ac:dyDescent="0.2">
      <c r="P246" s="1"/>
    </row>
    <row r="247" spans="16:16" ht="15.75" customHeight="1" x14ac:dyDescent="0.2">
      <c r="P247" s="1"/>
    </row>
    <row r="248" spans="16:16" ht="15.75" customHeight="1" x14ac:dyDescent="0.2">
      <c r="P248" s="1"/>
    </row>
    <row r="249" spans="16:16" ht="15.75" customHeight="1" x14ac:dyDescent="0.2">
      <c r="P249" s="1"/>
    </row>
    <row r="250" spans="16:16" ht="15.75" customHeight="1" x14ac:dyDescent="0.2">
      <c r="P250" s="1"/>
    </row>
    <row r="251" spans="16:16" ht="15.75" customHeight="1" x14ac:dyDescent="0.2">
      <c r="P251" s="1"/>
    </row>
    <row r="252" spans="16:16" ht="15.75" customHeight="1" x14ac:dyDescent="0.2">
      <c r="P252" s="1"/>
    </row>
    <row r="253" spans="16:16" ht="15.75" customHeight="1" x14ac:dyDescent="0.2">
      <c r="P253" s="1"/>
    </row>
    <row r="254" spans="16:16" ht="15.75" customHeight="1" x14ac:dyDescent="0.2">
      <c r="P254" s="1"/>
    </row>
    <row r="255" spans="16:16" ht="15.75" customHeight="1" x14ac:dyDescent="0.2">
      <c r="P255" s="1"/>
    </row>
    <row r="256" spans="16:16" ht="15.75" customHeight="1" x14ac:dyDescent="0.2">
      <c r="P256" s="1"/>
    </row>
    <row r="257" spans="16:16" ht="15.75" customHeight="1" x14ac:dyDescent="0.2">
      <c r="P257" s="1"/>
    </row>
    <row r="258" spans="16:16" ht="15.75" customHeight="1" x14ac:dyDescent="0.2">
      <c r="P258" s="1"/>
    </row>
    <row r="259" spans="16:16" ht="15.75" customHeight="1" x14ac:dyDescent="0.2">
      <c r="P259" s="1"/>
    </row>
    <row r="260" spans="16:16" ht="15.75" customHeight="1" x14ac:dyDescent="0.2">
      <c r="P260" s="1"/>
    </row>
    <row r="261" spans="16:16" ht="15.75" customHeight="1" x14ac:dyDescent="0.2">
      <c r="P261" s="1"/>
    </row>
    <row r="262" spans="16:16" ht="15.75" customHeight="1" x14ac:dyDescent="0.2">
      <c r="P262" s="1"/>
    </row>
    <row r="263" spans="16:16" ht="15.75" customHeight="1" x14ac:dyDescent="0.2">
      <c r="P263" s="1"/>
    </row>
    <row r="264" spans="16:16" ht="15.75" customHeight="1" x14ac:dyDescent="0.2">
      <c r="P264" s="1"/>
    </row>
    <row r="265" spans="16:16" ht="15.75" customHeight="1" x14ac:dyDescent="0.2">
      <c r="P265" s="1"/>
    </row>
    <row r="266" spans="16:16" ht="15.75" customHeight="1" x14ac:dyDescent="0.2">
      <c r="P266" s="1"/>
    </row>
    <row r="267" spans="16:16" ht="15.75" customHeight="1" x14ac:dyDescent="0.2">
      <c r="P267" s="1"/>
    </row>
    <row r="268" spans="16:16" ht="15.75" customHeight="1" x14ac:dyDescent="0.2">
      <c r="P268" s="1"/>
    </row>
    <row r="269" spans="16:16" ht="15.75" customHeight="1" x14ac:dyDescent="0.2">
      <c r="P269" s="1"/>
    </row>
    <row r="270" spans="16:16" ht="15.75" customHeight="1" x14ac:dyDescent="0.2">
      <c r="P270" s="1"/>
    </row>
    <row r="271" spans="16:16" ht="15.75" customHeight="1" x14ac:dyDescent="0.2">
      <c r="P271" s="1"/>
    </row>
    <row r="272" spans="16:16" ht="15.75" customHeight="1" x14ac:dyDescent="0.2">
      <c r="P272" s="1"/>
    </row>
    <row r="273" spans="16:16" ht="15.75" customHeight="1" x14ac:dyDescent="0.2">
      <c r="P273" s="1"/>
    </row>
    <row r="274" spans="16:16" ht="15.75" customHeight="1" x14ac:dyDescent="0.2">
      <c r="P274" s="1"/>
    </row>
    <row r="275" spans="16:16" ht="15.75" customHeight="1" x14ac:dyDescent="0.2">
      <c r="P275" s="1"/>
    </row>
    <row r="276" spans="16:16" ht="15.75" customHeight="1" x14ac:dyDescent="0.2">
      <c r="P276" s="1"/>
    </row>
    <row r="277" spans="16:16" ht="15.75" customHeight="1" x14ac:dyDescent="0.2">
      <c r="P277" s="1"/>
    </row>
    <row r="278" spans="16:16" ht="15.75" customHeight="1" x14ac:dyDescent="0.2">
      <c r="P278" s="1"/>
    </row>
    <row r="279" spans="16:16" ht="15.75" customHeight="1" x14ac:dyDescent="0.2">
      <c r="P279" s="1"/>
    </row>
    <row r="280" spans="16:16" ht="15.75" customHeight="1" x14ac:dyDescent="0.2">
      <c r="P280" s="1"/>
    </row>
    <row r="281" spans="16:16" ht="15.75" customHeight="1" x14ac:dyDescent="0.2">
      <c r="P281" s="1"/>
    </row>
    <row r="282" spans="16:16" ht="15.75" customHeight="1" x14ac:dyDescent="0.2">
      <c r="P282" s="1"/>
    </row>
    <row r="283" spans="16:16" ht="15.75" customHeight="1" x14ac:dyDescent="0.2">
      <c r="P283" s="1"/>
    </row>
    <row r="284" spans="16:16" ht="15.75" customHeight="1" x14ac:dyDescent="0.2">
      <c r="P284" s="1"/>
    </row>
    <row r="285" spans="16:16" ht="15.75" customHeight="1" x14ac:dyDescent="0.2">
      <c r="P285" s="1"/>
    </row>
    <row r="286" spans="16:16" ht="15.75" customHeight="1" x14ac:dyDescent="0.2">
      <c r="P286" s="1"/>
    </row>
    <row r="287" spans="16:16" ht="15.75" customHeight="1" x14ac:dyDescent="0.2">
      <c r="P287" s="1"/>
    </row>
    <row r="288" spans="16:16" ht="15.75" customHeight="1" x14ac:dyDescent="0.2">
      <c r="P288" s="1"/>
    </row>
    <row r="289" spans="16:16" ht="15.75" customHeight="1" x14ac:dyDescent="0.2">
      <c r="P289" s="1"/>
    </row>
    <row r="290" spans="16:16" ht="15.75" customHeight="1" x14ac:dyDescent="0.2">
      <c r="P290" s="1"/>
    </row>
    <row r="291" spans="16:16" ht="15.75" customHeight="1" x14ac:dyDescent="0.2">
      <c r="P291" s="1"/>
    </row>
    <row r="292" spans="16:16" ht="15.75" customHeight="1" x14ac:dyDescent="0.2">
      <c r="P292" s="1"/>
    </row>
    <row r="293" spans="16:16" ht="15.75" customHeight="1" x14ac:dyDescent="0.2">
      <c r="P293" s="1"/>
    </row>
    <row r="294" spans="16:16" ht="15.75" customHeight="1" x14ac:dyDescent="0.2">
      <c r="P294" s="1"/>
    </row>
    <row r="295" spans="16:16" ht="15.75" customHeight="1" x14ac:dyDescent="0.2">
      <c r="P295" s="1"/>
    </row>
    <row r="296" spans="16:16" ht="15.75" customHeight="1" x14ac:dyDescent="0.2">
      <c r="P296" s="1"/>
    </row>
    <row r="297" spans="16:16" ht="15.75" customHeight="1" x14ac:dyDescent="0.2">
      <c r="P297" s="1"/>
    </row>
    <row r="298" spans="16:16" ht="15.75" customHeight="1" x14ac:dyDescent="0.2">
      <c r="P298" s="1"/>
    </row>
    <row r="299" spans="16:16" ht="15.75" customHeight="1" x14ac:dyDescent="0.2">
      <c r="P299" s="1"/>
    </row>
    <row r="300" spans="16:16" ht="15.75" customHeight="1" x14ac:dyDescent="0.2">
      <c r="P300" s="1"/>
    </row>
    <row r="301" spans="16:16" ht="15.75" customHeight="1" x14ac:dyDescent="0.2">
      <c r="P301" s="1"/>
    </row>
    <row r="302" spans="16:16" ht="15.75" customHeight="1" x14ac:dyDescent="0.2">
      <c r="P302" s="1"/>
    </row>
    <row r="303" spans="16:16" ht="15.75" customHeight="1" x14ac:dyDescent="0.2">
      <c r="P303" s="1"/>
    </row>
    <row r="304" spans="16:16" ht="15.75" customHeight="1" x14ac:dyDescent="0.2">
      <c r="P304" s="1"/>
    </row>
    <row r="305" spans="16:16" ht="15.75" customHeight="1" x14ac:dyDescent="0.2">
      <c r="P305" s="1"/>
    </row>
    <row r="306" spans="16:16" ht="15.75" customHeight="1" x14ac:dyDescent="0.2">
      <c r="P306" s="1"/>
    </row>
    <row r="307" spans="16:16" ht="15.75" customHeight="1" x14ac:dyDescent="0.2">
      <c r="P307" s="1"/>
    </row>
    <row r="308" spans="16:16" ht="15.75" customHeight="1" x14ac:dyDescent="0.2">
      <c r="P308" s="1"/>
    </row>
    <row r="309" spans="16:16" ht="15.75" customHeight="1" x14ac:dyDescent="0.2">
      <c r="P309" s="1"/>
    </row>
    <row r="310" spans="16:16" ht="15.75" customHeight="1" x14ac:dyDescent="0.2">
      <c r="P310" s="1"/>
    </row>
    <row r="311" spans="16:16" ht="15.75" customHeight="1" x14ac:dyDescent="0.2">
      <c r="P311" s="1"/>
    </row>
    <row r="312" spans="16:16" ht="15.75" customHeight="1" x14ac:dyDescent="0.2">
      <c r="P312" s="1"/>
    </row>
    <row r="313" spans="16:16" ht="15.75" customHeight="1" x14ac:dyDescent="0.2">
      <c r="P313" s="1"/>
    </row>
    <row r="314" spans="16:16" ht="15.75" customHeight="1" x14ac:dyDescent="0.2">
      <c r="P314" s="1"/>
    </row>
    <row r="315" spans="16:16" ht="15.75" customHeight="1" x14ac:dyDescent="0.2">
      <c r="P315" s="1"/>
    </row>
    <row r="316" spans="16:16" ht="15.75" customHeight="1" x14ac:dyDescent="0.2">
      <c r="P316" s="1"/>
    </row>
    <row r="317" spans="16:16" ht="15.75" customHeight="1" x14ac:dyDescent="0.2">
      <c r="P317" s="1"/>
    </row>
    <row r="318" spans="16:16" ht="15.75" customHeight="1" x14ac:dyDescent="0.2">
      <c r="P318" s="1"/>
    </row>
    <row r="319" spans="16:16" ht="15.75" customHeight="1" x14ac:dyDescent="0.2">
      <c r="P319" s="1"/>
    </row>
    <row r="320" spans="16:16" ht="15.75" customHeight="1" x14ac:dyDescent="0.2">
      <c r="P320" s="1"/>
    </row>
    <row r="321" spans="16:16" ht="15.75" customHeight="1" x14ac:dyDescent="0.2">
      <c r="P321" s="1"/>
    </row>
    <row r="322" spans="16:16" ht="15.75" customHeight="1" x14ac:dyDescent="0.2">
      <c r="P322" s="1"/>
    </row>
    <row r="323" spans="16:16" ht="15.75" customHeight="1" x14ac:dyDescent="0.2">
      <c r="P323" s="1"/>
    </row>
    <row r="324" spans="16:16" ht="15.75" customHeight="1" x14ac:dyDescent="0.2">
      <c r="P324" s="1"/>
    </row>
    <row r="325" spans="16:16" ht="15.75" customHeight="1" x14ac:dyDescent="0.2">
      <c r="P325" s="1"/>
    </row>
    <row r="326" spans="16:16" ht="15.75" customHeight="1" x14ac:dyDescent="0.2">
      <c r="P326" s="1"/>
    </row>
    <row r="327" spans="16:16" ht="15.75" customHeight="1" x14ac:dyDescent="0.2">
      <c r="P327" s="1"/>
    </row>
    <row r="328" spans="16:16" ht="15.75" customHeight="1" x14ac:dyDescent="0.2">
      <c r="P328" s="1"/>
    </row>
    <row r="329" spans="16:16" ht="15.75" customHeight="1" x14ac:dyDescent="0.2">
      <c r="P329" s="1"/>
    </row>
    <row r="330" spans="16:16" ht="15.75" customHeight="1" x14ac:dyDescent="0.2">
      <c r="P330" s="1"/>
    </row>
    <row r="331" spans="16:16" ht="15.75" customHeight="1" x14ac:dyDescent="0.2">
      <c r="P331" s="1"/>
    </row>
    <row r="332" spans="16:16" ht="15.75" customHeight="1" x14ac:dyDescent="0.2">
      <c r="P332" s="1"/>
    </row>
    <row r="333" spans="16:16" ht="15.75" customHeight="1" x14ac:dyDescent="0.2">
      <c r="P333" s="1"/>
    </row>
    <row r="334" spans="16:16" ht="15.75" customHeight="1" x14ac:dyDescent="0.2">
      <c r="P334" s="1"/>
    </row>
    <row r="335" spans="16:16" ht="15.75" customHeight="1" x14ac:dyDescent="0.2">
      <c r="P335" s="1"/>
    </row>
    <row r="336" spans="16:16" ht="15.75" customHeight="1" x14ac:dyDescent="0.2">
      <c r="P336" s="1"/>
    </row>
    <row r="337" spans="16:16" ht="15.75" customHeight="1" x14ac:dyDescent="0.2">
      <c r="P337" s="1"/>
    </row>
    <row r="338" spans="16:16" ht="15.75" customHeight="1" x14ac:dyDescent="0.2">
      <c r="P338" s="1"/>
    </row>
    <row r="339" spans="16:16" ht="15.75" customHeight="1" x14ac:dyDescent="0.2">
      <c r="P339" s="1"/>
    </row>
    <row r="340" spans="16:16" ht="15.75" customHeight="1" x14ac:dyDescent="0.2">
      <c r="P340" s="1"/>
    </row>
    <row r="341" spans="16:16" ht="15.75" customHeight="1" x14ac:dyDescent="0.2">
      <c r="P341" s="1"/>
    </row>
    <row r="342" spans="16:16" ht="15.75" customHeight="1" x14ac:dyDescent="0.2">
      <c r="P342" s="1"/>
    </row>
    <row r="343" spans="16:16" ht="15.75" customHeight="1" x14ac:dyDescent="0.2">
      <c r="P343" s="1"/>
    </row>
    <row r="344" spans="16:16" ht="15.75" customHeight="1" x14ac:dyDescent="0.2">
      <c r="P344" s="1"/>
    </row>
    <row r="345" spans="16:16" ht="15.75" customHeight="1" x14ac:dyDescent="0.2">
      <c r="P345" s="1"/>
    </row>
    <row r="346" spans="16:16" ht="15.75" customHeight="1" x14ac:dyDescent="0.2">
      <c r="P346" s="1"/>
    </row>
    <row r="347" spans="16:16" ht="15.75" customHeight="1" x14ac:dyDescent="0.2">
      <c r="P347" s="1"/>
    </row>
    <row r="348" spans="16:16" ht="15.75" customHeight="1" x14ac:dyDescent="0.2">
      <c r="P348" s="1"/>
    </row>
    <row r="349" spans="16:16" ht="15.75" customHeight="1" x14ac:dyDescent="0.2">
      <c r="P349" s="1"/>
    </row>
    <row r="350" spans="16:16" ht="15.75" customHeight="1" x14ac:dyDescent="0.2">
      <c r="P350" s="1"/>
    </row>
    <row r="351" spans="16:16" ht="15.75" customHeight="1" x14ac:dyDescent="0.2">
      <c r="P351" s="1"/>
    </row>
    <row r="352" spans="16:16" ht="15.75" customHeight="1" x14ac:dyDescent="0.2">
      <c r="P352" s="1"/>
    </row>
    <row r="353" spans="16:16" ht="15.75" customHeight="1" x14ac:dyDescent="0.2">
      <c r="P353" s="1"/>
    </row>
    <row r="354" spans="16:16" ht="15.75" customHeight="1" x14ac:dyDescent="0.2">
      <c r="P354" s="1"/>
    </row>
    <row r="355" spans="16:16" ht="15.75" customHeight="1" x14ac:dyDescent="0.2">
      <c r="P355" s="1"/>
    </row>
    <row r="356" spans="16:16" ht="15.75" customHeight="1" x14ac:dyDescent="0.2">
      <c r="P356" s="1"/>
    </row>
    <row r="357" spans="16:16" ht="15.75" customHeight="1" x14ac:dyDescent="0.2">
      <c r="P357" s="1"/>
    </row>
    <row r="358" spans="16:16" ht="15.75" customHeight="1" x14ac:dyDescent="0.2">
      <c r="P358" s="1"/>
    </row>
    <row r="359" spans="16:16" ht="15.75" customHeight="1" x14ac:dyDescent="0.2">
      <c r="P359" s="1"/>
    </row>
    <row r="360" spans="16:16" ht="15.75" customHeight="1" x14ac:dyDescent="0.2">
      <c r="P360" s="1"/>
    </row>
    <row r="361" spans="16:16" ht="15.75" customHeight="1" x14ac:dyDescent="0.2">
      <c r="P361" s="1"/>
    </row>
    <row r="362" spans="16:16" ht="15.75" customHeight="1" x14ac:dyDescent="0.2">
      <c r="P362" s="1"/>
    </row>
    <row r="363" spans="16:16" ht="15.75" customHeight="1" x14ac:dyDescent="0.2">
      <c r="P363" s="1"/>
    </row>
    <row r="364" spans="16:16" ht="15.75" customHeight="1" x14ac:dyDescent="0.2">
      <c r="P364" s="1"/>
    </row>
    <row r="365" spans="16:16" ht="15.75" customHeight="1" x14ac:dyDescent="0.2">
      <c r="P365" s="1"/>
    </row>
    <row r="366" spans="16:16" ht="15.75" customHeight="1" x14ac:dyDescent="0.2">
      <c r="P366" s="1"/>
    </row>
    <row r="367" spans="16:16" ht="15.75" customHeight="1" x14ac:dyDescent="0.2">
      <c r="P367" s="1"/>
    </row>
    <row r="368" spans="16:16" ht="15.75" customHeight="1" x14ac:dyDescent="0.2">
      <c r="P368" s="1"/>
    </row>
    <row r="369" spans="16:16" ht="15.75" customHeight="1" x14ac:dyDescent="0.2">
      <c r="P369" s="1"/>
    </row>
    <row r="370" spans="16:16" ht="15.75" customHeight="1" x14ac:dyDescent="0.2">
      <c r="P370" s="1"/>
    </row>
    <row r="371" spans="16:16" ht="15.75" customHeight="1" x14ac:dyDescent="0.2">
      <c r="P371" s="1"/>
    </row>
    <row r="372" spans="16:16" ht="15.75" customHeight="1" x14ac:dyDescent="0.2">
      <c r="P372" s="1"/>
    </row>
    <row r="373" spans="16:16" ht="15.75" customHeight="1" x14ac:dyDescent="0.2">
      <c r="P373" s="1"/>
    </row>
    <row r="374" spans="16:16" ht="15.75" customHeight="1" x14ac:dyDescent="0.2">
      <c r="P374" s="1"/>
    </row>
    <row r="375" spans="16:16" ht="15.75" customHeight="1" x14ac:dyDescent="0.2">
      <c r="P375" s="1"/>
    </row>
    <row r="376" spans="16:16" ht="15.75" customHeight="1" x14ac:dyDescent="0.2">
      <c r="P376" s="1"/>
    </row>
    <row r="377" spans="16:16" ht="15.75" customHeight="1" x14ac:dyDescent="0.2">
      <c r="P377" s="1"/>
    </row>
    <row r="378" spans="16:16" ht="15.75" customHeight="1" x14ac:dyDescent="0.2">
      <c r="P378" s="1"/>
    </row>
    <row r="379" spans="16:16" ht="15.75" customHeight="1" x14ac:dyDescent="0.2">
      <c r="P379" s="1"/>
    </row>
    <row r="380" spans="16:16" ht="15.75" customHeight="1" x14ac:dyDescent="0.2">
      <c r="P380" s="1"/>
    </row>
    <row r="381" spans="16:16" ht="15.75" customHeight="1" x14ac:dyDescent="0.2">
      <c r="P381" s="1"/>
    </row>
    <row r="382" spans="16:16" ht="15.75" customHeight="1" x14ac:dyDescent="0.2">
      <c r="P382" s="1"/>
    </row>
    <row r="383" spans="16:16" ht="15.75" customHeight="1" x14ac:dyDescent="0.2">
      <c r="P383" s="1"/>
    </row>
    <row r="384" spans="16:16" ht="15.75" customHeight="1" x14ac:dyDescent="0.2">
      <c r="P384" s="1"/>
    </row>
    <row r="385" spans="16:16" ht="15.75" customHeight="1" x14ac:dyDescent="0.2">
      <c r="P385" s="1"/>
    </row>
    <row r="386" spans="16:16" ht="15.75" customHeight="1" x14ac:dyDescent="0.2">
      <c r="P386" s="1"/>
    </row>
    <row r="387" spans="16:16" ht="15.75" customHeight="1" x14ac:dyDescent="0.2">
      <c r="P387" s="1"/>
    </row>
    <row r="388" spans="16:16" ht="15.75" customHeight="1" x14ac:dyDescent="0.2">
      <c r="P388" s="1"/>
    </row>
    <row r="389" spans="16:16" ht="15.75" customHeight="1" x14ac:dyDescent="0.2">
      <c r="P389" s="1"/>
    </row>
    <row r="390" spans="16:16" ht="15.75" customHeight="1" x14ac:dyDescent="0.2">
      <c r="P390" s="1"/>
    </row>
    <row r="391" spans="16:16" ht="15.75" customHeight="1" x14ac:dyDescent="0.2">
      <c r="P391" s="1"/>
    </row>
    <row r="392" spans="16:16" ht="15.75" customHeight="1" x14ac:dyDescent="0.2">
      <c r="P392" s="1"/>
    </row>
    <row r="393" spans="16:16" ht="15.75" customHeight="1" x14ac:dyDescent="0.2">
      <c r="P393" s="1"/>
    </row>
    <row r="394" spans="16:16" ht="15.75" customHeight="1" x14ac:dyDescent="0.2">
      <c r="P394" s="1"/>
    </row>
    <row r="395" spans="16:16" ht="15.75" customHeight="1" x14ac:dyDescent="0.2">
      <c r="P395" s="1"/>
    </row>
    <row r="396" spans="16:16" ht="15.75" customHeight="1" x14ac:dyDescent="0.2">
      <c r="P396" s="1"/>
    </row>
    <row r="397" spans="16:16" ht="15.75" customHeight="1" x14ac:dyDescent="0.2">
      <c r="P397" s="1"/>
    </row>
    <row r="398" spans="16:16" ht="15.75" customHeight="1" x14ac:dyDescent="0.2">
      <c r="P398" s="1"/>
    </row>
    <row r="399" spans="16:16" ht="15.75" customHeight="1" x14ac:dyDescent="0.2">
      <c r="P399" s="1"/>
    </row>
    <row r="400" spans="16:16" ht="15.75" customHeight="1" x14ac:dyDescent="0.2">
      <c r="P400" s="1"/>
    </row>
    <row r="401" spans="16:16" ht="15.75" customHeight="1" x14ac:dyDescent="0.2">
      <c r="P401" s="1"/>
    </row>
    <row r="402" spans="16:16" ht="15.75" customHeight="1" x14ac:dyDescent="0.2">
      <c r="P402" s="1"/>
    </row>
    <row r="403" spans="16:16" ht="15.75" customHeight="1" x14ac:dyDescent="0.2">
      <c r="P403" s="1"/>
    </row>
    <row r="404" spans="16:16" ht="15.75" customHeight="1" x14ac:dyDescent="0.2">
      <c r="P404" s="1"/>
    </row>
    <row r="405" spans="16:16" ht="15.75" customHeight="1" x14ac:dyDescent="0.2">
      <c r="P405" s="1"/>
    </row>
    <row r="406" spans="16:16" ht="15.75" customHeight="1" x14ac:dyDescent="0.2">
      <c r="P406" s="1"/>
    </row>
    <row r="407" spans="16:16" ht="15.75" customHeight="1" x14ac:dyDescent="0.2">
      <c r="P407" s="1"/>
    </row>
    <row r="408" spans="16:16" ht="15.75" customHeight="1" x14ac:dyDescent="0.2">
      <c r="P408" s="1"/>
    </row>
    <row r="409" spans="16:16" ht="15.75" customHeight="1" x14ac:dyDescent="0.2">
      <c r="P409" s="1"/>
    </row>
    <row r="410" spans="16:16" ht="15.75" customHeight="1" x14ac:dyDescent="0.2">
      <c r="P410" s="1"/>
    </row>
    <row r="411" spans="16:16" ht="15.75" customHeight="1" x14ac:dyDescent="0.2">
      <c r="P411" s="1"/>
    </row>
    <row r="412" spans="16:16" ht="15.75" customHeight="1" x14ac:dyDescent="0.2">
      <c r="P412" s="1"/>
    </row>
    <row r="413" spans="16:16" ht="15.75" customHeight="1" x14ac:dyDescent="0.2">
      <c r="P413" s="1"/>
    </row>
    <row r="414" spans="16:16" ht="15.75" customHeight="1" x14ac:dyDescent="0.2">
      <c r="P414" s="1"/>
    </row>
    <row r="415" spans="16:16" ht="15.75" customHeight="1" x14ac:dyDescent="0.2">
      <c r="P415" s="1"/>
    </row>
    <row r="416" spans="16:16" ht="15.75" customHeight="1" x14ac:dyDescent="0.2">
      <c r="P416" s="1"/>
    </row>
    <row r="417" spans="16:16" ht="15.75" customHeight="1" x14ac:dyDescent="0.2">
      <c r="P417" s="1"/>
    </row>
    <row r="418" spans="16:16" ht="15.75" customHeight="1" x14ac:dyDescent="0.2">
      <c r="P418" s="1"/>
    </row>
    <row r="419" spans="16:16" ht="15.75" customHeight="1" x14ac:dyDescent="0.2">
      <c r="P419" s="1"/>
    </row>
    <row r="420" spans="16:16" ht="15.75" customHeight="1" x14ac:dyDescent="0.2">
      <c r="P420" s="1"/>
    </row>
    <row r="421" spans="16:16" ht="15.75" customHeight="1" x14ac:dyDescent="0.2">
      <c r="P421" s="1"/>
    </row>
    <row r="422" spans="16:16" ht="15.75" customHeight="1" x14ac:dyDescent="0.2">
      <c r="P422" s="1"/>
    </row>
    <row r="423" spans="16:16" ht="15.75" customHeight="1" x14ac:dyDescent="0.2">
      <c r="P423" s="1"/>
    </row>
    <row r="424" spans="16:16" ht="15.75" customHeight="1" x14ac:dyDescent="0.2">
      <c r="P424" s="1"/>
    </row>
    <row r="425" spans="16:16" ht="15.75" customHeight="1" x14ac:dyDescent="0.2">
      <c r="P425" s="1"/>
    </row>
    <row r="426" spans="16:16" ht="15.75" customHeight="1" x14ac:dyDescent="0.2">
      <c r="P426" s="1"/>
    </row>
    <row r="427" spans="16:16" ht="15.75" customHeight="1" x14ac:dyDescent="0.2">
      <c r="P427" s="1"/>
    </row>
    <row r="428" spans="16:16" ht="15.75" customHeight="1" x14ac:dyDescent="0.2">
      <c r="P428" s="1"/>
    </row>
    <row r="429" spans="16:16" ht="15.75" customHeight="1" x14ac:dyDescent="0.2">
      <c r="P429" s="1"/>
    </row>
    <row r="430" spans="16:16" ht="15.75" customHeight="1" x14ac:dyDescent="0.2">
      <c r="P430" s="1"/>
    </row>
    <row r="431" spans="16:16" ht="15.75" customHeight="1" x14ac:dyDescent="0.2">
      <c r="P431" s="1"/>
    </row>
    <row r="432" spans="16:16" ht="15.75" customHeight="1" x14ac:dyDescent="0.2">
      <c r="P432" s="1"/>
    </row>
    <row r="433" spans="16:16" ht="15.75" customHeight="1" x14ac:dyDescent="0.2">
      <c r="P433" s="1"/>
    </row>
    <row r="434" spans="16:16" ht="15.75" customHeight="1" x14ac:dyDescent="0.2">
      <c r="P434" s="1"/>
    </row>
    <row r="435" spans="16:16" ht="15.75" customHeight="1" x14ac:dyDescent="0.2">
      <c r="P435" s="1"/>
    </row>
    <row r="436" spans="16:16" ht="15.75" customHeight="1" x14ac:dyDescent="0.2">
      <c r="P436" s="1"/>
    </row>
    <row r="437" spans="16:16" ht="15.75" customHeight="1" x14ac:dyDescent="0.2">
      <c r="P437" s="1"/>
    </row>
    <row r="438" spans="16:16" ht="15.75" customHeight="1" x14ac:dyDescent="0.2">
      <c r="P438" s="1"/>
    </row>
    <row r="439" spans="16:16" ht="15.75" customHeight="1" x14ac:dyDescent="0.2">
      <c r="P439" s="1"/>
    </row>
    <row r="440" spans="16:16" ht="15.75" customHeight="1" x14ac:dyDescent="0.2">
      <c r="P440" s="1"/>
    </row>
    <row r="441" spans="16:16" ht="15.75" customHeight="1" x14ac:dyDescent="0.2">
      <c r="P441" s="1"/>
    </row>
    <row r="442" spans="16:16" ht="15.75" customHeight="1" x14ac:dyDescent="0.2">
      <c r="P442" s="1"/>
    </row>
    <row r="443" spans="16:16" ht="15.75" customHeight="1" x14ac:dyDescent="0.2">
      <c r="P443" s="1"/>
    </row>
    <row r="444" spans="16:16" ht="15.75" customHeight="1" x14ac:dyDescent="0.2">
      <c r="P444" s="1"/>
    </row>
    <row r="445" spans="16:16" ht="15.75" customHeight="1" x14ac:dyDescent="0.2">
      <c r="P445" s="1"/>
    </row>
    <row r="446" spans="16:16" ht="15.75" customHeight="1" x14ac:dyDescent="0.2">
      <c r="P446" s="1"/>
    </row>
    <row r="447" spans="16:16" ht="15.75" customHeight="1" x14ac:dyDescent="0.2">
      <c r="P447" s="1"/>
    </row>
    <row r="448" spans="16:16" ht="15.75" customHeight="1" x14ac:dyDescent="0.2">
      <c r="P448" s="1"/>
    </row>
    <row r="449" spans="16:16" ht="15.75" customHeight="1" x14ac:dyDescent="0.2">
      <c r="P449" s="1"/>
    </row>
    <row r="450" spans="16:16" ht="15.75" customHeight="1" x14ac:dyDescent="0.2">
      <c r="P450" s="1"/>
    </row>
    <row r="451" spans="16:16" ht="15.75" customHeight="1" x14ac:dyDescent="0.2">
      <c r="P451" s="1"/>
    </row>
    <row r="452" spans="16:16" ht="15.75" customHeight="1" x14ac:dyDescent="0.2">
      <c r="P452" s="1"/>
    </row>
    <row r="453" spans="16:16" ht="15.75" customHeight="1" x14ac:dyDescent="0.2">
      <c r="P453" s="1"/>
    </row>
    <row r="454" spans="16:16" ht="15.75" customHeight="1" x14ac:dyDescent="0.2">
      <c r="P454" s="1"/>
    </row>
    <row r="455" spans="16:16" ht="15.75" customHeight="1" x14ac:dyDescent="0.2">
      <c r="P455" s="1"/>
    </row>
    <row r="456" spans="16:16" ht="15.75" customHeight="1" x14ac:dyDescent="0.2">
      <c r="P456" s="1"/>
    </row>
  </sheetData>
  <sheetProtection formatCells="0" autoFilter="0"/>
  <mergeCells count="27">
    <mergeCell ref="I10:J10"/>
    <mergeCell ref="X11:Y11"/>
    <mergeCell ref="X12:Y12"/>
    <mergeCell ref="X13:Y13"/>
    <mergeCell ref="A33:B33"/>
    <mergeCell ref="C33:D33"/>
    <mergeCell ref="E33:F33"/>
    <mergeCell ref="X15:Y15"/>
    <mergeCell ref="X16:Y16"/>
    <mergeCell ref="E19:F19"/>
    <mergeCell ref="A23:B23"/>
    <mergeCell ref="C23:D23"/>
    <mergeCell ref="E23:F23"/>
    <mergeCell ref="X14:Y14"/>
    <mergeCell ref="X8:Y8"/>
    <mergeCell ref="L9:Z9"/>
    <mergeCell ref="A1:B1"/>
    <mergeCell ref="C1:D1"/>
    <mergeCell ref="E1:J1"/>
    <mergeCell ref="L1:Z1"/>
    <mergeCell ref="E2:H2"/>
    <mergeCell ref="I2:J2"/>
    <mergeCell ref="X3:Y3"/>
    <mergeCell ref="X4:Y4"/>
    <mergeCell ref="X5:Y5"/>
    <mergeCell ref="X6:Y6"/>
    <mergeCell ref="X7:Y7"/>
  </mergeCells>
  <conditionalFormatting sqref="X6:Z6 X14:Z14">
    <cfRule type="expression" dxfId="2" priority="2" stopIfTrue="1">
      <formula>$Z$6&lt;$N$3</formula>
    </cfRule>
  </conditionalFormatting>
  <conditionalFormatting sqref="W7">
    <cfRule type="expression" dxfId="1" priority="3" stopIfTrue="1">
      <formula>MOD(_differe1t,1)&lt;&gt;0</formula>
    </cfRule>
  </conditionalFormatting>
  <conditionalFormatting sqref="W15">
    <cfRule type="expression" dxfId="0" priority="1" stopIfTrue="1">
      <formula>MOD(_differe1t1t,1)&lt;&gt;0</formula>
    </cfRule>
  </conditionalFormatting>
  <dataValidations count="12">
    <dataValidation type="list" allowBlank="1" showInputMessage="1" showErrorMessage="1" sqref="E4">
      <formula1>$U$48:$U$50</formula1>
    </dataValidation>
    <dataValidation type="list" allowBlank="1" showInputMessage="1" showErrorMessage="1" sqref="G12">
      <formula1>$U$93:$U$95</formula1>
    </dataValidation>
    <dataValidation type="list" allowBlank="1" showInputMessage="1" showErrorMessage="1" sqref="G10">
      <formula1>$U$88:$U$90</formula1>
    </dataValidation>
    <dataValidation type="list" allowBlank="1" showInputMessage="1" showErrorMessage="1" sqref="G8">
      <formula1>$U$84:$U$86</formula1>
    </dataValidation>
    <dataValidation type="list" allowBlank="1" showInputMessage="1" showErrorMessage="1" sqref="G6">
      <formula1>$U$80:$U$82</formula1>
    </dataValidation>
    <dataValidation type="list" allowBlank="1" showInputMessage="1" showErrorMessage="1" sqref="G4">
      <formula1>$U$76:$U$78</formula1>
    </dataValidation>
    <dataValidation type="list" allowBlank="1" showInputMessage="1" showErrorMessage="1" sqref="E16">
      <formula1>$U$72:$U$74</formula1>
    </dataValidation>
    <dataValidation type="list" allowBlank="1" showInputMessage="1" showErrorMessage="1" sqref="E14">
      <formula1>$U$68:$U$70</formula1>
    </dataValidation>
    <dataValidation type="list" allowBlank="1" showInputMessage="1" showErrorMessage="1" sqref="E12">
      <formula1>$U$64:$U$66</formula1>
    </dataValidation>
    <dataValidation type="list" allowBlank="1" showInputMessage="1" showErrorMessage="1" sqref="E10">
      <formula1>$U$60:$U$62</formula1>
    </dataValidation>
    <dataValidation type="list" allowBlank="1" showInputMessage="1" showErrorMessage="1" sqref="E8">
      <formula1>$U$56:$U$58</formula1>
    </dataValidation>
    <dataValidation type="list" allowBlank="1" showInputMessage="1" showErrorMessage="1" sqref="E6">
      <formula1>$U$52:$U$54</formula1>
    </dataValidation>
  </dataValidations>
  <pageMargins left="0.78740157499999996" right="0.78740157499999996" top="0.984251969" bottom="0.984251969" header="0.4921259845" footer="0.4921259845"/>
  <pageSetup paperSize="9" orientation="portrait" horizontalDpi="4294967293" verticalDpi="4294967293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9457" r:id="rId4" name="Drop Down 1">
              <controlPr locked="0" defaultSize="0" autoLine="0" autoPict="0" altText="Périodicité">
                <anchor moveWithCells="1">
                  <from>
                    <xdr:col>16</xdr:col>
                    <xdr:colOff>47625</xdr:colOff>
                    <xdr:row>4</xdr:row>
                    <xdr:rowOff>152400</xdr:rowOff>
                  </from>
                  <to>
                    <xdr:col>17</xdr:col>
                    <xdr:colOff>371475</xdr:colOff>
                    <xdr:row>5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58" r:id="rId5" name="Option Button 2">
              <controlPr locked="0" defaultSize="0" autoFill="0" autoLine="0" autoPict="0">
                <anchor moveWithCells="1">
                  <from>
                    <xdr:col>12</xdr:col>
                    <xdr:colOff>9525</xdr:colOff>
                    <xdr:row>5</xdr:row>
                    <xdr:rowOff>28575</xdr:rowOff>
                  </from>
                  <to>
                    <xdr:col>12</xdr:col>
                    <xdr:colOff>638175</xdr:colOff>
                    <xdr:row>6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59" r:id="rId6" name="Option Button 3">
              <controlPr locked="0" defaultSize="0" autoFill="0" autoLine="0" autoPict="0">
                <anchor moveWithCells="1">
                  <from>
                    <xdr:col>12</xdr:col>
                    <xdr:colOff>609600</xdr:colOff>
                    <xdr:row>5</xdr:row>
                    <xdr:rowOff>28575</xdr:rowOff>
                  </from>
                  <to>
                    <xdr:col>13</xdr:col>
                    <xdr:colOff>666750</xdr:colOff>
                    <xdr:row>6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0" r:id="rId7" name="Group Box 4">
              <controlPr defaultSize="0" autoFill="0" autoPict="0">
                <anchor moveWithCells="1">
                  <from>
                    <xdr:col>12</xdr:col>
                    <xdr:colOff>0</xdr:colOff>
                    <xdr:row>5</xdr:row>
                    <xdr:rowOff>19050</xdr:rowOff>
                  </from>
                  <to>
                    <xdr:col>13</xdr:col>
                    <xdr:colOff>695325</xdr:colOff>
                    <xdr:row>6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1" r:id="rId8" name="Option Button 5">
              <controlPr locked="0" defaultSize="0" autoFill="0" autoLine="0" autoPict="0">
                <anchor moveWithCells="1">
                  <from>
                    <xdr:col>21</xdr:col>
                    <xdr:colOff>504825</xdr:colOff>
                    <xdr:row>4</xdr:row>
                    <xdr:rowOff>47625</xdr:rowOff>
                  </from>
                  <to>
                    <xdr:col>22</xdr:col>
                    <xdr:colOff>276225</xdr:colOff>
                    <xdr:row>5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2" r:id="rId9" name="Option Button 6">
              <controlPr locked="0" defaultSize="0" autoFill="0" autoLine="0" autoPict="0">
                <anchor moveWithCells="1">
                  <from>
                    <xdr:col>22</xdr:col>
                    <xdr:colOff>238125</xdr:colOff>
                    <xdr:row>4</xdr:row>
                    <xdr:rowOff>47625</xdr:rowOff>
                  </from>
                  <to>
                    <xdr:col>22</xdr:col>
                    <xdr:colOff>685800</xdr:colOff>
                    <xdr:row>5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3" r:id="rId10" name="Group Box 7">
              <controlPr defaultSize="0" autoFill="0" autoPict="0">
                <anchor moveWithCells="1">
                  <from>
                    <xdr:col>21</xdr:col>
                    <xdr:colOff>485775</xdr:colOff>
                    <xdr:row>4</xdr:row>
                    <xdr:rowOff>28575</xdr:rowOff>
                  </from>
                  <to>
                    <xdr:col>22</xdr:col>
                    <xdr:colOff>752475</xdr:colOff>
                    <xdr:row>5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4" r:id="rId11" name="Drop Down 8">
              <controlPr locked="0" defaultSize="0" autoLine="0" autoPict="0" altText="Périodicité">
                <anchor moveWithCells="1">
                  <from>
                    <xdr:col>16</xdr:col>
                    <xdr:colOff>47625</xdr:colOff>
                    <xdr:row>12</xdr:row>
                    <xdr:rowOff>152400</xdr:rowOff>
                  </from>
                  <to>
                    <xdr:col>17</xdr:col>
                    <xdr:colOff>371475</xdr:colOff>
                    <xdr:row>13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5" r:id="rId12" name="Option Button 9">
              <controlPr locked="0" defaultSize="0" autoFill="0" autoLine="0" autoPict="0">
                <anchor moveWithCells="1">
                  <from>
                    <xdr:col>12</xdr:col>
                    <xdr:colOff>9525</xdr:colOff>
                    <xdr:row>13</xdr:row>
                    <xdr:rowOff>28575</xdr:rowOff>
                  </from>
                  <to>
                    <xdr:col>12</xdr:col>
                    <xdr:colOff>638175</xdr:colOff>
                    <xdr:row>14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6" r:id="rId13" name="Option Button 10">
              <controlPr locked="0" defaultSize="0" autoFill="0" autoLine="0" autoPict="0">
                <anchor moveWithCells="1">
                  <from>
                    <xdr:col>12</xdr:col>
                    <xdr:colOff>609600</xdr:colOff>
                    <xdr:row>13</xdr:row>
                    <xdr:rowOff>28575</xdr:rowOff>
                  </from>
                  <to>
                    <xdr:col>13</xdr:col>
                    <xdr:colOff>666750</xdr:colOff>
                    <xdr:row>14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7" r:id="rId14" name="Group Box 11">
              <controlPr defaultSize="0" autoFill="0" autoPict="0">
                <anchor moveWithCells="1">
                  <from>
                    <xdr:col>12</xdr:col>
                    <xdr:colOff>0</xdr:colOff>
                    <xdr:row>13</xdr:row>
                    <xdr:rowOff>19050</xdr:rowOff>
                  </from>
                  <to>
                    <xdr:col>13</xdr:col>
                    <xdr:colOff>695325</xdr:colOff>
                    <xdr:row>14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8" r:id="rId15" name="Option Button 12">
              <controlPr locked="0" defaultSize="0" autoFill="0" autoLine="0" autoPict="0">
                <anchor moveWithCells="1">
                  <from>
                    <xdr:col>21</xdr:col>
                    <xdr:colOff>504825</xdr:colOff>
                    <xdr:row>12</xdr:row>
                    <xdr:rowOff>47625</xdr:rowOff>
                  </from>
                  <to>
                    <xdr:col>22</xdr:col>
                    <xdr:colOff>276225</xdr:colOff>
                    <xdr:row>13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9" r:id="rId16" name="Option Button 13">
              <controlPr locked="0" defaultSize="0" autoFill="0" autoLine="0" autoPict="0">
                <anchor moveWithCells="1">
                  <from>
                    <xdr:col>22</xdr:col>
                    <xdr:colOff>238125</xdr:colOff>
                    <xdr:row>12</xdr:row>
                    <xdr:rowOff>47625</xdr:rowOff>
                  </from>
                  <to>
                    <xdr:col>22</xdr:col>
                    <xdr:colOff>685800</xdr:colOff>
                    <xdr:row>13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70" r:id="rId17" name="Group Box 14">
              <controlPr defaultSize="0" autoFill="0" autoPict="0">
                <anchor moveWithCells="1">
                  <from>
                    <xdr:col>21</xdr:col>
                    <xdr:colOff>485775</xdr:colOff>
                    <xdr:row>12</xdr:row>
                    <xdr:rowOff>28575</xdr:rowOff>
                  </from>
                  <to>
                    <xdr:col>22</xdr:col>
                    <xdr:colOff>752475</xdr:colOff>
                    <xdr:row>13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71" r:id="rId18" name="Option Button 15">
              <controlPr defaultSize="0" autoFill="0" autoLine="0" autoPict="0">
                <anchor moveWithCells="1">
                  <from>
                    <xdr:col>3</xdr:col>
                    <xdr:colOff>800100</xdr:colOff>
                    <xdr:row>30</xdr:row>
                    <xdr:rowOff>190500</xdr:rowOff>
                  </from>
                  <to>
                    <xdr:col>4</xdr:col>
                    <xdr:colOff>1019175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72" r:id="rId19" name="Option Button 16">
              <controlPr defaultSize="0" autoFill="0" autoLine="0" autoPict="0">
                <anchor moveWithCells="1">
                  <from>
                    <xdr:col>4</xdr:col>
                    <xdr:colOff>885825</xdr:colOff>
                    <xdr:row>30</xdr:row>
                    <xdr:rowOff>190500</xdr:rowOff>
                  </from>
                  <to>
                    <xdr:col>5</xdr:col>
                    <xdr:colOff>400050</xdr:colOff>
                    <xdr:row>32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/>
  <dimension ref="B2:P29"/>
  <sheetViews>
    <sheetView topLeftCell="B1" workbookViewId="0">
      <selection activeCell="O24" sqref="O24"/>
    </sheetView>
  </sheetViews>
  <sheetFormatPr baseColWidth="10" defaultRowHeight="12.75" x14ac:dyDescent="0.2"/>
  <cols>
    <col min="2" max="2" width="23.7109375" customWidth="1"/>
    <col min="3" max="3" width="12.28515625" bestFit="1" customWidth="1"/>
    <col min="4" max="4" width="24.42578125" customWidth="1"/>
    <col min="8" max="8" width="20.5703125" customWidth="1"/>
    <col min="11" max="11" width="13.5703125" customWidth="1"/>
    <col min="15" max="15" width="20.42578125" customWidth="1"/>
  </cols>
  <sheetData>
    <row r="2" spans="2:16" ht="13.5" thickBot="1" x14ac:dyDescent="0.25"/>
    <row r="3" spans="2:16" ht="15.75" x14ac:dyDescent="0.3">
      <c r="B3" s="658" t="s">
        <v>327</v>
      </c>
      <c r="C3" s="659"/>
      <c r="D3" s="659" t="s">
        <v>212</v>
      </c>
      <c r="E3" s="659"/>
      <c r="H3" s="313" t="s">
        <v>293</v>
      </c>
      <c r="I3" s="630" t="s">
        <v>284</v>
      </c>
      <c r="J3" s="630"/>
      <c r="K3" s="380" t="s">
        <v>285</v>
      </c>
      <c r="L3" s="380" t="s">
        <v>286</v>
      </c>
      <c r="M3" s="313" t="s">
        <v>287</v>
      </c>
      <c r="O3" s="641" t="s">
        <v>329</v>
      </c>
      <c r="P3" s="642"/>
    </row>
    <row r="4" spans="2:16" ht="15.75" x14ac:dyDescent="0.3">
      <c r="B4" s="365" t="s">
        <v>187</v>
      </c>
      <c r="C4" s="357">
        <f>P4</f>
        <v>11500</v>
      </c>
      <c r="D4" s="293" t="s">
        <v>187</v>
      </c>
      <c r="E4" s="357" t="e">
        <f>'TAM Projet 1 (2)'!#REF!</f>
        <v>#REF!</v>
      </c>
      <c r="H4" s="314" t="s">
        <v>295</v>
      </c>
      <c r="I4" s="315">
        <v>0</v>
      </c>
      <c r="J4" s="315">
        <v>9807</v>
      </c>
      <c r="K4" s="316">
        <f>+IF(C10&gt;J4,J4,C10)</f>
        <v>9807</v>
      </c>
      <c r="L4" s="317">
        <v>0</v>
      </c>
      <c r="M4" s="316">
        <v>0</v>
      </c>
      <c r="O4" s="283" t="s">
        <v>187</v>
      </c>
      <c r="P4" s="333">
        <v>11500</v>
      </c>
    </row>
    <row r="5" spans="2:16" ht="15.75" x14ac:dyDescent="0.3">
      <c r="B5" s="365" t="s">
        <v>218</v>
      </c>
      <c r="C5" s="357">
        <f>11500*0.9</f>
        <v>10350</v>
      </c>
      <c r="D5" s="293" t="s">
        <v>218</v>
      </c>
      <c r="E5" s="357">
        <f>11500*0.9</f>
        <v>10350</v>
      </c>
      <c r="H5" s="314" t="s">
        <v>297</v>
      </c>
      <c r="I5" s="315">
        <v>9808</v>
      </c>
      <c r="J5" s="315">
        <v>27086</v>
      </c>
      <c r="K5" s="316">
        <f>IF($C$10&lt;I5,0,IF($C$10&lt;=J5,$C$10-J4,J5-J4))</f>
        <v>1908.2440000000006</v>
      </c>
      <c r="L5" s="317">
        <v>0.14000000000000001</v>
      </c>
      <c r="M5" s="316">
        <f>SUM(K5*L5)</f>
        <v>267.1541600000001</v>
      </c>
      <c r="O5" s="283" t="s">
        <v>191</v>
      </c>
      <c r="P5" s="333">
        <v>0</v>
      </c>
    </row>
    <row r="6" spans="2:16" ht="15.75" x14ac:dyDescent="0.3">
      <c r="B6" s="365" t="s">
        <v>221</v>
      </c>
      <c r="C6" s="357">
        <f>'TAM Projet 1 (2)'!B36+'TAM Projet 1'!B29</f>
        <v>53520</v>
      </c>
      <c r="D6" s="293" t="s">
        <v>221</v>
      </c>
      <c r="E6" s="357" t="e">
        <f>'TAM Projet 1 (2)'!#REF!</f>
        <v>#REF!</v>
      </c>
      <c r="H6" s="314" t="s">
        <v>299</v>
      </c>
      <c r="I6" s="315">
        <v>27087</v>
      </c>
      <c r="J6" s="315">
        <v>72617</v>
      </c>
      <c r="K6" s="316">
        <f>IF($C$10&lt;I6,0,IF($C$10&lt;=J6,$C$10-J5,J6-J5))</f>
        <v>0</v>
      </c>
      <c r="L6" s="317">
        <v>0.3</v>
      </c>
      <c r="M6" s="316">
        <f>SUM(K6*L6)</f>
        <v>0</v>
      </c>
      <c r="O6" s="283" t="s">
        <v>193</v>
      </c>
      <c r="P6" s="333">
        <v>2.5</v>
      </c>
    </row>
    <row r="7" spans="2:16" ht="15.75" x14ac:dyDescent="0.3">
      <c r="B7" s="365" t="s">
        <v>223</v>
      </c>
      <c r="C7" s="358">
        <f>'TAM Projet 1 (2)'!B37+'TAM Projet 1'!B30</f>
        <v>18938.11</v>
      </c>
      <c r="D7" s="293" t="s">
        <v>223</v>
      </c>
      <c r="E7" s="358" t="e">
        <f>'TAM Projet 1 (2)'!#REF!-#REF!</f>
        <v>#REF!</v>
      </c>
      <c r="H7" s="314" t="s">
        <v>301</v>
      </c>
      <c r="I7" s="315">
        <v>72618</v>
      </c>
      <c r="J7" s="315">
        <v>153783</v>
      </c>
      <c r="K7" s="316">
        <f>IF($C$10&lt;I7,0,IF($C$10&lt;=J7,$C$10-J6,J7-J6))</f>
        <v>0</v>
      </c>
      <c r="L7" s="317">
        <v>0.41</v>
      </c>
      <c r="M7" s="316">
        <f>SUM(K7*L7)</f>
        <v>0</v>
      </c>
      <c r="O7" s="283" t="s">
        <v>197</v>
      </c>
      <c r="P7" s="333">
        <v>1512</v>
      </c>
    </row>
    <row r="8" spans="2:16" ht="15.75" x14ac:dyDescent="0.3">
      <c r="B8" s="365" t="s">
        <v>226</v>
      </c>
      <c r="C8" s="358">
        <f>C5+C7</f>
        <v>29288.11</v>
      </c>
      <c r="D8" s="293" t="s">
        <v>226</v>
      </c>
      <c r="E8" s="358" t="e">
        <f>E5+E7+'TAM Projet 1 (2)'!#REF!</f>
        <v>#REF!</v>
      </c>
      <c r="H8" s="314" t="s">
        <v>303</v>
      </c>
      <c r="I8" s="315"/>
      <c r="J8" s="315"/>
      <c r="K8" s="315"/>
      <c r="L8" s="317">
        <v>0.45</v>
      </c>
      <c r="M8" s="316"/>
    </row>
    <row r="9" spans="2:16" ht="15" x14ac:dyDescent="0.3">
      <c r="B9" s="365" t="s">
        <v>228</v>
      </c>
      <c r="C9" s="279">
        <f>P6</f>
        <v>2.5</v>
      </c>
      <c r="D9" s="293" t="s">
        <v>228</v>
      </c>
      <c r="E9" s="279">
        <v>1.5</v>
      </c>
    </row>
    <row r="10" spans="2:16" ht="15" x14ac:dyDescent="0.3">
      <c r="B10" s="365" t="s">
        <v>231</v>
      </c>
      <c r="C10" s="357">
        <f>C8/C9</f>
        <v>11715.244000000001</v>
      </c>
      <c r="D10" s="293" t="s">
        <v>231</v>
      </c>
      <c r="E10" s="357" t="e">
        <f>E8/E9</f>
        <v>#REF!</v>
      </c>
    </row>
    <row r="11" spans="2:16" ht="15" x14ac:dyDescent="0.3">
      <c r="B11" s="365" t="s">
        <v>234</v>
      </c>
      <c r="C11" s="297">
        <f>(M4+M5+M6+M7+M8)*P6</f>
        <v>667.88540000000023</v>
      </c>
      <c r="D11" s="293" t="s">
        <v>234</v>
      </c>
      <c r="E11" s="297" t="e">
        <f>SUM('Impots projet 1 (2)'!#REF!)*'TAM Projet 1 (2)'!#REF!</f>
        <v>#REF!</v>
      </c>
    </row>
    <row r="12" spans="2:16" ht="15" x14ac:dyDescent="0.3">
      <c r="B12" s="363"/>
      <c r="C12" s="369"/>
      <c r="D12" s="269"/>
      <c r="E12" s="369"/>
    </row>
    <row r="13" spans="2:16" ht="15" x14ac:dyDescent="0.3">
      <c r="B13" s="363" t="s">
        <v>239</v>
      </c>
      <c r="C13" s="369"/>
      <c r="D13" s="269" t="s">
        <v>239</v>
      </c>
      <c r="E13" s="369"/>
    </row>
    <row r="14" spans="2:16" ht="15" x14ac:dyDescent="0.3">
      <c r="B14" s="363" t="s">
        <v>242</v>
      </c>
      <c r="C14" s="369">
        <v>1</v>
      </c>
      <c r="D14" s="269" t="s">
        <v>242</v>
      </c>
      <c r="E14" s="369">
        <v>1</v>
      </c>
    </row>
    <row r="15" spans="2:16" ht="15" x14ac:dyDescent="0.3">
      <c r="B15" s="363" t="s">
        <v>244</v>
      </c>
      <c r="C15" s="370">
        <f>C14*P7</f>
        <v>1512</v>
      </c>
      <c r="D15" s="269" t="s">
        <v>244</v>
      </c>
      <c r="E15" s="370" t="e">
        <f>E14*'TAM Projet 1 (2)'!#REF!</f>
        <v>#REF!</v>
      </c>
    </row>
    <row r="16" spans="2:16" ht="15" x14ac:dyDescent="0.3">
      <c r="B16" s="363" t="s">
        <v>247</v>
      </c>
      <c r="C16" s="372">
        <f>C11</f>
        <v>667.88540000000023</v>
      </c>
      <c r="D16" s="269" t="s">
        <v>247</v>
      </c>
      <c r="E16" s="372" t="e">
        <f>E11</f>
        <v>#REF!</v>
      </c>
    </row>
    <row r="17" spans="2:15" ht="15" x14ac:dyDescent="0.3">
      <c r="B17" s="363" t="s">
        <v>250</v>
      </c>
      <c r="C17" s="370">
        <f>C16-1512</f>
        <v>-844.11459999999977</v>
      </c>
      <c r="D17" s="269" t="s">
        <v>250</v>
      </c>
      <c r="E17" s="370" t="e">
        <f>E16-1512</f>
        <v>#REF!</v>
      </c>
    </row>
    <row r="18" spans="2:15" ht="15" x14ac:dyDescent="0.3">
      <c r="B18" s="363"/>
      <c r="C18" s="369"/>
      <c r="D18" s="269"/>
      <c r="E18" s="369"/>
    </row>
    <row r="19" spans="2:15" ht="15" x14ac:dyDescent="0.3">
      <c r="B19" s="373" t="s">
        <v>254</v>
      </c>
      <c r="C19" s="370">
        <f>IF(1177-(C11*0.75)&lt;=0,"0",1177-(C11*0.75))</f>
        <v>676.0859499999998</v>
      </c>
      <c r="D19" s="371" t="s">
        <v>254</v>
      </c>
      <c r="E19" s="370" t="e">
        <f>IF(1177-(E11*0.75)&lt;=0,"0",1177-(E11*0.75))</f>
        <v>#REF!</v>
      </c>
    </row>
    <row r="20" spans="2:15" ht="15" x14ac:dyDescent="0.3">
      <c r="B20" s="373" t="s">
        <v>256</v>
      </c>
      <c r="C20" s="370">
        <f>IF(1939-(C11*0.75)&lt;=0,"0",1939-(C11*0.75))</f>
        <v>1438.0859499999997</v>
      </c>
      <c r="D20" s="371" t="s">
        <v>256</v>
      </c>
      <c r="E20" s="370" t="e">
        <f>IF(1939-(E11*0.75)&lt;=0,"0",1939-(E11*0.75))</f>
        <v>#REF!</v>
      </c>
    </row>
    <row r="21" spans="2:15" ht="15" x14ac:dyDescent="0.3">
      <c r="B21" s="373" t="s">
        <v>258</v>
      </c>
      <c r="C21" s="375" t="str">
        <f>IF((C11-C19)&lt;=0,"0",(C11-C19))</f>
        <v>0</v>
      </c>
      <c r="D21" s="371" t="s">
        <v>258</v>
      </c>
      <c r="E21" s="375" t="e">
        <f>IF((E11-E19)&lt;=0,"0",(E11-E19))</f>
        <v>#REF!</v>
      </c>
    </row>
    <row r="22" spans="2:15" ht="15" x14ac:dyDescent="0.3">
      <c r="B22" s="373" t="s">
        <v>260</v>
      </c>
      <c r="C22" s="375" t="str">
        <f>C21</f>
        <v>0</v>
      </c>
      <c r="D22" s="371" t="s">
        <v>260</v>
      </c>
      <c r="E22" s="375" t="e">
        <f>E21</f>
        <v>#REF!</v>
      </c>
    </row>
    <row r="23" spans="2:15" ht="15" x14ac:dyDescent="0.3">
      <c r="B23" s="363"/>
      <c r="C23" s="369"/>
      <c r="D23" s="269"/>
      <c r="E23" s="369"/>
    </row>
    <row r="24" spans="2:15" ht="15" x14ac:dyDescent="0.3">
      <c r="B24" s="373" t="s">
        <v>240</v>
      </c>
      <c r="C24" s="370">
        <f>C7*17.2%</f>
        <v>3257.3549199999998</v>
      </c>
      <c r="D24" s="371" t="s">
        <v>240</v>
      </c>
      <c r="E24" s="370" t="e">
        <f>E7*17.2%</f>
        <v>#REF!</v>
      </c>
    </row>
    <row r="25" spans="2:15" ht="15" x14ac:dyDescent="0.3">
      <c r="B25" s="373" t="s">
        <v>263</v>
      </c>
      <c r="C25" s="375">
        <f>C22+C24</f>
        <v>3257.3549199999998</v>
      </c>
      <c r="D25" s="371" t="s">
        <v>263</v>
      </c>
      <c r="E25" s="375" t="e">
        <f>E22+E24</f>
        <v>#REF!</v>
      </c>
    </row>
    <row r="26" spans="2:15" ht="15" x14ac:dyDescent="0.3">
      <c r="B26" s="363"/>
      <c r="C26" s="369"/>
      <c r="D26" s="269"/>
      <c r="E26" s="369"/>
      <c r="O26" s="323"/>
    </row>
    <row r="27" spans="2:15" ht="15" x14ac:dyDescent="0.3">
      <c r="B27" s="373" t="s">
        <v>248</v>
      </c>
      <c r="C27" s="375">
        <f>C6-C25</f>
        <v>50262.645080000002</v>
      </c>
      <c r="D27" s="371" t="s">
        <v>248</v>
      </c>
      <c r="E27" s="375" t="e">
        <f>SUM('TAM Projet 1 (2)'!#REF!-E25)</f>
        <v>#REF!</v>
      </c>
    </row>
    <row r="28" spans="2:15" ht="15" x14ac:dyDescent="0.3">
      <c r="B28" s="373" t="s">
        <v>264</v>
      </c>
      <c r="C28" s="376" t="e">
        <f>C27-('TAM Projet 1 (2)'!R8*12)-'TAM Projet 1 (2)'!F21-('TAM Projet 1'!J8*12)-'TAM Projet 1'!#REF!</f>
        <v>#REF!</v>
      </c>
      <c r="D28" s="371" t="s">
        <v>264</v>
      </c>
      <c r="E28" s="376" t="e">
        <f>E27-#REF!-'TAM Projet 1 (2)'!#REF!*12</f>
        <v>#REF!</v>
      </c>
    </row>
    <row r="29" spans="2:15" ht="15.75" thickBot="1" x14ac:dyDescent="0.35">
      <c r="B29" s="377" t="s">
        <v>265</v>
      </c>
      <c r="C29" s="378" t="e">
        <f>C28/12</f>
        <v>#REF!</v>
      </c>
      <c r="D29" s="379" t="s">
        <v>265</v>
      </c>
      <c r="E29" s="378" t="e">
        <f>E28/12</f>
        <v>#REF!</v>
      </c>
    </row>
  </sheetData>
  <mergeCells count="4">
    <mergeCell ref="B3:C3"/>
    <mergeCell ref="D3:E3"/>
    <mergeCell ref="I3:J3"/>
    <mergeCell ref="O3:P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16</vt:i4>
      </vt:variant>
      <vt:variant>
        <vt:lpstr>Plages nommées</vt:lpstr>
      </vt:variant>
      <vt:variant>
        <vt:i4>165</vt:i4>
      </vt:variant>
    </vt:vector>
  </HeadingPairs>
  <TitlesOfParts>
    <vt:vector size="181" baseType="lpstr">
      <vt:lpstr>Linéaire Projet 1</vt:lpstr>
      <vt:lpstr>Dégressif projet 1</vt:lpstr>
      <vt:lpstr>Données Projet 1</vt:lpstr>
      <vt:lpstr>Avancé prêt taux fixe projet 1</vt:lpstr>
      <vt:lpstr>Avancé prêt in fine projet 1</vt:lpstr>
      <vt:lpstr>TAM Projet 1</vt:lpstr>
      <vt:lpstr>Remboursement credit en cascade</vt:lpstr>
      <vt:lpstr>Linéaire Projet 1 (2)</vt:lpstr>
      <vt:lpstr>Dégressif projet 1 (2)</vt:lpstr>
      <vt:lpstr>Impots projet 1 (2)</vt:lpstr>
      <vt:lpstr>Données Projet 1 (2)</vt:lpstr>
      <vt:lpstr>Tableaux amortissement proj (2</vt:lpstr>
      <vt:lpstr>Avancé prêt taux fixe proje (2</vt:lpstr>
      <vt:lpstr>Avancé prêt in fine projet  (2</vt:lpstr>
      <vt:lpstr>TAM Projet 1 (2)</vt:lpstr>
      <vt:lpstr>ensemble des projets</vt:lpstr>
      <vt:lpstr>__Jou1</vt:lpstr>
      <vt:lpstr>__jou123</vt:lpstr>
      <vt:lpstr>__Jou2</vt:lpstr>
      <vt:lpstr>__jou21</vt:lpstr>
      <vt:lpstr>_A</vt:lpstr>
      <vt:lpstr>_a1t</vt:lpstr>
      <vt:lpstr>_an</vt:lpstr>
      <vt:lpstr>_an1t</vt:lpstr>
      <vt:lpstr>_ann</vt:lpstr>
      <vt:lpstr>_ann1t</vt:lpstr>
      <vt:lpstr>_ANNEEdebut</vt:lpstr>
      <vt:lpstr>_anneedebut1</vt:lpstr>
      <vt:lpstr>_Anniversaire</vt:lpstr>
      <vt:lpstr>_Anniversaire1</vt:lpstr>
      <vt:lpstr>_anniversaire12</vt:lpstr>
      <vt:lpstr>_anniversaire123</vt:lpstr>
      <vt:lpstr>_CAP1E</vt:lpstr>
      <vt:lpstr>_CAP1E1</vt:lpstr>
      <vt:lpstr>_cap1e12</vt:lpstr>
      <vt:lpstr>_cap1e123</vt:lpstr>
      <vt:lpstr>_Chamgement_de_taux</vt:lpstr>
      <vt:lpstr>_chamgement_de_taux12</vt:lpstr>
      <vt:lpstr>_Changement_de_taux</vt:lpstr>
      <vt:lpstr>_changement_de_taux123</vt:lpstr>
      <vt:lpstr>_Cout_Total</vt:lpstr>
      <vt:lpstr>_Cout_Total1</vt:lpstr>
      <vt:lpstr>_cout_total12</vt:lpstr>
      <vt:lpstr>_cout_total123</vt:lpstr>
      <vt:lpstr>_cumul</vt:lpstr>
      <vt:lpstr>_cumul1</vt:lpstr>
      <vt:lpstr>_d</vt:lpstr>
      <vt:lpstr>_d1t</vt:lpstr>
      <vt:lpstr>_DATDB</vt:lpstr>
      <vt:lpstr>_DATDB1</vt:lpstr>
      <vt:lpstr>_datdb12</vt:lpstr>
      <vt:lpstr>_datdb123</vt:lpstr>
      <vt:lpstr>_DebAmort</vt:lpstr>
      <vt:lpstr>_DebAmort1</vt:lpstr>
      <vt:lpstr>_debamort12</vt:lpstr>
      <vt:lpstr>_debamort122</vt:lpstr>
      <vt:lpstr>_Différé</vt:lpstr>
      <vt:lpstr>_Différé1</vt:lpstr>
      <vt:lpstr>_differe1t</vt:lpstr>
      <vt:lpstr>_differe1t1t</vt:lpstr>
      <vt:lpstr>_DiffSimple</vt:lpstr>
      <vt:lpstr>_DiffSimple1</vt:lpstr>
      <vt:lpstr>_diffsimple12</vt:lpstr>
      <vt:lpstr>_diffsimple123</vt:lpstr>
      <vt:lpstr>_DiffTotal</vt:lpstr>
      <vt:lpstr>_DiffTotal1</vt:lpstr>
      <vt:lpstr>_difftotal1t</vt:lpstr>
      <vt:lpstr>_difftotal1t1t</vt:lpstr>
      <vt:lpstr>_EchFIXE</vt:lpstr>
      <vt:lpstr>_EchFIXE1</vt:lpstr>
      <vt:lpstr>_echfixe12</vt:lpstr>
      <vt:lpstr>_echfixe1t</vt:lpstr>
      <vt:lpstr>_FraisF</vt:lpstr>
      <vt:lpstr>_FraisF1</vt:lpstr>
      <vt:lpstr>_fraisf12</vt:lpstr>
      <vt:lpstr>_fraisf123</vt:lpstr>
      <vt:lpstr>_FraisV</vt:lpstr>
      <vt:lpstr>_FraisV1</vt:lpstr>
      <vt:lpstr>_fraisv12</vt:lpstr>
      <vt:lpstr>_fraisv123</vt:lpstr>
      <vt:lpstr>_Ijour</vt:lpstr>
      <vt:lpstr>_Ijour1</vt:lpstr>
      <vt:lpstr>_ijour12</vt:lpstr>
      <vt:lpstr>_ijour122</vt:lpstr>
      <vt:lpstr>_Imois</vt:lpstr>
      <vt:lpstr>_Imois1</vt:lpstr>
      <vt:lpstr>_imois12</vt:lpstr>
      <vt:lpstr>_imois122</vt:lpstr>
      <vt:lpstr>_INT1E</vt:lpstr>
      <vt:lpstr>_INT1E1</vt:lpstr>
      <vt:lpstr>_int1e12</vt:lpstr>
      <vt:lpstr>_int1e1t</vt:lpstr>
      <vt:lpstr>_J</vt:lpstr>
      <vt:lpstr>_j1t</vt:lpstr>
      <vt:lpstr>_Jour1</vt:lpstr>
      <vt:lpstr>_jour12</vt:lpstr>
      <vt:lpstr>_Jour2</vt:lpstr>
      <vt:lpstr>_jour212</vt:lpstr>
      <vt:lpstr>_lignes</vt:lpstr>
      <vt:lpstr>_lignes1</vt:lpstr>
      <vt:lpstr>_M</vt:lpstr>
      <vt:lpstr>_m1t</vt:lpstr>
      <vt:lpstr>_mois</vt:lpstr>
      <vt:lpstr>_mois1</vt:lpstr>
      <vt:lpstr>_MoisD</vt:lpstr>
      <vt:lpstr>_MoisD1</vt:lpstr>
      <vt:lpstr>_moisd12</vt:lpstr>
      <vt:lpstr>_MOISdebut</vt:lpstr>
      <vt:lpstr>_moisdebut12</vt:lpstr>
      <vt:lpstr>_MtEch</vt:lpstr>
      <vt:lpstr>_MtEch1</vt:lpstr>
      <vt:lpstr>_mtech12</vt:lpstr>
      <vt:lpstr>_mtech123</vt:lpstr>
      <vt:lpstr>_MtEmprunt</vt:lpstr>
      <vt:lpstr>_MtEmprunt1</vt:lpstr>
      <vt:lpstr>_mtemprunt12</vt:lpstr>
      <vt:lpstr>_mtemprunt123</vt:lpstr>
      <vt:lpstr>_NbDeci</vt:lpstr>
      <vt:lpstr>_NbDeci1</vt:lpstr>
      <vt:lpstr>_nbdeci1t</vt:lpstr>
      <vt:lpstr>_nbdeci1t1</vt:lpstr>
      <vt:lpstr>_NbEch</vt:lpstr>
      <vt:lpstr>_NbEch1</vt:lpstr>
      <vt:lpstr>_nbech123</vt:lpstr>
      <vt:lpstr>_nbech1234</vt:lpstr>
      <vt:lpstr>_NbEchAn</vt:lpstr>
      <vt:lpstr>_NbechAn1</vt:lpstr>
      <vt:lpstr>_nbechan1t</vt:lpstr>
      <vt:lpstr>_nbr</vt:lpstr>
      <vt:lpstr>_nbr1t</vt:lpstr>
      <vt:lpstr>_nebchan1t</vt:lpstr>
      <vt:lpstr>_NoEchMaxi</vt:lpstr>
      <vt:lpstr>_NoEchMaxi1</vt:lpstr>
      <vt:lpstr>_noechmaxi1t</vt:lpstr>
      <vt:lpstr>_NoEchRemb</vt:lpstr>
      <vt:lpstr>_NoEchRemb1</vt:lpstr>
      <vt:lpstr>_noechremb12</vt:lpstr>
      <vt:lpstr>_noechremb1t</vt:lpstr>
      <vt:lpstr>_noeechmaxi1</vt:lpstr>
      <vt:lpstr>_Nombre_échéances</vt:lpstr>
      <vt:lpstr>_Nombre_échéances1</vt:lpstr>
      <vt:lpstr>_nombre_echeances12</vt:lpstr>
      <vt:lpstr>_nombre_echeances123</vt:lpstr>
      <vt:lpstr>_Periodicite</vt:lpstr>
      <vt:lpstr>_Periodicite1</vt:lpstr>
      <vt:lpstr>_periodicite1t</vt:lpstr>
      <vt:lpstr>_periodicite1tt</vt:lpstr>
      <vt:lpstr>_T</vt:lpstr>
      <vt:lpstr>_t1t</vt:lpstr>
      <vt:lpstr>_TauxActuariel</vt:lpstr>
      <vt:lpstr>_TauxActuariel1</vt:lpstr>
      <vt:lpstr>_tauxactuariel1t</vt:lpstr>
      <vt:lpstr>_tauxactuariel1t1</vt:lpstr>
      <vt:lpstr>_TAUXdeg</vt:lpstr>
      <vt:lpstr>_tauxdeg1</vt:lpstr>
      <vt:lpstr>_TAUXlin</vt:lpstr>
      <vt:lpstr>_tauxlin1</vt:lpstr>
      <vt:lpstr>_Total_Capital</vt:lpstr>
      <vt:lpstr>_Total_Capital1</vt:lpstr>
      <vt:lpstr>_total_capital12</vt:lpstr>
      <vt:lpstr>_total_capital123</vt:lpstr>
      <vt:lpstr>_Total_Frais</vt:lpstr>
      <vt:lpstr>_Total_Frais1</vt:lpstr>
      <vt:lpstr>_total_frais12</vt:lpstr>
      <vt:lpstr>_total_frais123</vt:lpstr>
      <vt:lpstr>_Total_Intérêts</vt:lpstr>
      <vt:lpstr>_Total_Intérêts1</vt:lpstr>
      <vt:lpstr>_total_interets12</vt:lpstr>
      <vt:lpstr>_total_interets123</vt:lpstr>
      <vt:lpstr>_TVDebit</vt:lpstr>
      <vt:lpstr>_TVDebit1</vt:lpstr>
      <vt:lpstr>_tvdebit12</vt:lpstr>
      <vt:lpstr>_tvdebit123</vt:lpstr>
      <vt:lpstr>_TxPer</vt:lpstr>
      <vt:lpstr>_Txper1</vt:lpstr>
      <vt:lpstr>_txper12</vt:lpstr>
      <vt:lpstr>_txper123</vt:lpstr>
      <vt:lpstr>_VNCdebut</vt:lpstr>
      <vt:lpstr>_vncdebut1</vt:lpstr>
      <vt:lpstr>_VO</vt:lpstr>
      <vt:lpstr>_vo1t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JxTamm v3.04</dc:title>
  <dc:subject>cBanque - Tableau amortissement modulable</dc:subject>
  <dc:creator/>
  <cp:lastModifiedBy/>
  <dcterms:created xsi:type="dcterms:W3CDTF">2003-11-22T15:31:27Z</dcterms:created>
  <dcterms:modified xsi:type="dcterms:W3CDTF">2018-05-25T15:13:53Z</dcterms:modified>
</cp:coreProperties>
</file>