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896" firstSheet="1" activeTab="3"/>
  </bookViews>
  <sheets>
    <sheet name="Facture" sheetId="1" r:id="rId1"/>
    <sheet name="Nouvelle Facture" sheetId="7" r:id="rId2"/>
    <sheet name="Nouveau Client" sheetId="6" r:id="rId3"/>
    <sheet name="TCD" sheetId="8" r:id="rId4"/>
    <sheet name="DB FACTURE" sheetId="3" r:id="rId5"/>
    <sheet name="DB CLIENT" sheetId="2" r:id="rId6"/>
    <sheet name="Synthèse" sheetId="4" r:id="rId7"/>
  </sheets>
  <definedNames>
    <definedName name="InvoiceNoDetails">"InvoiceDetails[Invoice No]"</definedName>
    <definedName name="rngInvoice">Facture!$F$4</definedName>
    <definedName name="_xlnm.Print_Area" localSheetId="4">'DB FACTURE'!$A$1:$T$8</definedName>
    <definedName name="_xlnm.Print_Area" localSheetId="0">Facture!$C$3:$F$32</definedName>
  </definedNames>
  <calcPr calcId="152511"/>
  <pivotCaches>
    <pivotCache cacheId="5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0" i="4" l="1"/>
  <c r="G40" i="4" s="1"/>
  <c r="D40" i="4"/>
  <c r="J40" i="4" s="1"/>
  <c r="E30" i="4"/>
  <c r="G30" i="4" s="1"/>
  <c r="D30" i="4"/>
  <c r="J30" i="4" s="1"/>
  <c r="E20" i="4"/>
  <c r="G20" i="4" s="1"/>
  <c r="D20" i="4"/>
  <c r="J20" i="4" s="1"/>
  <c r="I40" i="4" l="1"/>
  <c r="I30" i="4"/>
  <c r="K30" i="4" s="1"/>
  <c r="I20" i="4"/>
  <c r="K20" i="4" s="1"/>
  <c r="P3" i="3"/>
  <c r="U3" i="3"/>
  <c r="P4" i="3"/>
  <c r="U4" i="3"/>
  <c r="P5" i="3"/>
  <c r="U5" i="3"/>
  <c r="K40" i="4" l="1"/>
  <c r="P6" i="3"/>
  <c r="U6" i="3"/>
  <c r="P7" i="3"/>
  <c r="U7" i="3"/>
  <c r="Z1" i="3"/>
  <c r="D6" i="7"/>
  <c r="D18" i="1" l="1"/>
  <c r="C18" i="1"/>
  <c r="E20" i="1"/>
  <c r="D20" i="1"/>
  <c r="E19" i="1"/>
  <c r="D19" i="1"/>
  <c r="C20" i="1"/>
  <c r="C19" i="1"/>
  <c r="F19" i="1" l="1"/>
  <c r="R8" i="3"/>
  <c r="C17" i="1"/>
  <c r="E18" i="1"/>
  <c r="E17" i="1"/>
  <c r="D17" i="1"/>
  <c r="D10" i="4"/>
  <c r="J10" i="4" s="1"/>
  <c r="J45" i="4" s="1"/>
  <c r="E10" i="4"/>
  <c r="G10" i="4" s="1"/>
  <c r="G45" i="4" s="1"/>
  <c r="F5" i="1"/>
  <c r="F6" i="1"/>
  <c r="F10" i="1" l="1"/>
  <c r="F9" i="1"/>
  <c r="I10" i="4"/>
  <c r="T8" i="3"/>
  <c r="P8" i="3"/>
  <c r="F20" i="1"/>
  <c r="F18" i="1"/>
  <c r="F17" i="1"/>
  <c r="F7" i="1"/>
  <c r="F8" i="1"/>
  <c r="K10" i="4" l="1"/>
  <c r="K45" i="4" s="1"/>
  <c r="I45" i="4"/>
  <c r="U9" i="3"/>
  <c r="F21" i="1"/>
  <c r="F24" i="1" s="1"/>
</calcChain>
</file>

<file path=xl/sharedStrings.xml><?xml version="1.0" encoding="utf-8"?>
<sst xmlns="http://schemas.openxmlformats.org/spreadsheetml/2006/main" count="227" uniqueCount="126">
  <si>
    <t>Description</t>
  </si>
  <si>
    <t>TOTAL</t>
  </si>
  <si>
    <t/>
  </si>
  <si>
    <t>Facture n°</t>
  </si>
  <si>
    <t>Date de la facture :</t>
  </si>
  <si>
    <t>Adresse :</t>
  </si>
  <si>
    <t>E-mail :</t>
  </si>
  <si>
    <t>Téléphone :</t>
  </si>
  <si>
    <t>Facturer à :</t>
  </si>
  <si>
    <t>Unités</t>
  </si>
  <si>
    <t>Coût unitaire</t>
  </si>
  <si>
    <t>Montant</t>
  </si>
  <si>
    <t>Sous-total de la facture</t>
  </si>
  <si>
    <t>Acompte reçu</t>
  </si>
  <si>
    <t xml:space="preserve">Facture </t>
  </si>
  <si>
    <t>TVA. non applicable, art. 293 B du CGI.</t>
  </si>
  <si>
    <t>69450 St Cyr au mont d'Or</t>
  </si>
  <si>
    <t>nom client</t>
  </si>
  <si>
    <t xml:space="preserve">adresse client </t>
  </si>
  <si>
    <t xml:space="preserve">tel client </t>
  </si>
  <si>
    <t>mail client</t>
  </si>
  <si>
    <t xml:space="preserve">Huttopia La plage Blanche </t>
  </si>
  <si>
    <t>CP Ville client</t>
  </si>
  <si>
    <t>Huttopia Royat</t>
  </si>
  <si>
    <t>Frais de déplacement</t>
  </si>
  <si>
    <t>RESTE</t>
  </si>
  <si>
    <t>Total</t>
  </si>
  <si>
    <t>NON</t>
  </si>
  <si>
    <t>D190403</t>
  </si>
  <si>
    <t>OUI</t>
  </si>
  <si>
    <t>D190401</t>
  </si>
  <si>
    <t>Remarque</t>
  </si>
  <si>
    <t>Envoyé</t>
  </si>
  <si>
    <t>N° Facture</t>
  </si>
  <si>
    <t>N°Devis</t>
  </si>
  <si>
    <t>Date facture</t>
  </si>
  <si>
    <t>BDD FACTURE</t>
  </si>
  <si>
    <r>
      <rPr>
        <b/>
        <sz val="18"/>
        <color theme="0"/>
        <rFont val="Calibri (Corps)"/>
      </rPr>
      <t xml:space="preserve">COMPTA 2019 </t>
    </r>
    <r>
      <rPr>
        <b/>
        <sz val="18"/>
        <color theme="0"/>
        <rFont val="Century Gothic"/>
        <family val="2"/>
        <scheme val="minor"/>
      </rPr>
      <t xml:space="preserve">
</t>
    </r>
    <r>
      <rPr>
        <b/>
        <sz val="18"/>
        <color theme="0"/>
        <rFont val="Calibri (Corps)"/>
      </rPr>
      <t xml:space="preserve">THIBAULT AVELINE Ste HITECH </t>
    </r>
  </si>
  <si>
    <t>Trimestre 1</t>
  </si>
  <si>
    <t>Date</t>
  </si>
  <si>
    <t>Entreprise</t>
  </si>
  <si>
    <t>Frais avancés</t>
  </si>
  <si>
    <t>Déclaration</t>
  </si>
  <si>
    <t>Pourcentage</t>
  </si>
  <si>
    <t>Cotisation Payées</t>
  </si>
  <si>
    <t>Gains net</t>
  </si>
  <si>
    <t>Trimestre 2</t>
  </si>
  <si>
    <t>TRIMESTRE 2</t>
  </si>
  <si>
    <t>Trimestre 3</t>
  </si>
  <si>
    <t>TRIMESTRE 3</t>
  </si>
  <si>
    <t>CEESO Paris</t>
  </si>
  <si>
    <t>Trimestre 4</t>
  </si>
  <si>
    <t>TRIMESTRE 4</t>
  </si>
  <si>
    <t>TOTAL 2019</t>
  </si>
  <si>
    <t>TRAVAUX L1</t>
  </si>
  <si>
    <t>Nbr UNITE L1</t>
  </si>
  <si>
    <t>TRAVAUX L2</t>
  </si>
  <si>
    <t>Nbr UNITE L2</t>
  </si>
  <si>
    <t>TRAVAUX L3</t>
  </si>
  <si>
    <t>Nbr UNITE L3</t>
  </si>
  <si>
    <t>P/U L3</t>
  </si>
  <si>
    <t>P/U L2</t>
  </si>
  <si>
    <t>P/U L1</t>
  </si>
  <si>
    <t>Trimestre et année</t>
  </si>
  <si>
    <t>Frais Avancés</t>
  </si>
  <si>
    <t>Payée</t>
  </si>
  <si>
    <t>P/U L4</t>
  </si>
  <si>
    <t>TRAVAUX L4</t>
  </si>
  <si>
    <t>Nbr UNITE L4</t>
  </si>
  <si>
    <t>Client</t>
  </si>
  <si>
    <t>En cas de retard de paiement, application du taux d'intérêt légal en vigeur à la date de la facture
Indemnité forfaitaire de 40€ pour frais de recouvrement</t>
  </si>
  <si>
    <t>Montant HT</t>
  </si>
  <si>
    <t>TOTAL HT</t>
  </si>
  <si>
    <t>Nouveau Client</t>
  </si>
  <si>
    <t xml:space="preserve">Nom </t>
  </si>
  <si>
    <t>Adresse</t>
  </si>
  <si>
    <t>CP Ville</t>
  </si>
  <si>
    <t>Tel</t>
  </si>
  <si>
    <t>mail</t>
  </si>
  <si>
    <t>Nouvelle Facture</t>
  </si>
  <si>
    <t>Facture précédente:</t>
  </si>
  <si>
    <t>N°Facture</t>
  </si>
  <si>
    <t xml:space="preserve">Date de la facture </t>
  </si>
  <si>
    <t>Facturer à :</t>
  </si>
  <si>
    <t>Travaux 1</t>
  </si>
  <si>
    <t>Prix Unité</t>
  </si>
  <si>
    <t>Travaux 2</t>
  </si>
  <si>
    <t>Travaux 3</t>
  </si>
  <si>
    <t>Nombre unités</t>
  </si>
  <si>
    <t>Travaux 4</t>
  </si>
  <si>
    <t xml:space="preserve">Envoyée </t>
  </si>
  <si>
    <t xml:space="preserve">Payée </t>
  </si>
  <si>
    <t>Devis :</t>
  </si>
  <si>
    <t xml:space="preserve"> - Changement ligne téléphone et fourniture matériel</t>
  </si>
  <si>
    <t>F0001</t>
  </si>
  <si>
    <t>F0002</t>
  </si>
  <si>
    <t>F0003</t>
  </si>
  <si>
    <t>F0004</t>
  </si>
  <si>
    <t>F0005</t>
  </si>
  <si>
    <t>Client Machin</t>
  </si>
  <si>
    <t>123 rue machin</t>
  </si>
  <si>
    <t>69001 Lyon</t>
  </si>
  <si>
    <t>Clinet Bidule</t>
  </si>
  <si>
    <t>123 rue bidule</t>
  </si>
  <si>
    <t>69001 bidulle</t>
  </si>
  <si>
    <t>Client truc</t>
  </si>
  <si>
    <t>123 rue truc</t>
  </si>
  <si>
    <t>69001 truc</t>
  </si>
  <si>
    <t xml:space="preserve">Intevention d'intervention 
Intevention d'intervention </t>
  </si>
  <si>
    <t>ENTREPRISE</t>
  </si>
  <si>
    <t>Maintenance</t>
  </si>
  <si>
    <t>28 rue de la bière</t>
  </si>
  <si>
    <t>06 00 00 00 00</t>
  </si>
  <si>
    <t>www.entreprise.com</t>
  </si>
  <si>
    <t>truc@gmail.com</t>
  </si>
  <si>
    <t>Siret 00000000</t>
  </si>
  <si>
    <r>
      <rPr>
        <b/>
        <sz val="12"/>
        <rFont val="Century Gothic"/>
        <family val="1"/>
        <scheme val="minor"/>
      </rPr>
      <t>RIB pour règlement</t>
    </r>
    <r>
      <rPr>
        <sz val="12"/>
        <rFont val="Century Gothic"/>
        <family val="2"/>
        <scheme val="minor"/>
      </rPr>
      <t xml:space="preserve">
Nom: Thibault Aveline
IBAN: FR0000
BIC: NTSB
Payable sous 30 jours.</t>
    </r>
  </si>
  <si>
    <t>TRIMESTRE 1</t>
  </si>
  <si>
    <t>Total général</t>
  </si>
  <si>
    <t>Somme de Frais Avancés</t>
  </si>
  <si>
    <t>Valeurs</t>
  </si>
  <si>
    <t>Somme de TOTAL</t>
  </si>
  <si>
    <t>Q1-2019</t>
  </si>
  <si>
    <t>Q2-2019</t>
  </si>
  <si>
    <t>Q3-2019</t>
  </si>
  <si>
    <t>Q4-2019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</si>
</sst>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#,##0.00\ &quot;€&quot;_);[Red]\(#,##0.00\ &quot;€&quot;\)"/>
    <numFmt numFmtId="165" formatCode="General;;"/>
    <numFmt numFmtId="166" formatCode="@\ \ "/>
    <numFmt numFmtId="167" formatCode="_(&quot;€&quot;* #,##0.00_);_(&quot;€&quot;* \(#,##0.00\);_(&quot;€&quot;* &quot;-&quot;??_);_(@_)"/>
    <numFmt numFmtId="168" formatCode="0#######"/>
    <numFmt numFmtId="169" formatCode="[$-40C]d\ mmmm\ yyyy;@"/>
    <numFmt numFmtId="170" formatCode="#,##0\ &quot;€&quot;"/>
    <numFmt numFmtId="171" formatCode="0.0%"/>
    <numFmt numFmtId="172" formatCode="0#&quot; &quot;##&quot; &quot;##&quot; &quot;##&quot; &quot;##"/>
    <numFmt numFmtId="173" formatCode="#,##0.00\ &quot;€&quot;"/>
  </numFmts>
  <fonts count="31">
    <font>
      <sz val="12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2"/>
      <color theme="1"/>
      <name val="Century Gothic"/>
      <family val="2"/>
      <scheme val="minor"/>
    </font>
    <font>
      <b/>
      <sz val="18"/>
      <color theme="1"/>
      <name val="Century Gothic"/>
      <family val="2"/>
      <scheme val="minor"/>
    </font>
    <font>
      <sz val="12"/>
      <name val="Century Gothic"/>
      <family val="2"/>
      <scheme val="minor"/>
    </font>
    <font>
      <b/>
      <sz val="12"/>
      <name val="Century Gothic"/>
      <family val="2"/>
      <scheme val="minor"/>
    </font>
    <font>
      <sz val="8"/>
      <name val="Century Gothic"/>
      <family val="2"/>
      <scheme val="minor"/>
    </font>
    <font>
      <b/>
      <sz val="12"/>
      <color theme="1"/>
      <name val="Century Gothic"/>
      <family val="2"/>
      <scheme val="minor"/>
    </font>
    <font>
      <u/>
      <sz val="12"/>
      <color theme="10"/>
      <name val="Century Gothic"/>
      <family val="2"/>
      <scheme val="minor"/>
    </font>
    <font>
      <u/>
      <sz val="12"/>
      <color theme="11"/>
      <name val="Century Gothic"/>
      <family val="2"/>
      <scheme val="minor"/>
    </font>
    <font>
      <sz val="14"/>
      <name val="Century Gothic"/>
      <family val="2"/>
      <scheme val="minor"/>
    </font>
    <font>
      <sz val="12"/>
      <name val="Century Gothic"/>
      <family val="1"/>
      <scheme val="minor"/>
    </font>
    <font>
      <b/>
      <sz val="12"/>
      <name val="Century Gothic"/>
      <family val="1"/>
      <scheme val="minor"/>
    </font>
    <font>
      <sz val="12"/>
      <name val="Century Gothic"/>
      <family val="1"/>
      <scheme val="major"/>
    </font>
    <font>
      <b/>
      <sz val="18"/>
      <color theme="0"/>
      <name val="Century Gothic"/>
      <family val="2"/>
      <scheme val="minor"/>
    </font>
    <font>
      <b/>
      <sz val="18"/>
      <color theme="0"/>
      <name val="Calibri (Corps)"/>
    </font>
    <font>
      <b/>
      <u/>
      <sz val="18"/>
      <color theme="1"/>
      <name val="Century Gothic"/>
      <family val="2"/>
      <scheme val="minor"/>
    </font>
    <font>
      <b/>
      <sz val="14"/>
      <color theme="0"/>
      <name val="Century Gothic"/>
      <family val="2"/>
      <scheme val="minor"/>
    </font>
    <font>
      <b/>
      <sz val="16"/>
      <color theme="1"/>
      <name val="Century Gothic"/>
      <family val="2"/>
      <scheme val="minor"/>
    </font>
    <font>
      <sz val="16"/>
      <color theme="0"/>
      <name val="Century Gothic"/>
      <family val="2"/>
      <scheme val="minor"/>
    </font>
    <font>
      <b/>
      <sz val="20"/>
      <color theme="0"/>
      <name val="Century Gothic"/>
      <family val="2"/>
      <scheme val="minor"/>
    </font>
    <font>
      <sz val="18"/>
      <color theme="0"/>
      <name val="Century Gothic"/>
      <family val="2"/>
      <scheme val="minor"/>
    </font>
    <font>
      <b/>
      <sz val="12"/>
      <color theme="0"/>
      <name val="Century Gothic (Corps)"/>
    </font>
    <font>
      <sz val="20"/>
      <color rgb="FF000000"/>
      <name val="Calibri"/>
      <family val="2"/>
    </font>
    <font>
      <sz val="12"/>
      <color rgb="FF000000"/>
      <name val="Century Gothic"/>
      <family val="2"/>
    </font>
    <font>
      <sz val="12"/>
      <color rgb="FF000000"/>
      <name val="Century Gothic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D7D3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199"/>
        <bgColor rgb="FFFFC199"/>
      </patternFill>
    </fill>
  </fills>
  <borders count="26">
    <border>
      <left/>
      <right/>
      <top/>
      <bottom/>
      <diagonal/>
    </border>
    <border>
      <left/>
      <right/>
      <top style="thick">
        <color theme="6"/>
      </top>
      <bottom/>
      <diagonal/>
    </border>
    <border>
      <left/>
      <right/>
      <top/>
      <bottom style="thick">
        <color theme="6"/>
      </bottom>
      <diagonal/>
    </border>
    <border>
      <left style="thick">
        <color theme="6"/>
      </left>
      <right/>
      <top style="thick">
        <color theme="6"/>
      </top>
      <bottom/>
      <diagonal/>
    </border>
    <border>
      <left style="thick">
        <color theme="6"/>
      </left>
      <right/>
      <top/>
      <bottom/>
      <diagonal/>
    </border>
    <border>
      <left style="thick">
        <color theme="6"/>
      </left>
      <right/>
      <top/>
      <bottom style="thick">
        <color theme="6"/>
      </bottom>
      <diagonal/>
    </border>
    <border>
      <left/>
      <right/>
      <top/>
      <bottom style="thick">
        <color theme="6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A466"/>
      </left>
      <right style="thin">
        <color rgb="FFFFA466"/>
      </right>
      <top style="thin">
        <color rgb="FFFFA466"/>
      </top>
      <bottom style="thin">
        <color rgb="FFFFA466"/>
      </bottom>
      <diagonal/>
    </border>
  </borders>
  <cellStyleXfs count="6">
    <xf numFmtId="0" fontId="0" fillId="0" borderId="0"/>
    <xf numFmtId="0" fontId="8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7" fillId="0" borderId="0"/>
  </cellStyleXfs>
  <cellXfs count="153">
    <xf numFmtId="0" fontId="0" fillId="0" borderId="0" xfId="0"/>
    <xf numFmtId="0" fontId="9" fillId="2" borderId="1" xfId="0" applyFont="1" applyFill="1" applyBorder="1" applyProtection="1">
      <protection locked="0"/>
    </xf>
    <xf numFmtId="0" fontId="9" fillId="0" borderId="0" xfId="0" applyFont="1"/>
    <xf numFmtId="0" fontId="9" fillId="2" borderId="0" xfId="0" applyFont="1" applyFill="1" applyBorder="1" applyProtection="1">
      <protection locked="0"/>
    </xf>
    <xf numFmtId="0" fontId="9" fillId="0" borderId="0" xfId="0" applyFont="1" applyFill="1" applyBorder="1" applyAlignment="1">
      <alignment horizontal="left" indent="1"/>
    </xf>
    <xf numFmtId="0" fontId="9" fillId="2" borderId="2" xfId="0" applyFont="1" applyFill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166" fontId="10" fillId="2" borderId="1" xfId="0" applyNumberFormat="1" applyFont="1" applyFill="1" applyBorder="1" applyAlignment="1">
      <alignment horizontal="right" vertical="center"/>
    </xf>
    <xf numFmtId="0" fontId="9" fillId="0" borderId="0" xfId="0" applyFont="1" applyAlignment="1"/>
    <xf numFmtId="0" fontId="12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indent="1"/>
    </xf>
    <xf numFmtId="0" fontId="0" fillId="0" borderId="0" xfId="0" applyFill="1" applyBorder="1" applyAlignment="1">
      <alignment horizontal="left" indent="1"/>
    </xf>
    <xf numFmtId="0" fontId="0" fillId="0" borderId="2" xfId="0" applyFill="1" applyBorder="1" applyProtection="1">
      <protection locked="0"/>
    </xf>
    <xf numFmtId="165" fontId="0" fillId="0" borderId="0" xfId="0" applyNumberFormat="1" applyFill="1" applyBorder="1"/>
    <xf numFmtId="165" fontId="0" fillId="0" borderId="2" xfId="0" applyNumberFormat="1" applyFill="1" applyBorder="1"/>
    <xf numFmtId="0" fontId="0" fillId="0" borderId="2" xfId="0" applyFill="1" applyBorder="1" applyAlignment="1">
      <alignment horizontal="left" indent="1"/>
    </xf>
    <xf numFmtId="166" fontId="0" fillId="0" borderId="0" xfId="0" applyNumberFormat="1" applyFill="1" applyBorder="1" applyAlignment="1">
      <alignment horizontal="right" vertical="center"/>
    </xf>
    <xf numFmtId="0" fontId="13" fillId="0" borderId="0" xfId="4" applyFill="1" applyBorder="1" applyProtection="1">
      <protection locked="0"/>
    </xf>
    <xf numFmtId="0" fontId="10" fillId="0" borderId="0" xfId="0" applyFont="1" applyFill="1" applyBorder="1" applyAlignment="1">
      <alignment vertical="center"/>
    </xf>
    <xf numFmtId="166" fontId="10" fillId="0" borderId="0" xfId="0" applyNumberFormat="1" applyFont="1" applyFill="1" applyBorder="1" applyAlignment="1">
      <alignment horizontal="right" vertical="center"/>
    </xf>
    <xf numFmtId="167" fontId="10" fillId="0" borderId="0" xfId="0" applyNumberFormat="1" applyFont="1" applyFill="1" applyBorder="1" applyAlignment="1">
      <alignment horizontal="right" vertical="center"/>
    </xf>
    <xf numFmtId="168" fontId="0" fillId="0" borderId="1" xfId="0" applyNumberFormat="1" applyFill="1" applyBorder="1" applyAlignment="1" applyProtection="1">
      <alignment horizontal="left"/>
      <protection locked="0"/>
    </xf>
    <xf numFmtId="169" fontId="9" fillId="0" borderId="0" xfId="0" applyNumberFormat="1" applyFont="1" applyFill="1" applyBorder="1" applyAlignment="1" applyProtection="1">
      <alignment horizontal="left"/>
    </xf>
    <xf numFmtId="165" fontId="0" fillId="0" borderId="0" xfId="0" applyNumberFormat="1" applyFont="1" applyFill="1" applyBorder="1" applyAlignment="1">
      <alignment horizontal="left"/>
    </xf>
    <xf numFmtId="0" fontId="0" fillId="3" borderId="0" xfId="0" applyFill="1" applyBorder="1" applyAlignment="1">
      <alignment horizontal="left" vertical="center" wrapText="1"/>
    </xf>
    <xf numFmtId="0" fontId="15" fillId="0" borderId="1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170" fontId="9" fillId="0" borderId="4" xfId="0" applyNumberFormat="1" applyFont="1" applyFill="1" applyBorder="1" applyAlignment="1">
      <alignment horizontal="right" vertical="center"/>
    </xf>
    <xf numFmtId="170" fontId="9" fillId="0" borderId="5" xfId="0" applyNumberFormat="1" applyFont="1" applyFill="1" applyBorder="1" applyAlignment="1">
      <alignment horizontal="right" vertical="center"/>
    </xf>
    <xf numFmtId="170" fontId="10" fillId="2" borderId="3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49" fontId="0" fillId="0" borderId="0" xfId="0" applyNumberFormat="1" applyFill="1" applyBorder="1"/>
    <xf numFmtId="0" fontId="0" fillId="0" borderId="0" xfId="0" applyFont="1"/>
    <xf numFmtId="49" fontId="0" fillId="0" borderId="0" xfId="0" applyNumberFormat="1" applyFont="1"/>
    <xf numFmtId="0" fontId="18" fillId="0" borderId="0" xfId="0" applyFont="1"/>
    <xf numFmtId="0" fontId="7" fillId="0" borderId="0" xfId="5"/>
    <xf numFmtId="0" fontId="7" fillId="0" borderId="0" xfId="5" applyAlignment="1">
      <alignment vertical="center"/>
    </xf>
    <xf numFmtId="0" fontId="7" fillId="0" borderId="0" xfId="5" applyAlignment="1">
      <alignment horizontal="center" vertical="center"/>
    </xf>
    <xf numFmtId="14" fontId="7" fillId="0" borderId="0" xfId="5" applyNumberFormat="1" applyAlignment="1">
      <alignment vertical="center"/>
    </xf>
    <xf numFmtId="0" fontId="7" fillId="0" borderId="0" xfId="5" applyFill="1" applyAlignment="1">
      <alignment horizontal="center" vertical="center"/>
    </xf>
    <xf numFmtId="0" fontId="22" fillId="4" borderId="0" xfId="0" applyFont="1" applyFill="1"/>
    <xf numFmtId="0" fontId="22" fillId="4" borderId="7" xfId="0" applyFont="1" applyFill="1" applyBorder="1" applyAlignment="1">
      <alignment horizontal="center"/>
    </xf>
    <xf numFmtId="0" fontId="24" fillId="4" borderId="7" xfId="0" applyFont="1" applyFill="1" applyBorder="1" applyAlignment="1">
      <alignment horizontal="center" vertical="center"/>
    </xf>
    <xf numFmtId="171" fontId="24" fillId="4" borderId="7" xfId="0" applyNumberFormat="1" applyFont="1" applyFill="1" applyBorder="1" applyAlignment="1">
      <alignment horizontal="center" vertical="center"/>
    </xf>
    <xf numFmtId="2" fontId="24" fillId="4" borderId="7" xfId="0" applyNumberFormat="1" applyFont="1" applyFill="1" applyBorder="1" applyAlignment="1">
      <alignment horizontal="center" vertical="center"/>
    </xf>
    <xf numFmtId="9" fontId="0" fillId="0" borderId="0" xfId="0" applyNumberFormat="1"/>
    <xf numFmtId="0" fontId="26" fillId="4" borderId="7" xfId="0" applyFont="1" applyFill="1" applyBorder="1" applyAlignment="1">
      <alignment horizontal="center" vertical="center"/>
    </xf>
    <xf numFmtId="0" fontId="6" fillId="0" borderId="0" xfId="5" applyFont="1" applyAlignment="1">
      <alignment horizontal="center" vertical="center"/>
    </xf>
    <xf numFmtId="0" fontId="7" fillId="0" borderId="0" xfId="5" applyFill="1" applyAlignment="1">
      <alignment horizontal="left" vertical="center" wrapText="1"/>
    </xf>
    <xf numFmtId="170" fontId="9" fillId="3" borderId="0" xfId="0" applyNumberFormat="1" applyFont="1" applyFill="1" applyBorder="1" applyAlignment="1">
      <alignment vertical="center" wrapText="1"/>
    </xf>
    <xf numFmtId="170" fontId="9" fillId="3" borderId="0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1" fontId="9" fillId="3" borderId="0" xfId="0" applyNumberFormat="1" applyFont="1" applyFill="1" applyBorder="1" applyAlignment="1">
      <alignment horizontal="center" vertical="center" wrapText="1"/>
    </xf>
    <xf numFmtId="0" fontId="5" fillId="0" borderId="0" xfId="5" applyFont="1" applyAlignment="1">
      <alignment horizontal="center" vertical="center"/>
    </xf>
    <xf numFmtId="0" fontId="7" fillId="0" borderId="0" xfId="5" applyNumberFormat="1" applyAlignment="1">
      <alignment horizontal="center" vertical="center"/>
    </xf>
    <xf numFmtId="0" fontId="7" fillId="0" borderId="0" xfId="5" applyFill="1" applyAlignment="1">
      <alignment vertical="center"/>
    </xf>
    <xf numFmtId="0" fontId="4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/>
    </xf>
    <xf numFmtId="0" fontId="3" fillId="0" borderId="0" xfId="5" applyFont="1" applyAlignment="1">
      <alignment vertical="center"/>
    </xf>
    <xf numFmtId="0" fontId="0" fillId="5" borderId="17" xfId="0" applyFill="1" applyBorder="1"/>
    <xf numFmtId="0" fontId="0" fillId="5" borderId="0" xfId="0" applyFill="1" applyBorder="1"/>
    <xf numFmtId="0" fontId="0" fillId="5" borderId="18" xfId="0" applyFill="1" applyBorder="1"/>
    <xf numFmtId="0" fontId="17" fillId="5" borderId="0" xfId="0" applyFont="1" applyFill="1" applyBorder="1" applyAlignment="1">
      <alignment vertical="center"/>
    </xf>
    <xf numFmtId="0" fontId="0" fillId="5" borderId="19" xfId="0" applyFill="1" applyBorder="1"/>
    <xf numFmtId="0" fontId="0" fillId="5" borderId="20" xfId="0" applyFill="1" applyBorder="1"/>
    <xf numFmtId="0" fontId="0" fillId="5" borderId="21" xfId="0" applyFill="1" applyBorder="1"/>
    <xf numFmtId="0" fontId="0" fillId="2" borderId="22" xfId="0" applyFill="1" applyBorder="1"/>
    <xf numFmtId="0" fontId="0" fillId="2" borderId="24" xfId="0" applyFill="1" applyBorder="1"/>
    <xf numFmtId="0" fontId="27" fillId="2" borderId="23" xfId="0" applyFont="1" applyFill="1" applyBorder="1" applyAlignment="1">
      <alignment horizontal="center" vertical="center"/>
    </xf>
    <xf numFmtId="0" fontId="0" fillId="0" borderId="16" xfId="0" applyBorder="1" applyAlignment="1" applyProtection="1">
      <alignment horizontal="center" vertical="center"/>
      <protection locked="0"/>
    </xf>
    <xf numFmtId="172" fontId="0" fillId="0" borderId="16" xfId="0" applyNumberFormat="1" applyBorder="1" applyAlignment="1" applyProtection="1">
      <alignment horizontal="center" vertical="center"/>
      <protection locked="0"/>
    </xf>
    <xf numFmtId="172" fontId="0" fillId="0" borderId="0" xfId="0" applyNumberFormat="1" applyFont="1" applyAlignment="1">
      <alignment horizontal="left" vertical="top"/>
    </xf>
    <xf numFmtId="0" fontId="2" fillId="0" borderId="0" xfId="5" applyFont="1" applyAlignment="1">
      <alignment horizontal="center" vertical="center"/>
    </xf>
    <xf numFmtId="0" fontId="0" fillId="5" borderId="0" xfId="0" applyFill="1" applyBorder="1" applyAlignment="1"/>
    <xf numFmtId="0" fontId="17" fillId="5" borderId="0" xfId="0" applyFont="1" applyFill="1" applyBorder="1"/>
    <xf numFmtId="0" fontId="17" fillId="5" borderId="0" xfId="0" applyFont="1" applyFill="1" applyBorder="1" applyAlignment="1"/>
    <xf numFmtId="0" fontId="0" fillId="5" borderId="17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6" borderId="16" xfId="0" applyFill="1" applyBorder="1" applyAlignment="1" applyProtection="1">
      <alignment horizontal="center" vertical="center"/>
      <protection locked="0"/>
    </xf>
    <xf numFmtId="14" fontId="0" fillId="6" borderId="16" xfId="0" applyNumberFormat="1" applyFill="1" applyBorder="1" applyAlignment="1" applyProtection="1">
      <alignment horizontal="center" vertical="center"/>
      <protection locked="0"/>
    </xf>
    <xf numFmtId="173" fontId="0" fillId="6" borderId="16" xfId="0" applyNumberFormat="1" applyFill="1" applyBorder="1" applyAlignment="1" applyProtection="1">
      <alignment horizontal="center" vertical="center"/>
      <protection locked="0"/>
    </xf>
    <xf numFmtId="164" fontId="0" fillId="6" borderId="16" xfId="0" applyNumberFormat="1" applyFill="1" applyBorder="1" applyAlignment="1" applyProtection="1">
      <alignment horizontal="center" vertical="center"/>
      <protection locked="0"/>
    </xf>
    <xf numFmtId="172" fontId="0" fillId="0" borderId="0" xfId="0" applyNumberFormat="1" applyFill="1" applyBorder="1" applyAlignment="1">
      <alignment horizontal="left"/>
    </xf>
    <xf numFmtId="0" fontId="9" fillId="0" borderId="8" xfId="0" applyFont="1" applyBorder="1"/>
    <xf numFmtId="0" fontId="9" fillId="0" borderId="9" xfId="0" applyFont="1" applyBorder="1"/>
    <xf numFmtId="0" fontId="9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49" fontId="0" fillId="0" borderId="0" xfId="0" applyNumberFormat="1" applyBorder="1" applyAlignment="1">
      <alignment wrapText="1"/>
    </xf>
    <xf numFmtId="0" fontId="9" fillId="0" borderId="0" xfId="0" applyFont="1" applyBorder="1"/>
    <xf numFmtId="0" fontId="10" fillId="0" borderId="0" xfId="0" applyFont="1" applyBorder="1" applyAlignment="1">
      <alignment horizontal="left" vertical="top" wrapText="1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16" fillId="0" borderId="0" xfId="0" applyFont="1" applyBorder="1" applyAlignment="1">
      <alignment wrapText="1"/>
    </xf>
    <xf numFmtId="0" fontId="0" fillId="0" borderId="0" xfId="0" applyBorder="1" applyProtection="1">
      <protection locked="0"/>
    </xf>
    <xf numFmtId="0" fontId="9" fillId="0" borderId="0" xfId="0" applyFont="1" applyBorder="1" applyProtection="1">
      <protection locked="0"/>
    </xf>
    <xf numFmtId="0" fontId="9" fillId="0" borderId="13" xfId="0" applyFont="1" applyBorder="1" applyAlignment="1"/>
    <xf numFmtId="0" fontId="9" fillId="0" borderId="15" xfId="0" applyFont="1" applyBorder="1" applyAlignment="1"/>
    <xf numFmtId="0" fontId="9" fillId="0" borderId="11" xfId="0" applyFont="1" applyBorder="1" applyAlignment="1" applyProtection="1">
      <alignment vertical="center" wrapText="1"/>
      <protection locked="0"/>
    </xf>
    <xf numFmtId="0" fontId="0" fillId="3" borderId="0" xfId="0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horizontal="center" vertical="center" wrapText="1"/>
      <protection locked="0"/>
    </xf>
    <xf numFmtId="170" fontId="9" fillId="3" borderId="0" xfId="0" applyNumberFormat="1" applyFont="1" applyFill="1" applyBorder="1" applyAlignment="1" applyProtection="1">
      <alignment vertical="center" wrapText="1"/>
      <protection locked="0"/>
    </xf>
    <xf numFmtId="170" fontId="9" fillId="3" borderId="0" xfId="0" applyNumberFormat="1" applyFont="1" applyFill="1" applyBorder="1" applyAlignment="1" applyProtection="1">
      <alignment horizontal="right" vertical="center" wrapText="1"/>
      <protection locked="0"/>
    </xf>
    <xf numFmtId="0" fontId="9" fillId="0" borderId="12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0" fillId="3" borderId="0" xfId="0" applyFill="1" applyBorder="1" applyAlignment="1" applyProtection="1">
      <alignment horizontal="center" vertical="center" wrapText="1"/>
      <protection locked="0"/>
    </xf>
    <xf numFmtId="0" fontId="16" fillId="3" borderId="0" xfId="0" applyNumberFormat="1" applyFont="1" applyFill="1" applyBorder="1" applyAlignment="1" applyProtection="1">
      <alignment horizontal="left" vertical="center" wrapText="1"/>
      <protection locked="0"/>
    </xf>
    <xf numFmtId="0" fontId="16" fillId="3" borderId="0" xfId="0" applyNumberFormat="1" applyFont="1" applyFill="1" applyBorder="1" applyAlignment="1" applyProtection="1">
      <alignment horizontal="center" vertical="center" wrapText="1"/>
      <protection locked="0"/>
    </xf>
    <xf numFmtId="170" fontId="16" fillId="3" borderId="0" xfId="0" applyNumberFormat="1" applyFont="1" applyFill="1" applyBorder="1" applyAlignment="1" applyProtection="1">
      <alignment vertical="center" wrapText="1"/>
      <protection locked="0"/>
    </xf>
    <xf numFmtId="170" fontId="16" fillId="3" borderId="0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5" applyFont="1" applyFill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14" fontId="1" fillId="0" borderId="0" xfId="5" applyNumberFormat="1" applyFont="1" applyAlignment="1">
      <alignment vertical="center"/>
    </xf>
    <xf numFmtId="0" fontId="1" fillId="0" borderId="0" xfId="5" applyFont="1" applyAlignment="1">
      <alignment vertical="center" wrapText="1"/>
    </xf>
    <xf numFmtId="0" fontId="30" fillId="7" borderId="25" xfId="0" applyFont="1" applyFill="1" applyBorder="1" applyAlignment="1">
      <alignment vertical="center" wrapText="1"/>
    </xf>
    <xf numFmtId="2" fontId="26" fillId="4" borderId="7" xfId="0" applyNumberFormat="1" applyFont="1" applyFill="1" applyBorder="1" applyAlignment="1">
      <alignment horizontal="center" vertical="center"/>
    </xf>
    <xf numFmtId="0" fontId="13" fillId="0" borderId="0" xfId="4" applyFill="1"/>
    <xf numFmtId="0" fontId="8" fillId="0" borderId="6" xfId="1" applyBorder="1" applyAlignment="1" applyProtection="1">
      <alignment horizontal="left" vertical="center"/>
      <protection locked="0"/>
    </xf>
    <xf numFmtId="0" fontId="10" fillId="0" borderId="14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0" fillId="6" borderId="22" xfId="0" applyFill="1" applyBorder="1" applyAlignment="1" applyProtection="1">
      <alignment horizontal="left" vertical="center" wrapText="1"/>
      <protection locked="0"/>
    </xf>
    <xf numFmtId="0" fontId="0" fillId="6" borderId="23" xfId="0" applyFill="1" applyBorder="1" applyAlignment="1" applyProtection="1">
      <alignment horizontal="left" vertical="center" wrapText="1"/>
      <protection locked="0"/>
    </xf>
    <xf numFmtId="0" fontId="0" fillId="6" borderId="24" xfId="0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17" fillId="2" borderId="22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/>
    </xf>
    <xf numFmtId="0" fontId="8" fillId="0" borderId="0" xfId="5" applyFont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0" fillId="0" borderId="0" xfId="0" pivotButton="1"/>
    <xf numFmtId="14" fontId="0" fillId="0" borderId="0" xfId="0" applyNumberFormat="1"/>
  </cellXfs>
  <cellStyles count="6">
    <cellStyle name="Lien hypertexte" xfId="2" builtinId="8" hidden="1"/>
    <cellStyle name="Lien hypertexte" xfId="4" builtinId="8"/>
    <cellStyle name="Lien hypertexte visité" xfId="3" builtinId="9" hidden="1"/>
    <cellStyle name="Normal" xfId="0" builtinId="0" customBuiltin="1"/>
    <cellStyle name="Normal 2" xfId="5"/>
    <cellStyle name="Titre 1" xfId="1" builtinId="16" customBuiltin="1"/>
  </cellStyles>
  <dxfs count="1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FFE0CD"/>
      </font>
    </dxf>
    <dxf>
      <font>
        <color rgb="FFFFE0CD"/>
      </font>
    </dxf>
    <dxf>
      <font>
        <color rgb="FFFFE0CD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</dxf>
    <dxf>
      <font>
        <strike val="0"/>
        <outline val="0"/>
        <shadow val="0"/>
        <u val="none"/>
        <vertAlign val="baseline"/>
        <sz val="12"/>
        <color auto="1"/>
      </font>
      <numFmt numFmtId="30" formatCode="@"/>
    </dxf>
    <dxf>
      <font>
        <strike val="0"/>
        <outline val="0"/>
        <shadow val="0"/>
        <u val="none"/>
        <vertAlign val="baseline"/>
        <sz val="12"/>
        <color auto="1"/>
      </font>
      <numFmt numFmtId="172" formatCode="0#&quot; &quot;##&quot; &quot;##&quot; &quot;##&quot; &quot;##"/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</font>
      <numFmt numFmtId="30" formatCode="@"/>
    </dxf>
    <dxf>
      <font>
        <strike val="0"/>
        <outline val="0"/>
        <shadow val="0"/>
        <u val="none"/>
        <vertAlign val="baseline"/>
        <sz val="12"/>
        <color auto="1"/>
      </font>
      <numFmt numFmtId="30" formatCode="@"/>
    </dxf>
    <dxf>
      <font>
        <strike val="0"/>
        <outline val="0"/>
        <shadow val="0"/>
        <u val="none"/>
        <vertAlign val="baseline"/>
        <sz val="12"/>
        <color auto="1"/>
      </font>
    </dxf>
    <dxf>
      <font>
        <strike val="0"/>
        <outline val="0"/>
        <shadow val="0"/>
        <u val="none"/>
        <vertAlign val="baseline"/>
        <sz val="12"/>
        <color auto="1"/>
      </font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70" formatCode="#,##0\ &quot;€&quot;"/>
      <fill>
        <patternFill patternType="solid">
          <fgColor indexed="64"/>
          <bgColor theme="6" tint="0.79998168889431442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70" formatCode="#,##0\ &quot;€&quot;"/>
      <fill>
        <patternFill patternType="solid">
          <fgColor indexed="64"/>
          <bgColor theme="6" tint="0.79998168889431442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left" vertical="center" textRotation="0" wrapText="1" indent="0" justifyLastLine="0" shrinkToFit="0" readingOrder="0"/>
    </dxf>
    <dxf>
      <border outline="0">
        <bottom style="thick">
          <color theme="6"/>
        </bottom>
      </border>
    </dxf>
    <dxf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E0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542925</xdr:colOff>
          <xdr:row>3</xdr:row>
          <xdr:rowOff>9525</xdr:rowOff>
        </xdr:from>
        <xdr:to>
          <xdr:col>9</xdr:col>
          <xdr:colOff>923925</xdr:colOff>
          <xdr:row>3</xdr:row>
          <xdr:rowOff>390525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xmlns="" id="{00000000-0008-0000-01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entury Gothic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771525</xdr:colOff>
          <xdr:row>16</xdr:row>
          <xdr:rowOff>123825</xdr:rowOff>
        </xdr:from>
        <xdr:to>
          <xdr:col>2</xdr:col>
          <xdr:colOff>2295525</xdr:colOff>
          <xdr:row>18</xdr:row>
          <xdr:rowOff>104775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903.561535069442" createdVersion="5" refreshedVersion="5" minRefreshableVersion="3" recordCount="5">
  <cacheSource type="worksheet">
    <worksheetSource name="Tableau1"/>
  </cacheSource>
  <cacheFields count="22">
    <cacheField name="N° Facture" numFmtId="0">
      <sharedItems count="5">
        <s v="F0001"/>
        <s v="F0002"/>
        <s v="F0003"/>
        <s v="F0004"/>
        <s v="F0005"/>
      </sharedItems>
    </cacheField>
    <cacheField name="Client" numFmtId="0">
      <sharedItems count="4">
        <s v="Clinet Bidule"/>
        <s v="Huttopia Royat"/>
        <s v="Huttopia La plage Blanche "/>
        <s v="CEESO Paris"/>
      </sharedItems>
    </cacheField>
    <cacheField name="Date facture" numFmtId="14">
      <sharedItems containsSemiMixedTypes="0" containsNonDate="0" containsDate="1" containsString="0" minDate="2019-01-01T00:00:00" maxDate="2019-12-02T00:00:00" count="5">
        <d v="2019-01-01T00:00:00"/>
        <d v="2019-04-01T00:00:00"/>
        <d v="2019-07-01T00:00:00"/>
        <d v="2019-10-01T00:00:00"/>
        <d v="2019-12-01T00:00:00"/>
      </sharedItems>
    </cacheField>
    <cacheField name="TRAVAUX L1" numFmtId="0">
      <sharedItems/>
    </cacheField>
    <cacheField name="Nbr UNITE L1" numFmtId="0">
      <sharedItems containsSemiMixedTypes="0" containsString="0" containsNumber="1" containsInteger="1" minValue="2" maxValue="6"/>
    </cacheField>
    <cacheField name="P/U L1" numFmtId="0">
      <sharedItems containsSemiMixedTypes="0" containsString="0" containsNumber="1" containsInteger="1" minValue="50" maxValue="50"/>
    </cacheField>
    <cacheField name="TRAVAUX L2" numFmtId="0">
      <sharedItems containsBlank="1"/>
    </cacheField>
    <cacheField name="Nbr UNITE L2" numFmtId="0">
      <sharedItems containsString="0" containsBlank="1" containsNumber="1" containsInteger="1" minValue="1" maxValue="2"/>
    </cacheField>
    <cacheField name="P/U L2" numFmtId="0">
      <sharedItems containsString="0" containsBlank="1" containsNumber="1" containsInteger="1" minValue="50" maxValue="120"/>
    </cacheField>
    <cacheField name="TRAVAUX L3" numFmtId="0">
      <sharedItems containsBlank="1"/>
    </cacheField>
    <cacheField name="Nbr UNITE L3" numFmtId="0">
      <sharedItems containsString="0" containsBlank="1" containsNumber="1" containsInteger="1" minValue="1" maxValue="1"/>
    </cacheField>
    <cacheField name="P/U L3" numFmtId="0">
      <sharedItems containsString="0" containsBlank="1" containsNumber="1" containsInteger="1" minValue="75" maxValue="100"/>
    </cacheField>
    <cacheField name="TRAVAUX L4" numFmtId="0">
      <sharedItems containsNonDate="0" containsString="0" containsBlank="1"/>
    </cacheField>
    <cacheField name="Nbr UNITE L4" numFmtId="0">
      <sharedItems containsNonDate="0" containsString="0" containsBlank="1"/>
    </cacheField>
    <cacheField name="P/U L4" numFmtId="0">
      <sharedItems containsNonDate="0" containsString="0" containsBlank="1"/>
    </cacheField>
    <cacheField name="TOTAL" numFmtId="0">
      <sharedItems containsSemiMixedTypes="0" containsString="0" containsNumber="1" containsInteger="1" minValue="100" maxValue="425"/>
    </cacheField>
    <cacheField name="N°Devis" numFmtId="0">
      <sharedItems containsBlank="1"/>
    </cacheField>
    <cacheField name="Frais Avancés" numFmtId="0">
      <sharedItems containsSemiMixedTypes="0" containsString="0" containsNumber="1" containsInteger="1" minValue="0" maxValue="80"/>
    </cacheField>
    <cacheField name="Envoyé" numFmtId="14">
      <sharedItems containsSemiMixedTypes="0" containsNonDate="0" containsDate="1" containsString="0" minDate="2019-01-03T00:00:00" maxDate="2019-12-04T00:00:00"/>
    </cacheField>
    <cacheField name="Payée" numFmtId="0">
      <sharedItems/>
    </cacheField>
    <cacheField name="Trimestre et année" numFmtId="0">
      <sharedItems count="4">
        <s v="Q1-2019"/>
        <s v="Q2-2019"/>
        <s v="Q3-2019"/>
        <s v="Q4-2019"/>
      </sharedItems>
    </cacheField>
    <cacheField name="Remarqu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  <s v="Intevention d'intervention _x000a_Intevention d'intervention "/>
    <n v="2"/>
    <n v="50"/>
    <m/>
    <m/>
    <m/>
    <m/>
    <m/>
    <m/>
    <m/>
    <m/>
    <m/>
    <n v="100"/>
    <s v="D190403"/>
    <n v="0"/>
    <d v="2019-01-03T00:00:00"/>
    <s v="OUI"/>
    <x v="0"/>
    <m/>
  </r>
  <r>
    <x v="1"/>
    <x v="1"/>
    <x v="1"/>
    <s v="Intevention d'intervention _x000a_Intevention d'intervention "/>
    <n v="6"/>
    <n v="50"/>
    <s v="Intevention d'intervention _x000a_Intevention d'intervention "/>
    <n v="2"/>
    <n v="50"/>
    <s v="Frais de déplacement"/>
    <n v="1"/>
    <n v="75"/>
    <m/>
    <m/>
    <m/>
    <n v="425"/>
    <s v="D190403"/>
    <n v="65"/>
    <d v="2019-04-03T00:00:00"/>
    <s v="OUI"/>
    <x v="1"/>
    <m/>
  </r>
  <r>
    <x v="2"/>
    <x v="1"/>
    <x v="2"/>
    <s v="Intevention d'intervention _x000a_Intevention d'intervention "/>
    <n v="2"/>
    <n v="50"/>
    <s v=" - Changement ligne téléphone et fourniture matériel"/>
    <n v="1"/>
    <n v="50"/>
    <s v="Frais de déplacement"/>
    <n v="1"/>
    <n v="100"/>
    <m/>
    <m/>
    <m/>
    <n v="250"/>
    <s v="D190403"/>
    <n v="70"/>
    <d v="2019-07-03T00:00:00"/>
    <s v="NON"/>
    <x v="2"/>
    <m/>
  </r>
  <r>
    <x v="3"/>
    <x v="2"/>
    <x v="3"/>
    <s v="Intevention d'intervention _x000a_Intevention d'intervention "/>
    <n v="6"/>
    <n v="50"/>
    <s v="Frais de déplacement"/>
    <n v="1"/>
    <n v="120"/>
    <m/>
    <m/>
    <m/>
    <m/>
    <m/>
    <m/>
    <n v="420"/>
    <s v="D190401"/>
    <n v="80"/>
    <d v="2019-10-03T00:00:00"/>
    <s v="NON"/>
    <x v="3"/>
    <m/>
  </r>
  <r>
    <x v="4"/>
    <x v="3"/>
    <x v="4"/>
    <s v="Intevention d'intervention _x000a_Intevention d'intervention "/>
    <n v="2"/>
    <n v="50"/>
    <m/>
    <m/>
    <m/>
    <m/>
    <m/>
    <m/>
    <m/>
    <m/>
    <m/>
    <n v="100"/>
    <m/>
    <n v="0"/>
    <d v="2019-12-03T00:00:00"/>
    <s v="NON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28:E32" firstHeaderRow="1" firstDataRow="2" firstDataCol="3" rowPageCount="1" colPageCount="1"/>
  <pivotFields count="22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axis="axisRow" compact="0" outline="0" showAll="0" defaultSubtotal="0">
      <items count="4">
        <item x="3"/>
        <item x="0"/>
        <item x="2"/>
        <item x="1"/>
      </items>
    </pivotField>
    <pivotField axis="axisRow" compact="0" numFmtId="14" outline="0" showAll="0" defaultSubtotal="0">
      <items count="5">
        <item x="0"/>
        <item x="1"/>
        <item x="2"/>
        <item x="3"/>
        <item x="4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numFmtId="14" outline="0" showAll="0"/>
    <pivotField compact="0" outline="0" showAll="0"/>
    <pivotField axis="axisPage" compact="0" outline="0" showAll="0">
      <items count="5">
        <item x="0"/>
        <item x="1"/>
        <item x="2"/>
        <item x="3"/>
        <item t="default"/>
      </items>
    </pivotField>
    <pivotField compact="0" outline="0" showAll="0"/>
  </pivotFields>
  <rowFields count="3">
    <field x="2"/>
    <field x="1"/>
    <field x="0"/>
  </rowFields>
  <rowItems count="3">
    <i>
      <x v="3"/>
      <x v="2"/>
      <x v="3"/>
    </i>
    <i>
      <x v="4"/>
      <x/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0" item="3" hier="-1"/>
  </pageFields>
  <dataFields count="2">
    <dataField name="Somme de Frais Avancés" fld="17" baseField="0" baseItem="0"/>
    <dataField name="Somme de TOTAL" fld="1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5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20:E23" firstHeaderRow="1" firstDataRow="2" firstDataCol="3" rowPageCount="1" colPageCount="1"/>
  <pivotFields count="22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axis="axisRow" compact="0" outline="0" showAll="0" defaultSubtotal="0">
      <items count="4">
        <item x="3"/>
        <item x="0"/>
        <item x="2"/>
        <item x="1"/>
      </items>
    </pivotField>
    <pivotField axis="axisRow" compact="0" numFmtId="14" outline="0" showAll="0" defaultSubtotal="0">
      <items count="5">
        <item x="0"/>
        <item x="1"/>
        <item x="2"/>
        <item x="3"/>
        <item x="4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numFmtId="14" outline="0" showAll="0"/>
    <pivotField compact="0" outline="0" showAll="0"/>
    <pivotField axis="axisPage" compact="0" outline="0" showAll="0">
      <items count="5">
        <item x="0"/>
        <item x="1"/>
        <item x="2"/>
        <item x="3"/>
        <item t="default"/>
      </items>
    </pivotField>
    <pivotField compact="0" outline="0" showAll="0"/>
  </pivotFields>
  <rowFields count="3">
    <field x="2"/>
    <field x="1"/>
    <field x="0"/>
  </rowFields>
  <rowItems count="2">
    <i>
      <x v="2"/>
      <x v="3"/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20" item="2" hier="-1"/>
  </pageFields>
  <dataFields count="2">
    <dataField name="Somme de Frais Avancés" fld="17" baseField="0" baseItem="0"/>
    <dataField name="Somme de TOTAL" fld="1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11:E14" firstHeaderRow="1" firstDataRow="2" firstDataCol="3" rowPageCount="1" colPageCount="1"/>
  <pivotFields count="22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axis="axisRow" compact="0" outline="0" showAll="0" defaultSubtotal="0">
      <items count="4">
        <item x="3"/>
        <item x="0"/>
        <item x="2"/>
        <item x="1"/>
      </items>
    </pivotField>
    <pivotField axis="axisRow" compact="0" numFmtId="14" outline="0" showAll="0" defaultSubtotal="0">
      <items count="5">
        <item x="0"/>
        <item x="1"/>
        <item x="2"/>
        <item x="3"/>
        <item x="4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numFmtId="14" outline="0" showAll="0"/>
    <pivotField compact="0" outline="0" showAll="0"/>
    <pivotField axis="axisPage" compact="0" outline="0" showAll="0">
      <items count="5">
        <item x="0"/>
        <item x="1"/>
        <item x="2"/>
        <item x="3"/>
        <item t="default"/>
      </items>
    </pivotField>
    <pivotField compact="0" outline="0" showAll="0"/>
  </pivotFields>
  <rowFields count="3">
    <field x="2"/>
    <field x="1"/>
    <field x="0"/>
  </rowFields>
  <rowItems count="2">
    <i>
      <x v="1"/>
      <x v="3"/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20" item="1" hier="-1"/>
  </pageFields>
  <dataFields count="2">
    <dataField name="Somme de Frais Avancés" fld="17" baseField="0" baseItem="0"/>
    <dataField name="Somme de TOTAL" fld="1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E6" firstHeaderRow="1" firstDataRow="2" firstDataCol="3" rowPageCount="1" colPageCount="1"/>
  <pivotFields count="22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axis="axisRow" compact="0" outline="0" showAll="0" defaultSubtotal="0">
      <items count="4">
        <item x="3"/>
        <item x="0"/>
        <item x="2"/>
        <item x="1"/>
      </items>
    </pivotField>
    <pivotField axis="axisRow" compact="0" numFmtId="14" outline="0" showAll="0" defaultSubtotal="0">
      <items count="5">
        <item x="0"/>
        <item x="1"/>
        <item x="2"/>
        <item x="3"/>
        <item x="4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numFmtId="14" outline="0" showAll="0"/>
    <pivotField compact="0" outline="0" showAll="0"/>
    <pivotField axis="axisPage" compact="0" outline="0" showAll="0">
      <items count="5">
        <item x="0"/>
        <item x="1"/>
        <item x="2"/>
        <item x="3"/>
        <item t="default"/>
      </items>
    </pivotField>
    <pivotField compact="0" outline="0" showAll="0"/>
  </pivotFields>
  <rowFields count="3">
    <field x="2"/>
    <field x="1"/>
    <field x="0"/>
  </rowFields>
  <rowItems count="2">
    <i>
      <x/>
      <x v="1"/>
      <x/>
    </i>
    <i t="grand">
      <x/>
    </i>
  </rowItems>
  <colFields count="1">
    <field x="-2"/>
  </colFields>
  <colItems count="2">
    <i>
      <x/>
    </i>
    <i i="1">
      <x v="1"/>
    </i>
  </colItems>
  <pageFields count="1">
    <pageField fld="20" item="0" hier="-1"/>
  </pageFields>
  <dataFields count="2">
    <dataField name="Somme de Frais Avancés" fld="17" baseField="0" baseItem="0"/>
    <dataField name="Somme de TOTAL" fld="1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C16:F20" totalsRowShown="0" headerRowDxfId="114" dataDxfId="113" tableBorderDxfId="112">
  <autoFilter ref="C16:F20"/>
  <tableColumns count="4">
    <tableColumn id="1" name="Description" dataDxfId="111">
      <calculatedColumnFormula>VLOOKUP(rngInvoice,Tableau1[[N° Facture]:[N°Devis]],4,FALSE)</calculatedColumnFormula>
    </tableColumn>
    <tableColumn id="2" name="Unités" dataDxfId="110">
      <calculatedColumnFormula>VLOOKUP(rngInvoice,Tableau1[[N° Facture]:[N°Devis]],5,FALSE)</calculatedColumnFormula>
    </tableColumn>
    <tableColumn id="3" name="Coût unitaire" dataDxfId="109">
      <calculatedColumnFormula>VLOOKUP(rngInvoice,Tableau1[[N° Facture]:[N°Devis]],6,FALSE)</calculatedColumnFormula>
    </tableColumn>
    <tableColumn id="4" name="Montant HT" dataDxfId="108">
      <calculatedColumnFormula>E17*D17</calculatedColumnFormula>
    </tableColumn>
  </tableColumns>
  <tableStyleInfo name="TableStyleMedium4" showFirstColumn="0" showLastColumn="0" showRowStripes="0" showColumnStripes="0"/>
</table>
</file>

<file path=xl/tables/table2.xml><?xml version="1.0" encoding="utf-8"?>
<table xmlns="http://schemas.openxmlformats.org/spreadsheetml/2006/main" id="4" name="Tableau1" displayName="Tableau1" ref="A2:V8" totalsRowCount="1" headerRowDxfId="107">
  <autoFilter ref="A2:V7"/>
  <sortState ref="A3:V7">
    <sortCondition descending="1" ref="C2:C7"/>
  </sortState>
  <tableColumns count="22">
    <tableColumn id="16" name="N° Facture" dataDxfId="106" totalsRowDxfId="105" dataCellStyle="Normal 2"/>
    <tableColumn id="1" name="Client" totalsRowLabel="Total" dataDxfId="104" totalsRowDxfId="103"/>
    <tableColumn id="14" name="Date facture" dataDxfId="102" totalsRowDxfId="101"/>
    <tableColumn id="3" name="TRAVAUX L1" dataDxfId="100" totalsRowDxfId="99"/>
    <tableColumn id="4" name="Nbr UNITE L1" dataDxfId="98" totalsRowDxfId="97"/>
    <tableColumn id="5" name="P/U L1" dataDxfId="96" totalsRowDxfId="95"/>
    <tableColumn id="19" name="TRAVAUX L2" dataDxfId="94" totalsRowDxfId="93" dataCellStyle="Normal 2"/>
    <tableColumn id="20" name="Nbr UNITE L2" dataDxfId="92" totalsRowDxfId="91" dataCellStyle="Normal 2"/>
    <tableColumn id="6" name="P/U L2" dataDxfId="90" totalsRowDxfId="89"/>
    <tableColumn id="11" name="TRAVAUX L3" dataDxfId="88" totalsRowDxfId="87" dataCellStyle="Normal 2"/>
    <tableColumn id="2" name="Nbr UNITE L3" dataDxfId="86" totalsRowDxfId="85" dataCellStyle="Normal 2"/>
    <tableColumn id="7" name="P/U L3" dataDxfId="84" totalsRowDxfId="83"/>
    <tableColumn id="12" name="TRAVAUX L4" dataDxfId="82" totalsRowDxfId="81" dataCellStyle="Normal 2"/>
    <tableColumn id="17" name="Nbr UNITE L4" dataDxfId="80" totalsRowDxfId="79" dataCellStyle="Normal 2"/>
    <tableColumn id="18" name="P/U L4" dataDxfId="78" totalsRowDxfId="77" dataCellStyle="Normal 2"/>
    <tableColumn id="8" name="TOTAL" totalsRowFunction="sum" dataDxfId="76" totalsRowDxfId="75">
      <calculatedColumnFormula>(Tableau1[[#This Row],[Nbr UNITE L1]]*Tableau1[[#This Row],[P/U L1]])+Tableau1[[#This Row],[P/U L2]]+Tableau1[[#This Row],[P/U L3]]</calculatedColumnFormula>
    </tableColumn>
    <tableColumn id="13" name="N°Devis" dataDxfId="74" totalsRowDxfId="73"/>
    <tableColumn id="23" name="Frais Avancés" totalsRowFunction="sum" dataDxfId="72" totalsRowDxfId="71" dataCellStyle="Normal 2"/>
    <tableColumn id="9" name="Envoyé" dataDxfId="70" totalsRowDxfId="69" dataCellStyle="Normal 2"/>
    <tableColumn id="10" name="Payée" totalsRowFunction="custom" dataDxfId="68" totalsRowDxfId="67">
      <totalsRowFormula>SUMIFS(Tableau1[TOTAL], Tableau1[Payée],"OUI")</totalsRowFormula>
    </tableColumn>
    <tableColumn id="22" name="Trimestre et année" dataDxfId="66" totalsRowDxfId="65" dataCellStyle="Normal 2">
      <calculatedColumnFormula>"Q"&amp;TEXT(1+INT((MONTH(Tableau1[[#This Row],[Date facture]])-1)/3),"#")&amp;"-"&amp;TEXT(YEAR(Tableau1[[#This Row],[Date facture]]),"####")</calculatedColumnFormula>
    </tableColumn>
    <tableColumn id="15" name="Remarque" dataDxfId="64" totalsRowDxfId="63"/>
  </tableColumns>
  <tableStyleInfo name="TableStyleMedium25" showFirstColumn="0" showLastColumn="0" showRowStripes="1" showColumnStripes="0"/>
</table>
</file>

<file path=xl/tables/table3.xml><?xml version="1.0" encoding="utf-8"?>
<table xmlns="http://schemas.openxmlformats.org/spreadsheetml/2006/main" id="2" name="DB_CLIENT" displayName="DB_CLIENT" ref="A1:E4" totalsRowShown="0" headerRowDxfId="62" dataDxfId="61">
  <autoFilter ref="A1:E4"/>
  <sortState ref="A2:E4">
    <sortCondition ref="A1:A4"/>
  </sortState>
  <tableColumns count="5">
    <tableColumn id="1" name="nom client" dataDxfId="60"/>
    <tableColumn id="2" name="adresse client " dataDxfId="59"/>
    <tableColumn id="3" name="CP Ville client" dataDxfId="58"/>
    <tableColumn id="5" name="tel client " dataDxfId="57"/>
    <tableColumn id="6" name="mail client" dataDxfId="56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37" name="Tableau138" displayName="Tableau138" ref="A4:E10" totalsRowCount="1" headerRowDxfId="55" dataDxfId="54">
  <autoFilter ref="A4:E9"/>
  <tableColumns count="5">
    <tableColumn id="1" name="Date" totalsRowLabel="Total" dataDxfId="53" totalsRowDxfId="52"/>
    <tableColumn id="2" name="Entreprise" dataDxfId="51" totalsRowDxfId="50"/>
    <tableColumn id="3" name="N° Facture" dataDxfId="49" totalsRowDxfId="48"/>
    <tableColumn id="7" name="Frais avancés" totalsRowFunction="sum" dataDxfId="47" totalsRowDxfId="46"/>
    <tableColumn id="4" name="Montant" totalsRowFunction="sum" dataDxfId="45" totalsRowDxfId="44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6" name="Tableau1387" displayName="Tableau1387" ref="A14:E20" totalsRowCount="1" headerRowDxfId="43" dataDxfId="42">
  <autoFilter ref="A14:E19"/>
  <tableColumns count="5">
    <tableColumn id="1" name="Date" totalsRowLabel="Total" dataDxfId="41" totalsRowDxfId="40"/>
    <tableColumn id="2" name="Entreprise" dataDxfId="39" totalsRowDxfId="38"/>
    <tableColumn id="3" name="N° Facture" dataDxfId="37" totalsRowDxfId="36"/>
    <tableColumn id="7" name="Frais avancés" totalsRowFunction="sum" dataDxfId="35" totalsRowDxfId="34"/>
    <tableColumn id="4" name="Montant" totalsRowFunction="sum" dataDxfId="33" totalsRowDxfId="32"/>
  </tableColumns>
  <tableStyleInfo name="TableStyleMedium11" showFirstColumn="0" showLastColumn="0" showRowStripes="1" showColumnStripes="0"/>
</table>
</file>

<file path=xl/tables/table6.xml><?xml version="1.0" encoding="utf-8"?>
<table xmlns="http://schemas.openxmlformats.org/spreadsheetml/2006/main" id="7" name="Tableau1388" displayName="Tableau1388" ref="A24:E30" totalsRowCount="1" headerRowDxfId="31" dataDxfId="30">
  <autoFilter ref="A24:E29"/>
  <tableColumns count="5">
    <tableColumn id="1" name="Date" totalsRowLabel="Total" dataDxfId="29" totalsRowDxfId="28"/>
    <tableColumn id="2" name="Entreprise" dataDxfId="27" totalsRowDxfId="26"/>
    <tableColumn id="3" name="N° Facture" dataDxfId="25" totalsRowDxfId="24"/>
    <tableColumn id="7" name="Frais avancés" totalsRowFunction="sum" dataDxfId="23" totalsRowDxfId="22"/>
    <tableColumn id="4" name="Montant" totalsRowFunction="sum" dataDxfId="21" totalsRowDxfId="20"/>
  </tableColumns>
  <tableStyleInfo name="TableStyleMedium11" showFirstColumn="0" showLastColumn="0" showRowStripes="1" showColumnStripes="0"/>
</table>
</file>

<file path=xl/tables/table7.xml><?xml version="1.0" encoding="utf-8"?>
<table xmlns="http://schemas.openxmlformats.org/spreadsheetml/2006/main" id="8" name="Tableau13889" displayName="Tableau13889" ref="A34:E40" totalsRowCount="1" headerRowDxfId="19" dataDxfId="18">
  <autoFilter ref="A34:E39"/>
  <tableColumns count="5">
    <tableColumn id="1" name="Date" totalsRowLabel="Total" dataDxfId="17" totalsRowDxfId="16"/>
    <tableColumn id="2" name="Entreprise" dataDxfId="15" totalsRowDxfId="14"/>
    <tableColumn id="3" name="N° Facture" dataDxfId="13" totalsRowDxfId="12"/>
    <tableColumn id="7" name="Frais avancés" totalsRowFunction="sum" dataDxfId="11" totalsRowDxfId="10"/>
    <tableColumn id="4" name="Montant" totalsRowFunction="sum" dataDxfId="9" totalsRowDxfId="8"/>
  </tableColumns>
  <tableStyleInfo name="TableStyleMedium11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ustin">
  <a:themeElements>
    <a:clrScheme name="Austin">
      <a:dk1>
        <a:sysClr val="windowText" lastClr="000000"/>
      </a:dk1>
      <a:lt1>
        <a:sysClr val="window" lastClr="FFFFFF"/>
      </a:lt1>
      <a:dk2>
        <a:srgbClr val="3E3D2D"/>
      </a:dk2>
      <a:lt2>
        <a:srgbClr val="CAF278"/>
      </a:lt2>
      <a:accent1>
        <a:srgbClr val="94C600"/>
      </a:accent1>
      <a:accent2>
        <a:srgbClr val="71685A"/>
      </a:accent2>
      <a:accent3>
        <a:srgbClr val="FF6700"/>
      </a:accent3>
      <a:accent4>
        <a:srgbClr val="909465"/>
      </a:accent4>
      <a:accent5>
        <a:srgbClr val="956B43"/>
      </a:accent5>
      <a:accent6>
        <a:srgbClr val="FEA022"/>
      </a:accent6>
      <a:hlink>
        <a:srgbClr val="E68200"/>
      </a:hlink>
      <a:folHlink>
        <a:srgbClr val="FFA94A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微软雅黑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微软雅黑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usti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 prstMaterial="metal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94000"/>
                <a:satMod val="114000"/>
                <a:lumMod val="96000"/>
              </a:schemeClr>
            </a:gs>
            <a:gs pos="62000">
              <a:schemeClr val="phClr">
                <a:tint val="92000"/>
                <a:shade val="66000"/>
                <a:satMod val="110000"/>
                <a:lumMod val="80000"/>
              </a:schemeClr>
            </a:gs>
            <a:gs pos="100000">
              <a:schemeClr val="phClr">
                <a:tint val="89000"/>
                <a:shade val="62000"/>
                <a:satMod val="110000"/>
                <a:lumMod val="72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80000"/>
                <a:shade val="58000"/>
              </a:schemeClr>
              <a:schemeClr val="phClr">
                <a:tint val="73000"/>
                <a:shade val="68000"/>
                <a:satMod val="15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truc@gmail.com" TargetMode="External"/><Relationship Id="rId1" Type="http://schemas.openxmlformats.org/officeDocument/2006/relationships/hyperlink" Target="http://www.entreprise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249977111117893"/>
    <pageSetUpPr fitToPage="1"/>
  </sheetPr>
  <dimension ref="B2:G32"/>
  <sheetViews>
    <sheetView showGridLines="0" zoomScale="110" zoomScaleNormal="100" workbookViewId="0">
      <selection activeCell="F4" sqref="F4"/>
    </sheetView>
  </sheetViews>
  <sheetFormatPr baseColWidth="10" defaultColWidth="8.6640625" defaultRowHeight="17.25"/>
  <cols>
    <col min="1" max="1" width="3.33203125" style="2" customWidth="1"/>
    <col min="2" max="2" width="6.5546875" style="2" customWidth="1"/>
    <col min="3" max="3" width="45.44140625" style="2" customWidth="1"/>
    <col min="4" max="4" width="11.88671875" style="2" customWidth="1"/>
    <col min="5" max="5" width="20.6640625" style="2" customWidth="1"/>
    <col min="6" max="6" width="25.5546875" style="2" customWidth="1"/>
    <col min="7" max="16384" width="8.6640625" style="2"/>
  </cols>
  <sheetData>
    <row r="2" spans="2:7">
      <c r="B2" s="90"/>
      <c r="C2" s="91"/>
      <c r="D2" s="91"/>
      <c r="E2" s="91"/>
      <c r="F2" s="91"/>
      <c r="G2" s="92"/>
    </row>
    <row r="3" spans="2:7" ht="23.25" thickBot="1">
      <c r="B3" s="93"/>
      <c r="C3" s="127" t="s">
        <v>14</v>
      </c>
      <c r="D3" s="127"/>
      <c r="E3" s="127"/>
      <c r="F3" s="127"/>
      <c r="G3" s="94"/>
    </row>
    <row r="4" spans="2:7" ht="20.25" thickTop="1" thickBot="1">
      <c r="B4" s="93"/>
      <c r="C4" s="29" t="s">
        <v>109</v>
      </c>
      <c r="D4" s="1"/>
      <c r="E4" s="14" t="s">
        <v>3</v>
      </c>
      <c r="F4" s="25" t="s">
        <v>94</v>
      </c>
      <c r="G4" s="94"/>
    </row>
    <row r="5" spans="2:7" ht="19.5" thickTop="1">
      <c r="B5" s="93"/>
      <c r="C5" s="29" t="s">
        <v>110</v>
      </c>
      <c r="D5" s="3"/>
      <c r="E5" s="15" t="s">
        <v>4</v>
      </c>
      <c r="F5" s="26">
        <f>VLOOKUP(rngInvoice,Tableau1[[N° Facture]:[Date facture]],3,FALSE)</f>
        <v>43466</v>
      </c>
      <c r="G5" s="94"/>
    </row>
    <row r="6" spans="2:7" ht="18.75">
      <c r="B6" s="93"/>
      <c r="C6" s="30" t="s">
        <v>111</v>
      </c>
      <c r="D6" s="3"/>
      <c r="E6" s="15" t="s">
        <v>8</v>
      </c>
      <c r="F6" s="27" t="str">
        <f>VLOOKUP(rngInvoice,Tableau1[[N° Facture]:[Client]],2,FALSE)</f>
        <v>Clinet Bidule</v>
      </c>
      <c r="G6" s="94"/>
    </row>
    <row r="7" spans="2:7" ht="33" customHeight="1">
      <c r="B7" s="93"/>
      <c r="C7" s="30" t="s">
        <v>16</v>
      </c>
      <c r="D7" s="3"/>
      <c r="E7" s="15" t="s">
        <v>5</v>
      </c>
      <c r="F7" s="95" t="str">
        <f>VLOOKUP(F6,'DB CLIENT'!A:E,2,FALSE)</f>
        <v>123 rue bidule</v>
      </c>
      <c r="G7" s="94"/>
    </row>
    <row r="8" spans="2:7" ht="18.75">
      <c r="B8" s="93"/>
      <c r="C8" s="30" t="s">
        <v>112</v>
      </c>
      <c r="D8" s="3"/>
      <c r="E8" s="4"/>
      <c r="F8" s="37" t="str">
        <f>VLOOKUP(F6,'DB CLIENT'!A:E,3,FALSE)</f>
        <v>69001 bidulle</v>
      </c>
      <c r="G8" s="94"/>
    </row>
    <row r="9" spans="2:7">
      <c r="B9" s="93"/>
      <c r="C9" s="21" t="s">
        <v>113</v>
      </c>
      <c r="D9" s="3"/>
      <c r="E9" s="15" t="s">
        <v>7</v>
      </c>
      <c r="F9" s="89">
        <f>VLOOKUP(F6,'DB CLIENT'!A:E,4,FALSE)</f>
        <v>0</v>
      </c>
      <c r="G9" s="94"/>
    </row>
    <row r="10" spans="2:7">
      <c r="B10" s="93"/>
      <c r="C10" s="126" t="s">
        <v>114</v>
      </c>
      <c r="D10" s="3"/>
      <c r="E10" s="15" t="s">
        <v>6</v>
      </c>
      <c r="F10" s="17">
        <f>VLOOKUP(F6,'DB CLIENT'!A:E,5,FALSE)</f>
        <v>0</v>
      </c>
      <c r="G10" s="94"/>
    </row>
    <row r="11" spans="2:7">
      <c r="B11" s="93"/>
      <c r="C11" s="21"/>
      <c r="D11" s="3"/>
      <c r="E11" s="15"/>
      <c r="F11" s="17"/>
      <c r="G11" s="94"/>
    </row>
    <row r="12" spans="2:7" ht="18" thickBot="1">
      <c r="B12" s="93"/>
      <c r="C12" s="16" t="s">
        <v>115</v>
      </c>
      <c r="D12" s="5"/>
      <c r="E12" s="19"/>
      <c r="F12" s="18"/>
      <c r="G12" s="94"/>
    </row>
    <row r="13" spans="2:7" ht="18" thickTop="1">
      <c r="B13" s="93"/>
      <c r="C13" s="96"/>
      <c r="D13" s="96"/>
      <c r="E13" s="96"/>
      <c r="F13" s="96"/>
      <c r="G13" s="94"/>
    </row>
    <row r="14" spans="2:7">
      <c r="B14" s="93"/>
      <c r="C14" s="97" t="s">
        <v>2</v>
      </c>
      <c r="D14" s="96"/>
      <c r="E14" s="96"/>
      <c r="F14" s="96"/>
      <c r="G14" s="94"/>
    </row>
    <row r="15" spans="2:7">
      <c r="B15" s="93"/>
      <c r="C15" s="96"/>
      <c r="D15" s="96"/>
      <c r="E15" s="96"/>
      <c r="F15" s="96"/>
      <c r="G15" s="94"/>
    </row>
    <row r="16" spans="2:7" s="6" customFormat="1">
      <c r="B16" s="98"/>
      <c r="C16" s="12" t="s">
        <v>0</v>
      </c>
      <c r="D16" s="13" t="s">
        <v>9</v>
      </c>
      <c r="E16" s="13" t="s">
        <v>10</v>
      </c>
      <c r="F16" s="13" t="s">
        <v>71</v>
      </c>
      <c r="G16" s="99"/>
    </row>
    <row r="17" spans="2:7" s="114" customFormat="1" ht="125.1" customHeight="1">
      <c r="B17" s="108"/>
      <c r="C17" s="109" t="str">
        <f>VLOOKUP(rngInvoice,Tableau1[[N° Facture]:[N°Devis]],4,FALSE)</f>
        <v xml:space="preserve">Intevention d'intervention 
Intevention d'intervention </v>
      </c>
      <c r="D17" s="110">
        <f>VLOOKUP(rngInvoice,Tableau1[[N° Facture]:[N°Devis]],5,FALSE)</f>
        <v>2</v>
      </c>
      <c r="E17" s="111">
        <f>VLOOKUP(rngInvoice,Tableau1[[N° Facture]:[N°Devis]],6,FALSE)</f>
        <v>50</v>
      </c>
      <c r="F17" s="112">
        <f>E17*D17</f>
        <v>100</v>
      </c>
      <c r="G17" s="113"/>
    </row>
    <row r="18" spans="2:7" s="114" customFormat="1" ht="33.950000000000003" customHeight="1">
      <c r="B18" s="108"/>
      <c r="C18" s="109">
        <f>VLOOKUP(rngInvoice,Tableau1[[N° Facture]:[N°Devis]],7,FALSE)</f>
        <v>0</v>
      </c>
      <c r="D18" s="115">
        <f>VLOOKUP(rngInvoice,Tableau1[[N° Facture]:[N°Devis]],8,FALSE)</f>
        <v>0</v>
      </c>
      <c r="E18" s="111">
        <f>VLOOKUP(rngInvoice,Tableau1[[N° Facture]:[N°Devis]],9,FALSE)</f>
        <v>0</v>
      </c>
      <c r="F18" s="112">
        <f>E18*D18</f>
        <v>0</v>
      </c>
      <c r="G18" s="113"/>
    </row>
    <row r="19" spans="2:7" s="114" customFormat="1" ht="33.950000000000003" customHeight="1">
      <c r="B19" s="108"/>
      <c r="C19" s="116">
        <f>VLOOKUP(rngInvoice,Tableau1[[N° Facture]:[N°Devis]],10,FALSE)</f>
        <v>0</v>
      </c>
      <c r="D19" s="117">
        <f>VLOOKUP(rngInvoice,Tableau1[[N° Facture]:[N°Devis]],11,FALSE)</f>
        <v>0</v>
      </c>
      <c r="E19" s="118">
        <f>VLOOKUP(rngInvoice,Tableau1[[N° Facture]:[N°Devis]],12,FALSE)</f>
        <v>0</v>
      </c>
      <c r="F19" s="119">
        <f>E19*D19</f>
        <v>0</v>
      </c>
      <c r="G19" s="113"/>
    </row>
    <row r="20" spans="2:7" s="57" customFormat="1" ht="36" customHeight="1">
      <c r="B20" s="100"/>
      <c r="C20" s="28">
        <f>VLOOKUP(rngInvoice,Tableau1[[N° Facture]:[N°Devis]],13,FALSE)</f>
        <v>0</v>
      </c>
      <c r="D20" s="58">
        <f>VLOOKUP(rngInvoice,Tableau1[[N° Facture]:[N°Devis]],14,FALSE)</f>
        <v>0</v>
      </c>
      <c r="E20" s="55">
        <f>VLOOKUP(rngInvoice,Tableau1[[N° Facture]:[N°Devis]],15,FALSE)</f>
        <v>0</v>
      </c>
      <c r="F20" s="56">
        <f>E20*D20</f>
        <v>0</v>
      </c>
      <c r="G20" s="101"/>
    </row>
    <row r="21" spans="2:7" s="6" customFormat="1" ht="27.95" customHeight="1">
      <c r="B21" s="98"/>
      <c r="C21" s="7"/>
      <c r="D21" s="8"/>
      <c r="E21" s="20" t="s">
        <v>12</v>
      </c>
      <c r="F21" s="31">
        <f>SUM(F17:F20)</f>
        <v>100</v>
      </c>
      <c r="G21" s="99"/>
    </row>
    <row r="22" spans="2:7" s="6" customFormat="1">
      <c r="B22" s="98"/>
      <c r="C22" s="7"/>
      <c r="D22" s="8"/>
      <c r="E22" s="20"/>
      <c r="F22" s="31"/>
      <c r="G22" s="99"/>
    </row>
    <row r="23" spans="2:7" s="6" customFormat="1" ht="18" thickBot="1">
      <c r="B23" s="98"/>
      <c r="C23" s="7"/>
      <c r="D23" s="8"/>
      <c r="E23" s="20" t="s">
        <v>13</v>
      </c>
      <c r="F23" s="32"/>
      <c r="G23" s="99"/>
    </row>
    <row r="24" spans="2:7" s="6" customFormat="1" ht="27" customHeight="1" thickTop="1">
      <c r="B24" s="98"/>
      <c r="C24" s="9"/>
      <c r="D24" s="9"/>
      <c r="E24" s="10" t="s">
        <v>72</v>
      </c>
      <c r="F24" s="33">
        <f>F21-F23</f>
        <v>100</v>
      </c>
      <c r="G24" s="99"/>
    </row>
    <row r="25" spans="2:7" s="6" customFormat="1">
      <c r="B25" s="98"/>
      <c r="C25" s="22"/>
      <c r="D25" s="22"/>
      <c r="E25" s="23"/>
      <c r="F25" s="24"/>
      <c r="G25" s="99"/>
    </row>
    <row r="26" spans="2:7" s="6" customFormat="1">
      <c r="B26" s="98"/>
      <c r="C26" s="22"/>
      <c r="D26" s="22"/>
      <c r="E26" s="23"/>
      <c r="F26" s="24"/>
      <c r="G26" s="99"/>
    </row>
    <row r="27" spans="2:7" s="6" customFormat="1">
      <c r="B27" s="98"/>
      <c r="C27" s="102" t="s">
        <v>15</v>
      </c>
      <c r="D27" s="22"/>
      <c r="E27" s="23"/>
      <c r="F27" s="24"/>
      <c r="G27" s="99"/>
    </row>
    <row r="28" spans="2:7" ht="103.5">
      <c r="B28" s="93"/>
      <c r="C28" s="103" t="s">
        <v>116</v>
      </c>
      <c r="D28" s="96"/>
      <c r="E28" s="96"/>
      <c r="F28" s="96"/>
      <c r="G28" s="94"/>
    </row>
    <row r="29" spans="2:7" ht="45" customHeight="1">
      <c r="B29" s="93"/>
      <c r="C29" s="129" t="s">
        <v>70</v>
      </c>
      <c r="D29" s="129"/>
      <c r="E29" s="129"/>
      <c r="F29" s="129"/>
      <c r="G29" s="94"/>
    </row>
    <row r="30" spans="2:7">
      <c r="B30" s="93"/>
      <c r="C30" s="104"/>
      <c r="D30" s="105"/>
      <c r="E30" s="105"/>
      <c r="F30" s="105"/>
      <c r="G30" s="94"/>
    </row>
    <row r="31" spans="2:7">
      <c r="B31" s="93"/>
      <c r="C31" s="105"/>
      <c r="D31" s="105"/>
      <c r="E31" s="105"/>
      <c r="F31" s="105"/>
      <c r="G31" s="94"/>
    </row>
    <row r="32" spans="2:7" s="11" customFormat="1">
      <c r="B32" s="106"/>
      <c r="C32" s="128"/>
      <c r="D32" s="128"/>
      <c r="E32" s="128"/>
      <c r="F32" s="128"/>
      <c r="G32" s="107"/>
    </row>
  </sheetData>
  <sheetProtection sheet="1" formatCells="0" formatColumns="0" formatRows="0" insertHyperlinks="0" selectLockedCells="1" sort="0" autoFilter="0"/>
  <mergeCells count="3">
    <mergeCell ref="C3:F3"/>
    <mergeCell ref="C32:F32"/>
    <mergeCell ref="C29:F29"/>
  </mergeCells>
  <phoneticPr fontId="11" type="noConversion"/>
  <conditionalFormatting sqref="F18:F20">
    <cfRule type="cellIs" dxfId="7" priority="4" operator="equal">
      <formula>0</formula>
    </cfRule>
  </conditionalFormatting>
  <conditionalFormatting sqref="D18:E20">
    <cfRule type="expression" dxfId="6" priority="3">
      <formula>AND($C18="Frais de déplacement")</formula>
    </cfRule>
  </conditionalFormatting>
  <conditionalFormatting sqref="C18:E20">
    <cfRule type="cellIs" dxfId="5" priority="2" operator="equal">
      <formula>0</formula>
    </cfRule>
  </conditionalFormatting>
  <conditionalFormatting sqref="F9">
    <cfRule type="cellIs" dxfId="4" priority="1" operator="equal">
      <formula>0</formula>
    </cfRule>
  </conditionalFormatting>
  <hyperlinks>
    <hyperlink ref="C9" r:id="rId1"/>
    <hyperlink ref="C10" r:id="rId2"/>
  </hyperlinks>
  <printOptions horizontalCentered="1"/>
  <pageMargins left="0.5" right="0.5" top="0.5" bottom="0.5" header="0.5" footer="0.5"/>
  <pageSetup paperSize="9" scale="71" orientation="portrait" horizontalDpi="4294967292" verticalDpi="4294967292"/>
  <headerFooter alignWithMargins="0"/>
  <ignoredErrors>
    <ignoredError sqref="F21" emptyCellReference="1"/>
    <ignoredError sqref="D18:E18 D19:E20 C18:C20" calculatedColumn="1"/>
  </ignoredErrors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'DB FACTURE'!$A$2:$A$8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C000"/>
  </sheetPr>
  <dimension ref="B3:J30"/>
  <sheetViews>
    <sheetView showGridLines="0" showRowColHeaders="0" workbookViewId="0">
      <selection activeCell="D8" sqref="D8"/>
    </sheetView>
  </sheetViews>
  <sheetFormatPr baseColWidth="10" defaultRowHeight="17.25"/>
  <cols>
    <col min="3" max="3" width="21.6640625" customWidth="1"/>
    <col min="4" max="4" width="25.6640625" customWidth="1"/>
    <col min="5" max="5" width="15.6640625" customWidth="1"/>
    <col min="7" max="7" width="21.33203125" customWidth="1"/>
    <col min="8" max="8" width="25.6640625" customWidth="1"/>
    <col min="9" max="9" width="15.6640625" customWidth="1"/>
  </cols>
  <sheetData>
    <row r="3" spans="2:10" ht="18" thickBot="1"/>
    <row r="4" spans="2:10" ht="32.1" customHeight="1" thickBot="1">
      <c r="B4" s="134" t="s">
        <v>79</v>
      </c>
      <c r="C4" s="135"/>
      <c r="D4" s="135"/>
      <c r="E4" s="135"/>
      <c r="F4" s="135"/>
      <c r="G4" s="135"/>
      <c r="H4" s="135"/>
      <c r="I4" s="135"/>
      <c r="J4" s="136"/>
    </row>
    <row r="5" spans="2:10" ht="18" thickBot="1">
      <c r="B5" s="65"/>
      <c r="C5" s="66"/>
      <c r="D5" s="66"/>
      <c r="E5" s="66"/>
      <c r="F5" s="66"/>
      <c r="G5" s="66"/>
      <c r="H5" s="66"/>
      <c r="I5" s="66"/>
      <c r="J5" s="67"/>
    </row>
    <row r="6" spans="2:10" ht="18" thickBot="1">
      <c r="B6" s="65"/>
      <c r="C6" s="80" t="s">
        <v>80</v>
      </c>
      <c r="D6" s="66" t="str">
        <f ca="1">INDIRECT("'DB FACTURE'!A3")</f>
        <v>F0001</v>
      </c>
      <c r="E6" s="66"/>
      <c r="F6" s="66"/>
      <c r="G6" s="80" t="s">
        <v>92</v>
      </c>
      <c r="H6" s="85"/>
      <c r="I6" s="66"/>
      <c r="J6" s="67"/>
    </row>
    <row r="7" spans="2:10" ht="18" thickBot="1">
      <c r="B7" s="65"/>
      <c r="C7" s="66"/>
      <c r="D7" s="66"/>
      <c r="E7" s="66"/>
      <c r="F7" s="66"/>
      <c r="G7" s="66"/>
      <c r="H7" s="66"/>
      <c r="I7" s="66"/>
      <c r="J7" s="67"/>
    </row>
    <row r="8" spans="2:10" ht="18" thickBot="1">
      <c r="B8" s="65"/>
      <c r="C8" s="80" t="s">
        <v>81</v>
      </c>
      <c r="D8" s="85"/>
      <c r="E8" s="66"/>
      <c r="F8" s="66"/>
      <c r="G8" s="81" t="s">
        <v>83</v>
      </c>
      <c r="H8" s="85"/>
      <c r="I8" s="79"/>
      <c r="J8" s="67"/>
    </row>
    <row r="9" spans="2:10" ht="18" thickBot="1">
      <c r="B9" s="65"/>
      <c r="C9" s="66"/>
      <c r="D9" s="66"/>
      <c r="E9" s="66"/>
      <c r="F9" s="66"/>
      <c r="G9" s="66"/>
      <c r="H9" s="66"/>
      <c r="I9" s="66"/>
      <c r="J9" s="67"/>
    </row>
    <row r="10" spans="2:10" ht="18" thickBot="1">
      <c r="B10" s="65"/>
      <c r="C10" s="80" t="s">
        <v>82</v>
      </c>
      <c r="D10" s="86"/>
      <c r="E10" s="66"/>
      <c r="F10" s="66"/>
      <c r="G10" s="80" t="s">
        <v>90</v>
      </c>
      <c r="H10" s="86"/>
      <c r="I10" s="66"/>
      <c r="J10" s="67"/>
    </row>
    <row r="11" spans="2:10" ht="18" thickBot="1">
      <c r="B11" s="65"/>
      <c r="C11" s="66"/>
      <c r="D11" s="66"/>
      <c r="E11" s="66"/>
      <c r="F11" s="66"/>
      <c r="G11" s="66"/>
      <c r="H11" s="66"/>
      <c r="I11" s="66"/>
      <c r="J11" s="67"/>
    </row>
    <row r="12" spans="2:10" ht="18" thickBot="1">
      <c r="B12" s="65"/>
      <c r="C12" s="81" t="s">
        <v>41</v>
      </c>
      <c r="D12" s="88"/>
      <c r="E12" s="66"/>
      <c r="F12" s="66"/>
      <c r="G12" s="80" t="s">
        <v>91</v>
      </c>
      <c r="H12" s="85"/>
      <c r="I12" s="66"/>
      <c r="J12" s="67"/>
    </row>
    <row r="13" spans="2:10">
      <c r="B13" s="65"/>
      <c r="C13" s="66"/>
      <c r="D13" s="66"/>
      <c r="E13" s="66"/>
      <c r="F13" s="66"/>
      <c r="G13" s="66"/>
      <c r="H13" s="66"/>
      <c r="I13" s="66"/>
      <c r="J13" s="67"/>
    </row>
    <row r="14" spans="2:10">
      <c r="B14" s="65"/>
      <c r="C14" s="66"/>
      <c r="D14" s="66"/>
      <c r="E14" s="66"/>
      <c r="F14" s="66"/>
      <c r="G14" s="66"/>
      <c r="H14" s="66"/>
      <c r="I14" s="66"/>
      <c r="J14" s="67"/>
    </row>
    <row r="15" spans="2:10">
      <c r="B15" s="65"/>
      <c r="C15" s="137" t="s">
        <v>84</v>
      </c>
      <c r="D15" s="137"/>
      <c r="E15" s="137"/>
      <c r="F15" s="66"/>
      <c r="G15" s="137" t="s">
        <v>86</v>
      </c>
      <c r="H15" s="137"/>
      <c r="I15" s="137"/>
      <c r="J15" s="67"/>
    </row>
    <row r="16" spans="2:10" ht="18" thickBot="1">
      <c r="B16" s="65"/>
      <c r="C16" s="66"/>
      <c r="D16" s="66"/>
      <c r="E16" s="66"/>
      <c r="F16" s="66"/>
      <c r="G16" s="66"/>
      <c r="H16" s="66"/>
      <c r="I16" s="66"/>
      <c r="J16" s="67"/>
    </row>
    <row r="17" spans="2:10" ht="80.099999999999994" customHeight="1" thickBot="1">
      <c r="B17" s="65"/>
      <c r="C17" s="130"/>
      <c r="D17" s="131"/>
      <c r="E17" s="132"/>
      <c r="F17" s="66"/>
      <c r="G17" s="130"/>
      <c r="H17" s="131"/>
      <c r="I17" s="132"/>
      <c r="J17" s="67"/>
    </row>
    <row r="18" spans="2:10" s="34" customFormat="1" ht="24" customHeight="1" thickBot="1">
      <c r="B18" s="82"/>
      <c r="C18" s="83" t="s">
        <v>88</v>
      </c>
      <c r="D18" s="83"/>
      <c r="E18" s="83" t="s">
        <v>85</v>
      </c>
      <c r="F18" s="83"/>
      <c r="G18" s="83" t="s">
        <v>88</v>
      </c>
      <c r="H18" s="83"/>
      <c r="I18" s="83" t="s">
        <v>85</v>
      </c>
      <c r="J18" s="84"/>
    </row>
    <row r="19" spans="2:10" ht="18" thickBot="1">
      <c r="B19" s="65"/>
      <c r="C19" s="85"/>
      <c r="D19" s="66"/>
      <c r="E19" s="87"/>
      <c r="F19" s="66"/>
      <c r="G19" s="85"/>
      <c r="H19" s="66"/>
      <c r="I19" s="87"/>
      <c r="J19" s="67"/>
    </row>
    <row r="20" spans="2:10">
      <c r="B20" s="65"/>
      <c r="C20" s="66"/>
      <c r="D20" s="66"/>
      <c r="E20" s="66"/>
      <c r="F20" s="66"/>
      <c r="G20" s="66"/>
      <c r="H20" s="66"/>
      <c r="I20" s="66"/>
      <c r="J20" s="67"/>
    </row>
    <row r="21" spans="2:10">
      <c r="B21" s="65"/>
      <c r="C21" s="137" t="s">
        <v>87</v>
      </c>
      <c r="D21" s="137"/>
      <c r="E21" s="137"/>
      <c r="F21" s="66"/>
      <c r="G21" s="137" t="s">
        <v>89</v>
      </c>
      <c r="H21" s="137"/>
      <c r="I21" s="137"/>
      <c r="J21" s="67"/>
    </row>
    <row r="22" spans="2:10" ht="18" thickBot="1">
      <c r="B22" s="65"/>
      <c r="C22" s="66"/>
      <c r="D22" s="66"/>
      <c r="E22" s="66"/>
      <c r="F22" s="66"/>
      <c r="G22" s="66"/>
      <c r="H22" s="66"/>
      <c r="I22" s="66"/>
      <c r="J22" s="67"/>
    </row>
    <row r="23" spans="2:10" ht="80.099999999999994" customHeight="1" thickBot="1">
      <c r="B23" s="65"/>
      <c r="C23" s="130"/>
      <c r="D23" s="131"/>
      <c r="E23" s="132"/>
      <c r="F23" s="66"/>
      <c r="G23" s="130"/>
      <c r="H23" s="131"/>
      <c r="I23" s="132"/>
      <c r="J23" s="67"/>
    </row>
    <row r="24" spans="2:10">
      <c r="B24" s="65"/>
      <c r="C24" s="66"/>
      <c r="D24" s="66"/>
      <c r="E24" s="66"/>
      <c r="F24" s="66"/>
      <c r="G24" s="66"/>
      <c r="H24" s="66"/>
      <c r="I24" s="66"/>
      <c r="J24" s="67"/>
    </row>
    <row r="25" spans="2:10" s="34" customFormat="1" ht="18" thickBot="1">
      <c r="B25" s="82"/>
      <c r="C25" s="83" t="s">
        <v>88</v>
      </c>
      <c r="D25" s="83"/>
      <c r="E25" s="83" t="s">
        <v>85</v>
      </c>
      <c r="F25" s="83"/>
      <c r="G25" s="83" t="s">
        <v>88</v>
      </c>
      <c r="H25" s="83"/>
      <c r="I25" s="83" t="s">
        <v>85</v>
      </c>
      <c r="J25" s="84"/>
    </row>
    <row r="26" spans="2:10" ht="18" thickBot="1">
      <c r="B26" s="65"/>
      <c r="C26" s="85"/>
      <c r="D26" s="66"/>
      <c r="E26" s="87"/>
      <c r="F26" s="66"/>
      <c r="G26" s="85"/>
      <c r="H26" s="66"/>
      <c r="I26" s="87"/>
      <c r="J26" s="67"/>
    </row>
    <row r="27" spans="2:10">
      <c r="B27" s="65"/>
      <c r="C27" s="66"/>
      <c r="D27" s="66"/>
      <c r="E27" s="66"/>
      <c r="F27" s="66"/>
      <c r="G27" s="66"/>
      <c r="H27" s="66"/>
      <c r="I27" s="66"/>
      <c r="J27" s="67"/>
    </row>
    <row r="28" spans="2:10" ht="18" thickBot="1">
      <c r="B28" s="69"/>
      <c r="C28" s="70"/>
      <c r="D28" s="70"/>
      <c r="E28" s="70"/>
      <c r="F28" s="70"/>
      <c r="G28" s="70"/>
      <c r="H28" s="70"/>
      <c r="I28" s="70"/>
      <c r="J28" s="71"/>
    </row>
    <row r="30" spans="2:10">
      <c r="C30" s="133"/>
      <c r="D30" s="133"/>
      <c r="E30" s="133"/>
      <c r="G30" s="133"/>
      <c r="H30" s="133"/>
      <c r="I30" s="133"/>
    </row>
  </sheetData>
  <sheetProtection sheet="1" selectLockedCells="1"/>
  <mergeCells count="11">
    <mergeCell ref="B4:J4"/>
    <mergeCell ref="C15:E15"/>
    <mergeCell ref="C21:E21"/>
    <mergeCell ref="G15:I15"/>
    <mergeCell ref="G21:I21"/>
    <mergeCell ref="C17:E17"/>
    <mergeCell ref="C23:E23"/>
    <mergeCell ref="C30:E30"/>
    <mergeCell ref="G17:I17"/>
    <mergeCell ref="G23:I23"/>
    <mergeCell ref="G30:I30"/>
  </mergeCells>
  <dataValidations count="1">
    <dataValidation type="list" allowBlank="1" showInputMessage="1" showErrorMessage="1" sqref="H12">
      <formula1>"OUI,NON"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5" r:id="rId3" name="Button 7">
              <controlPr defaultSize="0" print="0" autoFill="0" autoPict="0" macro="[0]!nouvellefacture">
                <anchor moveWithCells="1" sizeWithCells="1">
                  <from>
                    <xdr:col>8</xdr:col>
                    <xdr:colOff>542925</xdr:colOff>
                    <xdr:row>3</xdr:row>
                    <xdr:rowOff>9525</xdr:rowOff>
                  </from>
                  <to>
                    <xdr:col>9</xdr:col>
                    <xdr:colOff>923925</xdr:colOff>
                    <xdr:row>3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'DB CLIENT'!$A$1:$A$4</xm:f>
          </x14:formula1>
          <xm:sqref>H8</xm:sqref>
        </x14:dataValidation>
        <x14:dataValidation type="list" allowBlank="1" showInputMessage="1" showErrorMessage="1">
          <x14:formula1>
            <xm:f>'DB CLIENT'!$A$4:A5</xm:f>
          </x14:formula1>
          <xm:sqref>D13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C000"/>
  </sheetPr>
  <dimension ref="B2:D22"/>
  <sheetViews>
    <sheetView showGridLines="0" showRowColHeaders="0" workbookViewId="0">
      <selection activeCell="C7" sqref="C7"/>
    </sheetView>
  </sheetViews>
  <sheetFormatPr baseColWidth="10" defaultRowHeight="17.25"/>
  <cols>
    <col min="3" max="3" width="35.109375" customWidth="1"/>
  </cols>
  <sheetData>
    <row r="2" spans="2:4" ht="18" thickBot="1"/>
    <row r="3" spans="2:4" ht="35.1" customHeight="1" thickBot="1">
      <c r="B3" s="72"/>
      <c r="C3" s="74" t="s">
        <v>73</v>
      </c>
      <c r="D3" s="73"/>
    </row>
    <row r="4" spans="2:4">
      <c r="B4" s="65"/>
      <c r="C4" s="66"/>
      <c r="D4" s="67"/>
    </row>
    <row r="5" spans="2:4">
      <c r="B5" s="65"/>
      <c r="C5" s="66"/>
      <c r="D5" s="67"/>
    </row>
    <row r="6" spans="2:4" ht="35.1" customHeight="1" thickBot="1">
      <c r="B6" s="65"/>
      <c r="C6" s="68" t="s">
        <v>74</v>
      </c>
      <c r="D6" s="67"/>
    </row>
    <row r="7" spans="2:4" ht="35.1" customHeight="1" thickBot="1">
      <c r="B7" s="65"/>
      <c r="C7" s="75"/>
      <c r="D7" s="67"/>
    </row>
    <row r="8" spans="2:4" ht="35.1" customHeight="1" thickBot="1">
      <c r="B8" s="65"/>
      <c r="C8" s="68" t="s">
        <v>75</v>
      </c>
      <c r="D8" s="67"/>
    </row>
    <row r="9" spans="2:4" ht="35.1" customHeight="1" thickBot="1">
      <c r="B9" s="65"/>
      <c r="C9" s="75"/>
      <c r="D9" s="67"/>
    </row>
    <row r="10" spans="2:4" ht="35.1" customHeight="1" thickBot="1">
      <c r="B10" s="65"/>
      <c r="C10" s="68" t="s">
        <v>76</v>
      </c>
      <c r="D10" s="67"/>
    </row>
    <row r="11" spans="2:4" ht="35.1" customHeight="1" thickBot="1">
      <c r="B11" s="65"/>
      <c r="C11" s="75"/>
      <c r="D11" s="67"/>
    </row>
    <row r="12" spans="2:4" ht="35.1" customHeight="1" thickBot="1">
      <c r="B12" s="65"/>
      <c r="C12" s="68" t="s">
        <v>77</v>
      </c>
      <c r="D12" s="67"/>
    </row>
    <row r="13" spans="2:4" ht="35.1" customHeight="1" thickBot="1">
      <c r="B13" s="65"/>
      <c r="C13" s="76"/>
      <c r="D13" s="67"/>
    </row>
    <row r="14" spans="2:4" ht="35.1" customHeight="1" thickBot="1">
      <c r="B14" s="65"/>
      <c r="C14" s="68" t="s">
        <v>78</v>
      </c>
      <c r="D14" s="67"/>
    </row>
    <row r="15" spans="2:4" ht="35.1" customHeight="1" thickBot="1">
      <c r="B15" s="65"/>
      <c r="C15" s="75"/>
      <c r="D15" s="67"/>
    </row>
    <row r="16" spans="2:4">
      <c r="B16" s="65"/>
      <c r="C16" s="66"/>
      <c r="D16" s="67"/>
    </row>
    <row r="17" spans="2:4">
      <c r="B17" s="65"/>
      <c r="C17" s="66"/>
      <c r="D17" s="67"/>
    </row>
    <row r="18" spans="2:4">
      <c r="B18" s="65"/>
      <c r="C18" s="66"/>
      <c r="D18" s="67"/>
    </row>
    <row r="19" spans="2:4">
      <c r="B19" s="65"/>
      <c r="C19" s="66"/>
      <c r="D19" s="67"/>
    </row>
    <row r="20" spans="2:4">
      <c r="B20" s="65"/>
      <c r="C20" s="66"/>
      <c r="D20" s="67"/>
    </row>
    <row r="21" spans="2:4">
      <c r="B21" s="65"/>
      <c r="C21" s="66"/>
      <c r="D21" s="67"/>
    </row>
    <row r="22" spans="2:4" ht="18" thickBot="1">
      <c r="B22" s="69"/>
      <c r="C22" s="70"/>
      <c r="D22" s="71"/>
    </row>
  </sheetData>
  <sheetProtection sheet="1"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nouveauclient">
                <anchor moveWithCells="1" sizeWithCells="1">
                  <from>
                    <xdr:col>2</xdr:col>
                    <xdr:colOff>771525</xdr:colOff>
                    <xdr:row>16</xdr:row>
                    <xdr:rowOff>123825</xdr:rowOff>
                  </from>
                  <to>
                    <xdr:col>2</xdr:col>
                    <xdr:colOff>2295525</xdr:colOff>
                    <xdr:row>18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D9" sqref="D9"/>
    </sheetView>
  </sheetViews>
  <sheetFormatPr baseColWidth="10" defaultRowHeight="17.25"/>
  <cols>
    <col min="1" max="1" width="18.21875" customWidth="1"/>
    <col min="2" max="2" width="20.5546875" customWidth="1"/>
    <col min="3" max="3" width="11.6640625" bestFit="1" customWidth="1"/>
    <col min="4" max="4" width="22.88671875" customWidth="1"/>
    <col min="5" max="5" width="16.109375" bestFit="1" customWidth="1"/>
  </cols>
  <sheetData>
    <row r="1" spans="1:5">
      <c r="A1" s="151" t="s">
        <v>63</v>
      </c>
      <c r="B1" t="s">
        <v>122</v>
      </c>
    </row>
    <row r="3" spans="1:5">
      <c r="D3" s="151" t="s">
        <v>120</v>
      </c>
    </row>
    <row r="4" spans="1:5">
      <c r="A4" s="151" t="s">
        <v>35</v>
      </c>
      <c r="B4" s="151" t="s">
        <v>69</v>
      </c>
      <c r="C4" s="151" t="s">
        <v>33</v>
      </c>
      <c r="D4" t="s">
        <v>119</v>
      </c>
      <c r="E4" t="s">
        <v>121</v>
      </c>
    </row>
    <row r="5" spans="1:5">
      <c r="A5" s="152">
        <v>43466</v>
      </c>
      <c r="B5" t="s">
        <v>102</v>
      </c>
      <c r="C5" t="s">
        <v>94</v>
      </c>
      <c r="D5" s="36">
        <v>0</v>
      </c>
      <c r="E5" s="36">
        <v>100</v>
      </c>
    </row>
    <row r="6" spans="1:5">
      <c r="A6" s="152" t="s">
        <v>118</v>
      </c>
      <c r="D6" s="36">
        <v>0</v>
      </c>
      <c r="E6" s="36">
        <v>100</v>
      </c>
    </row>
    <row r="9" spans="1:5">
      <c r="A9" s="151" t="s">
        <v>63</v>
      </c>
      <c r="B9" t="s">
        <v>123</v>
      </c>
    </row>
    <row r="11" spans="1:5">
      <c r="D11" s="151" t="s">
        <v>120</v>
      </c>
    </row>
    <row r="12" spans="1:5">
      <c r="A12" s="151" t="s">
        <v>35</v>
      </c>
      <c r="B12" s="151" t="s">
        <v>69</v>
      </c>
      <c r="C12" s="151" t="s">
        <v>33</v>
      </c>
      <c r="D12" t="s">
        <v>119</v>
      </c>
      <c r="E12" t="s">
        <v>121</v>
      </c>
    </row>
    <row r="13" spans="1:5">
      <c r="A13" s="152">
        <v>43556</v>
      </c>
      <c r="B13" t="s">
        <v>23</v>
      </c>
      <c r="C13" t="s">
        <v>95</v>
      </c>
      <c r="D13" s="36">
        <v>65</v>
      </c>
      <c r="E13" s="36">
        <v>425</v>
      </c>
    </row>
    <row r="14" spans="1:5">
      <c r="A14" s="152" t="s">
        <v>118</v>
      </c>
      <c r="D14" s="36">
        <v>65</v>
      </c>
      <c r="E14" s="36">
        <v>425</v>
      </c>
    </row>
    <row r="18" spans="1:5">
      <c r="A18" s="151" t="s">
        <v>63</v>
      </c>
      <c r="B18" t="s">
        <v>124</v>
      </c>
    </row>
    <row r="20" spans="1:5">
      <c r="D20" s="151" t="s">
        <v>120</v>
      </c>
    </row>
    <row r="21" spans="1:5">
      <c r="A21" s="151" t="s">
        <v>35</v>
      </c>
      <c r="B21" s="151" t="s">
        <v>69</v>
      </c>
      <c r="C21" s="151" t="s">
        <v>33</v>
      </c>
      <c r="D21" t="s">
        <v>119</v>
      </c>
      <c r="E21" t="s">
        <v>121</v>
      </c>
    </row>
    <row r="22" spans="1:5">
      <c r="A22" s="152">
        <v>43647</v>
      </c>
      <c r="B22" t="s">
        <v>23</v>
      </c>
      <c r="C22" t="s">
        <v>96</v>
      </c>
      <c r="D22" s="36">
        <v>70</v>
      </c>
      <c r="E22" s="36">
        <v>250</v>
      </c>
    </row>
    <row r="23" spans="1:5">
      <c r="A23" s="152" t="s">
        <v>118</v>
      </c>
      <c r="D23" s="36">
        <v>70</v>
      </c>
      <c r="E23" s="36">
        <v>250</v>
      </c>
    </row>
    <row r="26" spans="1:5">
      <c r="A26" s="151" t="s">
        <v>63</v>
      </c>
      <c r="B26" t="s">
        <v>125</v>
      </c>
    </row>
    <row r="28" spans="1:5">
      <c r="D28" s="151" t="s">
        <v>120</v>
      </c>
    </row>
    <row r="29" spans="1:5">
      <c r="A29" s="151" t="s">
        <v>35</v>
      </c>
      <c r="B29" s="151" t="s">
        <v>69</v>
      </c>
      <c r="C29" s="151" t="s">
        <v>33</v>
      </c>
      <c r="D29" t="s">
        <v>119</v>
      </c>
      <c r="E29" t="s">
        <v>121</v>
      </c>
    </row>
    <row r="30" spans="1:5">
      <c r="A30" s="152">
        <v>43739</v>
      </c>
      <c r="B30" t="s">
        <v>21</v>
      </c>
      <c r="C30" t="s">
        <v>97</v>
      </c>
      <c r="D30" s="36">
        <v>80</v>
      </c>
      <c r="E30" s="36">
        <v>420</v>
      </c>
    </row>
    <row r="31" spans="1:5">
      <c r="A31" s="152">
        <v>43800</v>
      </c>
      <c r="B31" t="s">
        <v>50</v>
      </c>
      <c r="C31" t="s">
        <v>98</v>
      </c>
      <c r="D31" s="36">
        <v>0</v>
      </c>
      <c r="E31" s="36">
        <v>100</v>
      </c>
    </row>
    <row r="32" spans="1:5">
      <c r="A32" s="152" t="s">
        <v>118</v>
      </c>
      <c r="D32" s="36">
        <v>80</v>
      </c>
      <c r="E32" s="36">
        <v>520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2" tint="0.39997558519241921"/>
    <pageSetUpPr fitToPage="1"/>
  </sheetPr>
  <dimension ref="A1:Z9"/>
  <sheetViews>
    <sheetView topLeftCell="M1" zoomScale="82" zoomScaleNormal="40" workbookViewId="0">
      <selection activeCell="P2" sqref="P2"/>
    </sheetView>
  </sheetViews>
  <sheetFormatPr baseColWidth="10" defaultColWidth="10.6640625" defaultRowHeight="42" customHeight="1" outlineLevelCol="1"/>
  <cols>
    <col min="1" max="1" width="16.6640625" style="41" customWidth="1"/>
    <col min="2" max="2" width="35.5546875" style="41" customWidth="1"/>
    <col min="3" max="3" width="13.88671875" style="41" customWidth="1"/>
    <col min="4" max="4" width="36.44140625" style="41" customWidth="1"/>
    <col min="5" max="5" width="14" style="41" customWidth="1" outlineLevel="1"/>
    <col min="6" max="6" width="11" style="41" customWidth="1" outlineLevel="1"/>
    <col min="7" max="7" width="48" style="41" customWidth="1" outlineLevel="1"/>
    <col min="8" max="8" width="9.6640625" style="41" customWidth="1" outlineLevel="1"/>
    <col min="9" max="9" width="12.109375" style="41" customWidth="1" outlineLevel="1"/>
    <col min="10" max="10" width="35.6640625" style="41" customWidth="1" outlineLevel="1"/>
    <col min="11" max="11" width="12.109375" style="41" customWidth="1" outlineLevel="1"/>
    <col min="12" max="14" width="17" style="41" customWidth="1" outlineLevel="1"/>
    <col min="15" max="15" width="8.88671875" style="41" customWidth="1" outlineLevel="1"/>
    <col min="16" max="16" width="11.88671875" style="41" customWidth="1"/>
    <col min="17" max="18" width="10.88671875" style="41" customWidth="1"/>
    <col min="19" max="19" width="12.6640625" style="41" customWidth="1"/>
    <col min="20" max="20" width="11" style="41" customWidth="1"/>
    <col min="21" max="16384" width="10.6640625" style="41"/>
  </cols>
  <sheetData>
    <row r="1" spans="1:26" ht="42" customHeight="1">
      <c r="A1" s="138" t="s">
        <v>36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Z1" s="41" t="str">
        <f ca="1">INDIRECT("A3")</f>
        <v>F0001</v>
      </c>
    </row>
    <row r="2" spans="1:26" ht="42" customHeight="1">
      <c r="A2" s="43" t="s">
        <v>33</v>
      </c>
      <c r="B2" s="63" t="s">
        <v>69</v>
      </c>
      <c r="C2" s="43" t="s">
        <v>35</v>
      </c>
      <c r="D2" s="53" t="s">
        <v>54</v>
      </c>
      <c r="E2" s="78" t="s">
        <v>55</v>
      </c>
      <c r="F2" s="53" t="s">
        <v>62</v>
      </c>
      <c r="G2" s="53" t="s">
        <v>56</v>
      </c>
      <c r="H2" s="53" t="s">
        <v>57</v>
      </c>
      <c r="I2" s="53" t="s">
        <v>61</v>
      </c>
      <c r="J2" s="53" t="s">
        <v>58</v>
      </c>
      <c r="K2" s="53" t="s">
        <v>59</v>
      </c>
      <c r="L2" s="53" t="s">
        <v>60</v>
      </c>
      <c r="M2" s="62" t="s">
        <v>67</v>
      </c>
      <c r="N2" s="62" t="s">
        <v>68</v>
      </c>
      <c r="O2" s="62" t="s">
        <v>66</v>
      </c>
      <c r="P2" s="43" t="s">
        <v>1</v>
      </c>
      <c r="Q2" s="43" t="s">
        <v>34</v>
      </c>
      <c r="R2" s="59" t="s">
        <v>64</v>
      </c>
      <c r="S2" s="43" t="s">
        <v>32</v>
      </c>
      <c r="T2" s="59" t="s">
        <v>65</v>
      </c>
      <c r="U2" s="59" t="s">
        <v>63</v>
      </c>
      <c r="V2" s="43" t="s">
        <v>31</v>
      </c>
      <c r="W2" s="43"/>
    </row>
    <row r="3" spans="1:26" ht="42" customHeight="1">
      <c r="A3" s="120" t="s">
        <v>94</v>
      </c>
      <c r="B3" s="42" t="s">
        <v>102</v>
      </c>
      <c r="C3" s="44">
        <v>43466</v>
      </c>
      <c r="D3" s="123" t="s">
        <v>108</v>
      </c>
      <c r="E3" s="53">
        <v>2</v>
      </c>
      <c r="F3" s="53">
        <v>50</v>
      </c>
      <c r="G3" s="54"/>
      <c r="H3" s="45"/>
      <c r="I3" s="53"/>
      <c r="J3" s="54"/>
      <c r="K3" s="45"/>
      <c r="L3" s="53"/>
      <c r="M3" s="54"/>
      <c r="N3" s="45"/>
      <c r="O3" s="45"/>
      <c r="P3" s="60">
        <f>(Tableau1[[#This Row],[Nbr UNITE L1]]*Tableau1[[#This Row],[P/U L1]])+Tableau1[[#This Row],[P/U L2]]+Tableau1[[#This Row],[P/U L3]]</f>
        <v>100</v>
      </c>
      <c r="Q3" s="43" t="s">
        <v>28</v>
      </c>
      <c r="R3" s="45">
        <v>0</v>
      </c>
      <c r="S3" s="44">
        <v>43468</v>
      </c>
      <c r="T3" s="64" t="s">
        <v>29</v>
      </c>
      <c r="U3" s="61" t="str">
        <f>"Q"&amp;TEXT(1+INT((MONTH(Tableau1[[#This Row],[Date facture]])-1)/3),"#")&amp;"-"&amp;TEXT(YEAR(Tableau1[[#This Row],[Date facture]]),"####")</f>
        <v>Q1-2019</v>
      </c>
      <c r="V3" s="42"/>
      <c r="W3" s="43"/>
    </row>
    <row r="4" spans="1:26" ht="42" customHeight="1">
      <c r="A4" s="120" t="s">
        <v>95</v>
      </c>
      <c r="B4" s="42" t="s">
        <v>23</v>
      </c>
      <c r="C4" s="122">
        <v>43556</v>
      </c>
      <c r="D4" s="123" t="s">
        <v>108</v>
      </c>
      <c r="E4" s="53">
        <v>6</v>
      </c>
      <c r="F4" s="53">
        <v>50</v>
      </c>
      <c r="G4" s="124" t="s">
        <v>108</v>
      </c>
      <c r="H4" s="45">
        <v>2</v>
      </c>
      <c r="I4" s="53">
        <v>50</v>
      </c>
      <c r="J4" s="54" t="s">
        <v>24</v>
      </c>
      <c r="K4" s="45">
        <v>1</v>
      </c>
      <c r="L4" s="53">
        <v>75</v>
      </c>
      <c r="M4" s="54"/>
      <c r="N4" s="45"/>
      <c r="O4" s="45"/>
      <c r="P4" s="60">
        <f>(Tableau1[[#This Row],[Nbr UNITE L1]]*Tableau1[[#This Row],[P/U L1]])+Tableau1[[#This Row],[P/U L2]]+Tableau1[[#This Row],[P/U L3]]</f>
        <v>425</v>
      </c>
      <c r="Q4" s="43" t="s">
        <v>28</v>
      </c>
      <c r="R4" s="45">
        <v>65</v>
      </c>
      <c r="S4" s="44">
        <v>43558</v>
      </c>
      <c r="T4" s="64" t="s">
        <v>29</v>
      </c>
      <c r="U4" s="61" t="str">
        <f>"Q"&amp;TEXT(1+INT((MONTH(Tableau1[[#This Row],[Date facture]])-1)/3),"#")&amp;"-"&amp;TEXT(YEAR(Tableau1[[#This Row],[Date facture]]),"####")</f>
        <v>Q2-2019</v>
      </c>
      <c r="V4" s="42"/>
      <c r="W4" s="43"/>
    </row>
    <row r="5" spans="1:26" ht="42" customHeight="1">
      <c r="A5" s="120" t="s">
        <v>96</v>
      </c>
      <c r="B5" s="42" t="s">
        <v>23</v>
      </c>
      <c r="C5" s="44">
        <v>43647</v>
      </c>
      <c r="D5" s="123" t="s">
        <v>108</v>
      </c>
      <c r="E5" s="53">
        <v>2</v>
      </c>
      <c r="F5" s="53">
        <v>50</v>
      </c>
      <c r="G5" s="54" t="s">
        <v>93</v>
      </c>
      <c r="H5" s="45">
        <v>1</v>
      </c>
      <c r="I5" s="53">
        <v>50</v>
      </c>
      <c r="J5" s="54" t="s">
        <v>24</v>
      </c>
      <c r="K5" s="45">
        <v>1</v>
      </c>
      <c r="L5" s="53">
        <v>100</v>
      </c>
      <c r="M5" s="54"/>
      <c r="N5" s="45"/>
      <c r="O5" s="45"/>
      <c r="P5" s="60">
        <f>(Tableau1[[#This Row],[Nbr UNITE L1]]*Tableau1[[#This Row],[P/U L1]])+Tableau1[[#This Row],[P/U L2]]+Tableau1[[#This Row],[P/U L3]]</f>
        <v>250</v>
      </c>
      <c r="Q5" s="43" t="s">
        <v>28</v>
      </c>
      <c r="R5" s="45">
        <v>70</v>
      </c>
      <c r="S5" s="44">
        <v>43649</v>
      </c>
      <c r="T5" s="64" t="s">
        <v>27</v>
      </c>
      <c r="U5" s="61" t="str">
        <f>"Q"&amp;TEXT(1+INT((MONTH(Tableau1[[#This Row],[Date facture]])-1)/3),"#")&amp;"-"&amp;TEXT(YEAR(Tableau1[[#This Row],[Date facture]]),"####")</f>
        <v>Q3-2019</v>
      </c>
      <c r="V5" s="42"/>
      <c r="W5" s="43"/>
    </row>
    <row r="6" spans="1:26" ht="42" customHeight="1">
      <c r="A6" s="120" t="s">
        <v>97</v>
      </c>
      <c r="B6" s="42" t="s">
        <v>21</v>
      </c>
      <c r="C6" s="44">
        <v>43739</v>
      </c>
      <c r="D6" s="123" t="s">
        <v>108</v>
      </c>
      <c r="E6" s="53">
        <v>6</v>
      </c>
      <c r="F6" s="53">
        <v>50</v>
      </c>
      <c r="G6" s="54" t="s">
        <v>24</v>
      </c>
      <c r="H6" s="45">
        <v>1</v>
      </c>
      <c r="I6" s="53">
        <v>120</v>
      </c>
      <c r="J6" s="54"/>
      <c r="K6" s="45"/>
      <c r="L6" s="53"/>
      <c r="M6" s="54"/>
      <c r="N6" s="45"/>
      <c r="O6" s="45"/>
      <c r="P6" s="60">
        <f>(Tableau1[[#This Row],[Nbr UNITE L1]]*Tableau1[[#This Row],[P/U L1]])+Tableau1[[#This Row],[P/U L2]]+Tableau1[[#This Row],[P/U L3]]</f>
        <v>420</v>
      </c>
      <c r="Q6" s="43" t="s">
        <v>30</v>
      </c>
      <c r="R6" s="45">
        <v>80</v>
      </c>
      <c r="S6" s="44">
        <v>43741</v>
      </c>
      <c r="T6" s="64" t="s">
        <v>27</v>
      </c>
      <c r="U6" s="61" t="str">
        <f>"Q"&amp;TEXT(1+INT((MONTH(Tableau1[[#This Row],[Date facture]])-1)/3),"#")&amp;"-"&amp;TEXT(YEAR(Tableau1[[#This Row],[Date facture]]),"####")</f>
        <v>Q4-2019</v>
      </c>
      <c r="V6" s="42"/>
      <c r="W6" s="43"/>
    </row>
    <row r="7" spans="1:26" ht="42" customHeight="1">
      <c r="A7" s="120" t="s">
        <v>98</v>
      </c>
      <c r="B7" s="42" t="s">
        <v>50</v>
      </c>
      <c r="C7" s="44">
        <v>43800</v>
      </c>
      <c r="D7" s="123" t="s">
        <v>108</v>
      </c>
      <c r="E7" s="53">
        <v>2</v>
      </c>
      <c r="F7" s="53">
        <v>50</v>
      </c>
      <c r="G7" s="54"/>
      <c r="H7" s="45"/>
      <c r="I7" s="53"/>
      <c r="J7" s="54"/>
      <c r="K7" s="45"/>
      <c r="L7" s="53"/>
      <c r="M7" s="54"/>
      <c r="N7" s="45"/>
      <c r="O7" s="45"/>
      <c r="P7" s="60">
        <f>(Tableau1[[#This Row],[Nbr UNITE L1]]*Tableau1[[#This Row],[P/U L1]])+Tableau1[[#This Row],[P/U L2]]+Tableau1[[#This Row],[P/U L3]]</f>
        <v>100</v>
      </c>
      <c r="Q7" s="43"/>
      <c r="R7" s="45">
        <v>0</v>
      </c>
      <c r="S7" s="44">
        <v>43802</v>
      </c>
      <c r="T7" s="64" t="s">
        <v>27</v>
      </c>
      <c r="U7" s="61" t="str">
        <f>"Q"&amp;TEXT(1+INT((MONTH(Tableau1[[#This Row],[Date facture]])-1)/3),"#")&amp;"-"&amp;TEXT(YEAR(Tableau1[[#This Row],[Date facture]]),"####")</f>
        <v>Q4-2019</v>
      </c>
      <c r="V7" s="42"/>
      <c r="W7" s="43"/>
    </row>
    <row r="8" spans="1:26" ht="42" customHeight="1">
      <c r="A8" s="121"/>
      <c r="B8" s="121" t="s">
        <v>26</v>
      </c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>
        <f>SUBTOTAL(109,Tableau1[TOTAL])</f>
        <v>1295</v>
      </c>
      <c r="Q8" s="121"/>
      <c r="R8" s="121">
        <f>SUBTOTAL(109,Tableau1[Frais Avancés])</f>
        <v>215</v>
      </c>
      <c r="S8" s="121"/>
      <c r="T8" s="121">
        <f>SUMIFS(Tableau1[TOTAL], Tableau1[Payée],"OUI")</f>
        <v>525</v>
      </c>
      <c r="U8" s="121"/>
      <c r="V8" s="121"/>
    </row>
    <row r="9" spans="1:26" ht="42" customHeight="1">
      <c r="T9" s="41" t="s">
        <v>25</v>
      </c>
      <c r="U9" s="41">
        <f>Tableau1[[#Totals],[TOTAL]]-Tableau1[[#Totals],[Payée]]</f>
        <v>770</v>
      </c>
    </row>
  </sheetData>
  <mergeCells count="1">
    <mergeCell ref="A1:T1"/>
  </mergeCells>
  <phoneticPr fontId="11" type="noConversion"/>
  <conditionalFormatting sqref="T2:T7">
    <cfRule type="cellIs" dxfId="3" priority="17" operator="equal">
      <formula>"OUI"</formula>
    </cfRule>
    <cfRule type="cellIs" dxfId="2" priority="18" operator="equal">
      <formula>"NON"</formula>
    </cfRule>
  </conditionalFormatting>
  <conditionalFormatting sqref="S3">
    <cfRule type="cellIs" dxfId="1" priority="6" operator="lessThan">
      <formula>TODAY()-30</formula>
    </cfRule>
  </conditionalFormatting>
  <conditionalFormatting sqref="S4:S7">
    <cfRule type="cellIs" dxfId="0" priority="1" operator="lessThan">
      <formula>TODAY()-30</formula>
    </cfRule>
  </conditionalFormatting>
  <dataValidations count="1">
    <dataValidation type="list" allowBlank="1" showInputMessage="1" showErrorMessage="1" sqref="T2:T7">
      <formula1>"OUI,NON"</formula1>
    </dataValidation>
  </dataValidations>
  <pageMargins left="0.7" right="0.7" top="0.75" bottom="0.75" header="0.3" footer="0.3"/>
  <pageSetup paperSize="9" scale="64" orientation="landscape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'DB CLIENT'!$A:$A</xm:f>
          </x14:formula1>
          <xm:sqref>B2</xm:sqref>
        </x14:dataValidation>
        <x14:dataValidation type="list" allowBlank="1" showInputMessage="1" showErrorMessage="1">
          <x14:formula1>
            <xm:f>'DB CLIENT'!$A$4:A4</xm:f>
          </x14:formula1>
          <xm:sqref>B3:B7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0.39997558519241921"/>
  </sheetPr>
  <dimension ref="A1:E4"/>
  <sheetViews>
    <sheetView zoomScale="101" workbookViewId="0">
      <selection activeCell="E2" sqref="E2"/>
    </sheetView>
  </sheetViews>
  <sheetFormatPr baseColWidth="10" defaultColWidth="10.88671875" defaultRowHeight="17.25"/>
  <cols>
    <col min="1" max="1" width="32" customWidth="1"/>
    <col min="2" max="2" width="35" customWidth="1"/>
    <col min="3" max="3" width="33.5546875" customWidth="1"/>
    <col min="4" max="4" width="16.6640625" style="36" customWidth="1"/>
    <col min="5" max="5" width="17.5546875" customWidth="1"/>
  </cols>
  <sheetData>
    <row r="1" spans="1:5">
      <c r="A1" s="34" t="s">
        <v>17</v>
      </c>
      <c r="B1" s="34" t="s">
        <v>18</v>
      </c>
      <c r="C1" s="34" t="s">
        <v>22</v>
      </c>
      <c r="D1" s="35" t="s">
        <v>19</v>
      </c>
      <c r="E1" s="34" t="s">
        <v>20</v>
      </c>
    </row>
    <row r="2" spans="1:5">
      <c r="A2" s="38" t="s">
        <v>99</v>
      </c>
      <c r="B2" s="40" t="s">
        <v>100</v>
      </c>
      <c r="C2" s="39" t="s">
        <v>101</v>
      </c>
      <c r="D2" s="77"/>
      <c r="E2" s="39"/>
    </row>
    <row r="3" spans="1:5">
      <c r="A3" s="38" t="s">
        <v>105</v>
      </c>
      <c r="B3" s="40" t="s">
        <v>106</v>
      </c>
      <c r="C3" s="39" t="s">
        <v>107</v>
      </c>
      <c r="D3" s="77"/>
      <c r="E3" s="39"/>
    </row>
    <row r="4" spans="1:5">
      <c r="A4" s="38" t="s">
        <v>102</v>
      </c>
      <c r="B4" s="40" t="s">
        <v>103</v>
      </c>
      <c r="C4" s="39" t="s">
        <v>104</v>
      </c>
      <c r="D4" s="77"/>
      <c r="E4" s="3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5"/>
  <sheetViews>
    <sheetView workbookViewId="0">
      <selection activeCell="E4" sqref="E4"/>
    </sheetView>
  </sheetViews>
  <sheetFormatPr baseColWidth="10" defaultColWidth="10.88671875" defaultRowHeight="17.25"/>
  <cols>
    <col min="1" max="1" width="14.88671875" customWidth="1"/>
    <col min="2" max="2" width="20.109375" customWidth="1"/>
    <col min="3" max="3" width="16.88671875" customWidth="1"/>
    <col min="4" max="4" width="12.33203125" customWidth="1"/>
    <col min="5" max="6" width="9.33203125" customWidth="1"/>
    <col min="7" max="8" width="14.44140625" customWidth="1"/>
    <col min="9" max="9" width="18.44140625" customWidth="1"/>
    <col min="10" max="10" width="14.6640625" customWidth="1"/>
    <col min="11" max="11" width="15.33203125" customWidth="1"/>
  </cols>
  <sheetData>
    <row r="1" spans="1:11" ht="22.5">
      <c r="A1" s="140" t="s">
        <v>37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</row>
    <row r="3" spans="1:11" ht="18.75">
      <c r="A3" s="46" t="s">
        <v>38</v>
      </c>
    </row>
    <row r="4" spans="1:11">
      <c r="A4" t="s">
        <v>39</v>
      </c>
      <c r="B4" t="s">
        <v>40</v>
      </c>
      <c r="C4" t="s">
        <v>33</v>
      </c>
      <c r="D4" t="s">
        <v>41</v>
      </c>
      <c r="E4" t="s">
        <v>11</v>
      </c>
      <c r="G4" s="142" t="s">
        <v>117</v>
      </c>
      <c r="H4" s="143"/>
      <c r="I4" s="143"/>
      <c r="J4" s="143"/>
      <c r="K4" s="144"/>
    </row>
    <row r="5" spans="1:11">
      <c r="G5" s="145"/>
      <c r="H5" s="146"/>
      <c r="I5" s="146"/>
      <c r="J5" s="146"/>
      <c r="K5" s="147"/>
    </row>
    <row r="6" spans="1:11">
      <c r="G6" s="145"/>
      <c r="H6" s="146"/>
      <c r="I6" s="146"/>
      <c r="J6" s="146"/>
      <c r="K6" s="147"/>
    </row>
    <row r="7" spans="1:11">
      <c r="G7" s="145"/>
      <c r="H7" s="146"/>
      <c r="I7" s="146"/>
      <c r="J7" s="146"/>
      <c r="K7" s="147"/>
    </row>
    <row r="8" spans="1:11">
      <c r="G8" s="148"/>
      <c r="H8" s="149"/>
      <c r="I8" s="149"/>
      <c r="J8" s="149"/>
      <c r="K8" s="150"/>
    </row>
    <row r="9" spans="1:11" ht="18.75">
      <c r="G9" s="47" t="s">
        <v>42</v>
      </c>
      <c r="H9" s="47" t="s">
        <v>43</v>
      </c>
      <c r="I9" s="47" t="s">
        <v>44</v>
      </c>
      <c r="J9" s="47" t="s">
        <v>41</v>
      </c>
      <c r="K9" s="47" t="s">
        <v>45</v>
      </c>
    </row>
    <row r="10" spans="1:11" ht="19.5">
      <c r="A10" t="s">
        <v>26</v>
      </c>
      <c r="D10">
        <f>SUBTOTAL(109,Tableau138[Frais avancés])</f>
        <v>0</v>
      </c>
      <c r="E10">
        <f>SUBTOTAL(109,Tableau138[Montant])</f>
        <v>0</v>
      </c>
      <c r="G10" s="48">
        <f>Tableau138[[#Totals],[Montant]]</f>
        <v>0</v>
      </c>
      <c r="H10" s="49">
        <v>0.22</v>
      </c>
      <c r="I10" s="48">
        <f>G10*H10</f>
        <v>0</v>
      </c>
      <c r="J10" s="48">
        <f>Tableau138[[#Totals],[Frais avancés]]</f>
        <v>0</v>
      </c>
      <c r="K10" s="50">
        <f>G10-I10-J10</f>
        <v>0</v>
      </c>
    </row>
    <row r="11" spans="1:11">
      <c r="H11" s="51"/>
    </row>
    <row r="13" spans="1:11" ht="18.75">
      <c r="A13" s="46" t="s">
        <v>46</v>
      </c>
    </row>
    <row r="14" spans="1:11" ht="15.95" customHeight="1">
      <c r="A14" t="s">
        <v>39</v>
      </c>
      <c r="B14" t="s">
        <v>40</v>
      </c>
      <c r="C14" t="s">
        <v>33</v>
      </c>
      <c r="D14" t="s">
        <v>41</v>
      </c>
      <c r="E14" t="s">
        <v>11</v>
      </c>
      <c r="G14" s="142" t="s">
        <v>47</v>
      </c>
      <c r="H14" s="143"/>
      <c r="I14" s="143"/>
      <c r="J14" s="143"/>
      <c r="K14" s="144"/>
    </row>
    <row r="15" spans="1:11" ht="15.95" customHeight="1">
      <c r="G15" s="145"/>
      <c r="H15" s="146"/>
      <c r="I15" s="146"/>
      <c r="J15" s="146"/>
      <c r="K15" s="147"/>
    </row>
    <row r="16" spans="1:11" ht="15.95" customHeight="1">
      <c r="G16" s="145"/>
      <c r="H16" s="146"/>
      <c r="I16" s="146"/>
      <c r="J16" s="146"/>
      <c r="K16" s="147"/>
    </row>
    <row r="17" spans="1:11" ht="15.95" customHeight="1">
      <c r="G17" s="145"/>
      <c r="H17" s="146"/>
      <c r="I17" s="146"/>
      <c r="J17" s="146"/>
      <c r="K17" s="147"/>
    </row>
    <row r="18" spans="1:11" ht="15.95" customHeight="1">
      <c r="G18" s="148"/>
      <c r="H18" s="149"/>
      <c r="I18" s="149"/>
      <c r="J18" s="149"/>
      <c r="K18" s="150"/>
    </row>
    <row r="19" spans="1:11" ht="15.95" customHeight="1">
      <c r="G19" s="47" t="s">
        <v>42</v>
      </c>
      <c r="H19" s="47" t="s">
        <v>43</v>
      </c>
      <c r="I19" s="47" t="s">
        <v>44</v>
      </c>
      <c r="J19" s="47" t="s">
        <v>41</v>
      </c>
      <c r="K19" s="47" t="s">
        <v>45</v>
      </c>
    </row>
    <row r="20" spans="1:11" ht="15.95" customHeight="1">
      <c r="A20" t="s">
        <v>26</v>
      </c>
      <c r="D20">
        <f>SUBTOTAL(109,Tableau1387[Frais avancés])</f>
        <v>0</v>
      </c>
      <c r="E20">
        <f>SUBTOTAL(109,Tableau1387[Montant])</f>
        <v>0</v>
      </c>
      <c r="G20" s="48">
        <f>Tableau1387[[#Totals],[Montant]]</f>
        <v>0</v>
      </c>
      <c r="H20" s="49">
        <v>0.22</v>
      </c>
      <c r="I20" s="48">
        <f>G20*H20</f>
        <v>0</v>
      </c>
      <c r="J20" s="48">
        <f>Tableau1387[[#Totals],[Frais avancés]]</f>
        <v>0</v>
      </c>
      <c r="K20" s="50">
        <f>G20-I20-J20</f>
        <v>0</v>
      </c>
    </row>
    <row r="23" spans="1:11" ht="18.75">
      <c r="A23" s="46" t="s">
        <v>48</v>
      </c>
    </row>
    <row r="24" spans="1:11">
      <c r="A24" t="s">
        <v>39</v>
      </c>
      <c r="B24" t="s">
        <v>40</v>
      </c>
      <c r="C24" t="s">
        <v>33</v>
      </c>
      <c r="D24" t="s">
        <v>41</v>
      </c>
      <c r="E24" t="s">
        <v>11</v>
      </c>
      <c r="G24" s="142" t="s">
        <v>49</v>
      </c>
      <c r="H24" s="143"/>
      <c r="I24" s="143"/>
      <c r="J24" s="143"/>
      <c r="K24" s="144"/>
    </row>
    <row r="25" spans="1:11">
      <c r="G25" s="145"/>
      <c r="H25" s="146"/>
      <c r="I25" s="146"/>
      <c r="J25" s="146"/>
      <c r="K25" s="147"/>
    </row>
    <row r="26" spans="1:11">
      <c r="G26" s="145"/>
      <c r="H26" s="146"/>
      <c r="I26" s="146"/>
      <c r="J26" s="146"/>
      <c r="K26" s="147"/>
    </row>
    <row r="27" spans="1:11">
      <c r="G27" s="145"/>
      <c r="H27" s="146"/>
      <c r="I27" s="146"/>
      <c r="J27" s="146"/>
      <c r="K27" s="147"/>
    </row>
    <row r="28" spans="1:11">
      <c r="G28" s="148"/>
      <c r="H28" s="149"/>
      <c r="I28" s="149"/>
      <c r="J28" s="149"/>
      <c r="K28" s="150"/>
    </row>
    <row r="29" spans="1:11" ht="18.75">
      <c r="G29" s="47" t="s">
        <v>42</v>
      </c>
      <c r="H29" s="47" t="s">
        <v>43</v>
      </c>
      <c r="I29" s="47" t="s">
        <v>44</v>
      </c>
      <c r="J29" s="47" t="s">
        <v>41</v>
      </c>
      <c r="K29" s="47" t="s">
        <v>45</v>
      </c>
    </row>
    <row r="30" spans="1:11" ht="19.5">
      <c r="A30" t="s">
        <v>26</v>
      </c>
      <c r="D30">
        <f>SUBTOTAL(109,Tableau1388[Frais avancés])</f>
        <v>0</v>
      </c>
      <c r="E30">
        <f>SUBTOTAL(109,Tableau1388[Montant])</f>
        <v>0</v>
      </c>
      <c r="G30" s="48">
        <f>Tableau1388[[#Totals],[Montant]]</f>
        <v>0</v>
      </c>
      <c r="H30" s="49">
        <v>0.22</v>
      </c>
      <c r="I30" s="48">
        <f>G30*H30</f>
        <v>0</v>
      </c>
      <c r="J30" s="48">
        <f>Tableau1388[[#Totals],[Frais avancés]]</f>
        <v>0</v>
      </c>
      <c r="K30" s="50">
        <f>G30-I30-J30</f>
        <v>0</v>
      </c>
    </row>
    <row r="33" spans="1:11" ht="18.75">
      <c r="A33" s="46" t="s">
        <v>51</v>
      </c>
    </row>
    <row r="34" spans="1:11">
      <c r="A34" t="s">
        <v>39</v>
      </c>
      <c r="B34" t="s">
        <v>40</v>
      </c>
      <c r="C34" t="s">
        <v>33</v>
      </c>
      <c r="D34" t="s">
        <v>41</v>
      </c>
      <c r="E34" t="s">
        <v>11</v>
      </c>
      <c r="G34" s="142" t="s">
        <v>52</v>
      </c>
      <c r="H34" s="143"/>
      <c r="I34" s="143"/>
      <c r="J34" s="143"/>
      <c r="K34" s="144"/>
    </row>
    <row r="35" spans="1:11">
      <c r="G35" s="145"/>
      <c r="H35" s="146"/>
      <c r="I35" s="146"/>
      <c r="J35" s="146"/>
      <c r="K35" s="147"/>
    </row>
    <row r="36" spans="1:11">
      <c r="G36" s="145"/>
      <c r="H36" s="146"/>
      <c r="I36" s="146"/>
      <c r="J36" s="146"/>
      <c r="K36" s="147"/>
    </row>
    <row r="37" spans="1:11">
      <c r="G37" s="145"/>
      <c r="H37" s="146"/>
      <c r="I37" s="146"/>
      <c r="J37" s="146"/>
      <c r="K37" s="147"/>
    </row>
    <row r="38" spans="1:11">
      <c r="G38" s="148"/>
      <c r="H38" s="149"/>
      <c r="I38" s="149"/>
      <c r="J38" s="149"/>
      <c r="K38" s="150"/>
    </row>
    <row r="39" spans="1:11" ht="18.75">
      <c r="G39" s="47" t="s">
        <v>42</v>
      </c>
      <c r="H39" s="47" t="s">
        <v>43</v>
      </c>
      <c r="I39" s="47" t="s">
        <v>44</v>
      </c>
      <c r="J39" s="47" t="s">
        <v>41</v>
      </c>
      <c r="K39" s="47" t="s">
        <v>45</v>
      </c>
    </row>
    <row r="40" spans="1:11" ht="19.5">
      <c r="A40" t="s">
        <v>26</v>
      </c>
      <c r="D40">
        <f>SUBTOTAL(109,Tableau13889[Frais avancés])</f>
        <v>0</v>
      </c>
      <c r="E40">
        <f>SUBTOTAL(109,Tableau13889[Montant])</f>
        <v>0</v>
      </c>
      <c r="G40" s="48">
        <f>Tableau13889[[#Totals],[Montant]]</f>
        <v>0</v>
      </c>
      <c r="H40" s="49">
        <v>0.22</v>
      </c>
      <c r="I40" s="48">
        <f>G40*H40</f>
        <v>0</v>
      </c>
      <c r="J40" s="48">
        <f>Tableau13889[[#Totals],[Frais avancés]]</f>
        <v>0</v>
      </c>
      <c r="K40" s="50">
        <f>G40-I40-J40</f>
        <v>0</v>
      </c>
    </row>
    <row r="44" spans="1:11" ht="18.75">
      <c r="A44" s="139" t="s">
        <v>53</v>
      </c>
      <c r="B44" s="139"/>
      <c r="C44" s="139"/>
      <c r="D44" s="139"/>
      <c r="E44" s="139"/>
      <c r="G44" s="47" t="s">
        <v>42</v>
      </c>
      <c r="H44" s="47" t="s">
        <v>43</v>
      </c>
      <c r="I44" s="47" t="s">
        <v>44</v>
      </c>
      <c r="J44" s="47" t="s">
        <v>41</v>
      </c>
      <c r="K44" s="47" t="s">
        <v>45</v>
      </c>
    </row>
    <row r="45" spans="1:11" ht="24">
      <c r="A45" s="139"/>
      <c r="B45" s="139"/>
      <c r="C45" s="139"/>
      <c r="D45" s="139"/>
      <c r="E45" s="139"/>
      <c r="G45" s="52">
        <f>G40+G30+G20+G10</f>
        <v>0</v>
      </c>
      <c r="H45" s="52"/>
      <c r="I45" s="52">
        <f>I40+I30+I20+I10</f>
        <v>0</v>
      </c>
      <c r="J45" s="52">
        <f>J40+J30+J20+J10</f>
        <v>0</v>
      </c>
      <c r="K45" s="125">
        <f>K40+K30+K20+K10</f>
        <v>0</v>
      </c>
    </row>
  </sheetData>
  <mergeCells count="6">
    <mergeCell ref="A44:E45"/>
    <mergeCell ref="A1:K1"/>
    <mergeCell ref="G4:K8"/>
    <mergeCell ref="G14:K18"/>
    <mergeCell ref="G24:K28"/>
    <mergeCell ref="G34:K38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Facture</vt:lpstr>
      <vt:lpstr>Nouvelle Facture</vt:lpstr>
      <vt:lpstr>Nouveau Client</vt:lpstr>
      <vt:lpstr>TCD</vt:lpstr>
      <vt:lpstr>DB FACTURE</vt:lpstr>
      <vt:lpstr>DB CLIENT</vt:lpstr>
      <vt:lpstr>Synthèse</vt:lpstr>
      <vt:lpstr>rngInvoice</vt:lpstr>
      <vt:lpstr>'DB FACTURE'!Zone_d_impression</vt:lpstr>
      <vt:lpstr>Facture!Zone_d_impression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LAVALLEZ Pascal</cp:lastModifiedBy>
  <cp:lastPrinted>2020-03-11T16:32:30Z</cp:lastPrinted>
  <dcterms:created xsi:type="dcterms:W3CDTF">2010-04-08T23:43:53Z</dcterms:created>
  <dcterms:modified xsi:type="dcterms:W3CDTF">2020-03-13T12:45:02Z</dcterms:modified>
  <cp:category/>
</cp:coreProperties>
</file>