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-120" yWindow="-120" windowWidth="29040" windowHeight="15840" activeTab="1"/>
  </bookViews>
  <sheets>
    <sheet name="Budget" sheetId="1" r:id="rId1"/>
    <sheet name="TCD-ACHATS" sheetId="4" r:id="rId2"/>
    <sheet name="Achats" sheetId="2" r:id="rId3"/>
    <sheet name="Database" sheetId="3" r:id="rId4"/>
  </sheets>
  <definedNames>
    <definedName name="_xlnm._FilterDatabase" localSheetId="2" hidden="1">Achats!$D$1:$K$1</definedName>
    <definedName name="DATA">Database!$A$1:$D$5</definedName>
    <definedName name="Ville">Database!$G$2:$G$5</definedName>
  </definedNames>
  <calcPr calcId="191029" concurrentCalc="0"/>
  <pivotCaches>
    <pivotCache cacheId="4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2" i="2" l="1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H22" i="1"/>
  <c r="D15" i="1"/>
  <c r="D18" i="1"/>
  <c r="D19" i="1"/>
  <c r="D20" i="1"/>
  <c r="D21" i="1"/>
  <c r="D22" i="1"/>
  <c r="D23" i="1"/>
  <c r="D24" i="1"/>
  <c r="D26" i="1"/>
  <c r="D27" i="1"/>
  <c r="E6" i="1"/>
  <c r="E15" i="1"/>
  <c r="E18" i="1"/>
  <c r="E19" i="1"/>
  <c r="E20" i="1"/>
  <c r="E21" i="1"/>
  <c r="E22" i="1"/>
  <c r="E23" i="1"/>
  <c r="E24" i="1"/>
  <c r="E26" i="1"/>
  <c r="E27" i="1"/>
  <c r="F6" i="1"/>
  <c r="F15" i="1"/>
  <c r="F18" i="1"/>
  <c r="F19" i="1"/>
  <c r="F20" i="1"/>
  <c r="F21" i="1"/>
  <c r="F22" i="1"/>
  <c r="F23" i="1"/>
  <c r="F24" i="1"/>
  <c r="F26" i="1"/>
  <c r="F27" i="1"/>
  <c r="G6" i="1"/>
  <c r="G15" i="1"/>
  <c r="G18" i="1"/>
  <c r="G19" i="1"/>
  <c r="G20" i="1"/>
  <c r="G21" i="1"/>
  <c r="G22" i="1"/>
  <c r="G23" i="1"/>
  <c r="G24" i="1"/>
  <c r="G26" i="1"/>
  <c r="G27" i="1"/>
  <c r="H6" i="1"/>
  <c r="H15" i="1"/>
  <c r="H18" i="1"/>
  <c r="H19" i="1"/>
  <c r="H20" i="1"/>
  <c r="H21" i="1"/>
  <c r="H23" i="1"/>
  <c r="H24" i="1"/>
  <c r="H26" i="1"/>
  <c r="H27" i="1"/>
  <c r="I6" i="1"/>
  <c r="I15" i="1"/>
  <c r="I18" i="1"/>
  <c r="I19" i="1"/>
  <c r="I20" i="1"/>
  <c r="I21" i="1"/>
  <c r="I22" i="1"/>
  <c r="I23" i="1"/>
  <c r="I24" i="1"/>
  <c r="I26" i="1"/>
  <c r="I27" i="1"/>
  <c r="J6" i="1"/>
  <c r="J15" i="1"/>
  <c r="J18" i="1"/>
  <c r="J19" i="1"/>
  <c r="J20" i="1"/>
  <c r="J21" i="1"/>
  <c r="J22" i="1"/>
  <c r="J23" i="1"/>
  <c r="J24" i="1"/>
  <c r="J26" i="1"/>
  <c r="J27" i="1"/>
  <c r="K6" i="1"/>
  <c r="K15" i="1"/>
  <c r="K18" i="1"/>
  <c r="K19" i="1"/>
  <c r="K20" i="1"/>
  <c r="K21" i="1"/>
  <c r="K22" i="1"/>
  <c r="K23" i="1"/>
  <c r="K24" i="1"/>
  <c r="K26" i="1"/>
  <c r="K27" i="1"/>
  <c r="L6" i="1"/>
  <c r="L15" i="1"/>
  <c r="L18" i="1"/>
  <c r="L19" i="1"/>
  <c r="L20" i="1"/>
  <c r="L21" i="1"/>
  <c r="L22" i="1"/>
  <c r="L23" i="1"/>
  <c r="L24" i="1"/>
  <c r="L26" i="1"/>
  <c r="L27" i="1"/>
  <c r="M6" i="1"/>
  <c r="M15" i="1"/>
  <c r="M18" i="1"/>
  <c r="M19" i="1"/>
  <c r="M20" i="1"/>
  <c r="M21" i="1"/>
  <c r="M22" i="1"/>
  <c r="M23" i="1"/>
  <c r="M24" i="1"/>
  <c r="M26" i="1"/>
  <c r="M27" i="1"/>
  <c r="N6" i="1"/>
  <c r="N15" i="1"/>
  <c r="N18" i="1"/>
  <c r="N19" i="1"/>
  <c r="N20" i="1"/>
  <c r="N21" i="1"/>
  <c r="N22" i="1"/>
  <c r="N23" i="1"/>
  <c r="N24" i="1"/>
  <c r="N26" i="1"/>
  <c r="N27" i="1"/>
  <c r="O6" i="1"/>
  <c r="O15" i="1"/>
  <c r="O18" i="1"/>
  <c r="O19" i="1"/>
  <c r="O20" i="1"/>
  <c r="O21" i="1"/>
  <c r="O22" i="1"/>
  <c r="O23" i="1"/>
  <c r="O24" i="1"/>
  <c r="C26" i="1"/>
  <c r="O26" i="1"/>
  <c r="O27" i="1"/>
</calcChain>
</file>

<file path=xl/sharedStrings.xml><?xml version="1.0" encoding="utf-8"?>
<sst xmlns="http://schemas.openxmlformats.org/spreadsheetml/2006/main" count="241" uniqueCount="85">
  <si>
    <t>Solde de fin de mois = 1 + 4</t>
  </si>
  <si>
    <t>Solde du mois = 2 - 3</t>
  </si>
  <si>
    <t>3. TOTAL</t>
  </si>
  <si>
    <t>Edna</t>
  </si>
  <si>
    <t>Engie</t>
  </si>
  <si>
    <t>Metro</t>
  </si>
  <si>
    <t>France boissons</t>
  </si>
  <si>
    <t>Passionfroid</t>
  </si>
  <si>
    <t>Episaveurs</t>
  </si>
  <si>
    <t xml:space="preserve"> - Marchandises</t>
  </si>
  <si>
    <t>B1. d'exploitation</t>
  </si>
  <si>
    <t>2. TOTAL</t>
  </si>
  <si>
    <t xml:space="preserve"> - APPORT CC</t>
  </si>
  <si>
    <t xml:space="preserve"> - emprunts contractés</t>
  </si>
  <si>
    <t xml:space="preserve"> - aides salaires (pôle emploi, FAF)</t>
  </si>
  <si>
    <t xml:space="preserve"> - évènement exceptionnel</t>
  </si>
  <si>
    <t>A2. Hors exploitation</t>
  </si>
  <si>
    <t>Chiffre d'affaire Uber</t>
  </si>
  <si>
    <t>Chiffre d'affaire site</t>
  </si>
  <si>
    <t>A1. D'exploitation</t>
  </si>
  <si>
    <t>Liquidités en début de mois</t>
  </si>
  <si>
    <t>DEC.</t>
  </si>
  <si>
    <t xml:space="preserve">NOV. </t>
  </si>
  <si>
    <t>OCT.</t>
  </si>
  <si>
    <t>SEPT.</t>
  </si>
  <si>
    <t>AOUT</t>
  </si>
  <si>
    <t>JUIL.</t>
  </si>
  <si>
    <t>JUIN</t>
  </si>
  <si>
    <t>MAI</t>
  </si>
  <si>
    <t>AVRIL</t>
  </si>
  <si>
    <t>MARS</t>
  </si>
  <si>
    <t>FEV.</t>
  </si>
  <si>
    <t>JANV.</t>
  </si>
  <si>
    <t>N-1</t>
  </si>
  <si>
    <t>PLAN DE TRESORERIE</t>
  </si>
  <si>
    <t>FLUX REEL</t>
  </si>
  <si>
    <t xml:space="preserve">ENGIE                         </t>
  </si>
  <si>
    <t>ENGIE</t>
  </si>
  <si>
    <t xml:space="preserve">401ENGIE  </t>
  </si>
  <si>
    <t>AC</t>
  </si>
  <si>
    <t>401ENGIE</t>
  </si>
  <si>
    <t>ELECTRICITE</t>
  </si>
  <si>
    <t>Échéance</t>
  </si>
  <si>
    <t>Crédit</t>
  </si>
  <si>
    <t>Débit</t>
  </si>
  <si>
    <t>LibelléMouvement</t>
  </si>
  <si>
    <t>LibelléEntête</t>
  </si>
  <si>
    <t>Contrepar.</t>
  </si>
  <si>
    <t>Pièce</t>
  </si>
  <si>
    <t>Compte</t>
  </si>
  <si>
    <t>Libelléducompte</t>
  </si>
  <si>
    <t>Journal</t>
  </si>
  <si>
    <t>Date</t>
  </si>
  <si>
    <t>Nom Fournisseur</t>
  </si>
  <si>
    <t>Condition paiement</t>
  </si>
  <si>
    <t>Mois</t>
  </si>
  <si>
    <t>Jours</t>
  </si>
  <si>
    <t>15 J net Date Facture</t>
  </si>
  <si>
    <t>Plan de trésorerie</t>
  </si>
  <si>
    <t>Ville</t>
  </si>
  <si>
    <t>Douai</t>
  </si>
  <si>
    <t>Paris</t>
  </si>
  <si>
    <t>Dubaï</t>
  </si>
  <si>
    <t>New York</t>
  </si>
  <si>
    <t>401PASFROI</t>
  </si>
  <si>
    <t>PASSIONFROID</t>
  </si>
  <si>
    <t>ACHATSMARCHANDISES</t>
  </si>
  <si>
    <t>PassionFroid</t>
  </si>
  <si>
    <t>20 J net Date Facture</t>
  </si>
  <si>
    <t xml:space="preserve">Achats nourriture 5.5%        </t>
  </si>
  <si>
    <t xml:space="preserve">EPISAVEURS                    </t>
  </si>
  <si>
    <t xml:space="preserve">401EPI    </t>
  </si>
  <si>
    <t>EPISAVEURS</t>
  </si>
  <si>
    <t xml:space="preserve">france boissons               </t>
  </si>
  <si>
    <t xml:space="preserve">401FRBO   </t>
  </si>
  <si>
    <t>FRANCE BOISSONS</t>
  </si>
  <si>
    <t xml:space="preserve">Achats boissons 5.5 %         </t>
  </si>
  <si>
    <t>35 J net Date Facture</t>
  </si>
  <si>
    <t>France Boissons</t>
  </si>
  <si>
    <t>Total général</t>
  </si>
  <si>
    <t>Total ENGIE</t>
  </si>
  <si>
    <t>Total PASSIONFROID</t>
  </si>
  <si>
    <t>Somme de Crédit</t>
  </si>
  <si>
    <t>Valeurs</t>
  </si>
  <si>
    <t>Somme de Débit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</si>
</sst>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\ &quot;€&quot;"/>
    <numFmt numFmtId="165" formatCode="_-* #,##0.00\ [$€-1]_-;\-* #,##0.00\ [$€-1]_-;_-* &quot;-&quot;??\ [$€-1]_-"/>
    <numFmt numFmtId="166" formatCode="#,##0.00\ &quot;€&quot;"/>
  </numFmts>
  <fonts count="20" x14ac:knownFonts="1">
    <font>
      <sz val="10"/>
      <name val="Arial"/>
    </font>
    <font>
      <sz val="10"/>
      <name val="Arial"/>
      <family val="2"/>
    </font>
    <font>
      <sz val="12"/>
      <name val="Verdana"/>
      <family val="2"/>
    </font>
    <font>
      <b/>
      <sz val="12"/>
      <name val="Verdana"/>
      <family val="2"/>
    </font>
    <font>
      <sz val="10"/>
      <name val="Verdana"/>
      <family val="2"/>
    </font>
    <font>
      <sz val="13"/>
      <name val="Calibri"/>
      <family val="2"/>
      <scheme val="minor"/>
    </font>
    <font>
      <sz val="12"/>
      <name val="Calibri"/>
      <family val="2"/>
      <scheme val="minor"/>
    </font>
    <font>
      <sz val="13"/>
      <color indexed="48"/>
      <name val="Calibri"/>
      <family val="2"/>
      <scheme val="minor"/>
    </font>
    <font>
      <b/>
      <i/>
      <sz val="12"/>
      <color indexed="48"/>
      <name val="Calibri"/>
      <family val="2"/>
      <scheme val="minor"/>
    </font>
    <font>
      <sz val="13"/>
      <color rgb="FFFF0000"/>
      <name val="Calibri"/>
      <family val="2"/>
      <scheme val="minor"/>
    </font>
    <font>
      <sz val="13"/>
      <color theme="1"/>
      <name val="Calibri"/>
      <family val="2"/>
      <scheme val="minor"/>
    </font>
    <font>
      <i/>
      <sz val="12"/>
      <name val="Calibri"/>
      <family val="2"/>
      <scheme val="minor"/>
    </font>
    <font>
      <b/>
      <sz val="12"/>
      <name val="Calibri"/>
      <family val="2"/>
      <scheme val="minor"/>
    </font>
    <font>
      <sz val="13"/>
      <color indexed="9"/>
      <name val="Calibri"/>
      <family val="2"/>
      <scheme val="minor"/>
    </font>
    <font>
      <sz val="12"/>
      <color theme="3" tint="-0.249977111117893"/>
      <name val="Segoe UI Semibold"/>
      <family val="2"/>
    </font>
    <font>
      <b/>
      <sz val="12"/>
      <color theme="0"/>
      <name val="Verdana"/>
      <family val="2"/>
    </font>
    <font>
      <b/>
      <sz val="12"/>
      <color rgb="FF2A63A8"/>
      <name val="Verdana"/>
      <family val="2"/>
    </font>
    <font>
      <sz val="11"/>
      <name val="Calibri"/>
      <family val="2"/>
      <scheme val="minor"/>
    </font>
    <font>
      <b/>
      <sz val="14"/>
      <color rgb="FF4D4D4D"/>
      <name val="Verdana"/>
      <family val="2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2A63A8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74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2" fillId="0" borderId="0" xfId="1" applyNumberFormat="1" applyFont="1" applyFill="1" applyBorder="1" applyAlignment="1">
      <alignment horizontal="right"/>
    </xf>
    <xf numFmtId="164" fontId="3" fillId="0" borderId="0" xfId="0" applyNumberFormat="1" applyFont="1"/>
    <xf numFmtId="164" fontId="4" fillId="0" borderId="0" xfId="0" applyNumberFormat="1" applyFont="1"/>
    <xf numFmtId="164" fontId="2" fillId="0" borderId="1" xfId="1" applyNumberFormat="1" applyFont="1" applyFill="1" applyBorder="1" applyAlignment="1">
      <alignment horizontal="right"/>
    </xf>
    <xf numFmtId="164" fontId="2" fillId="0" borderId="0" xfId="0" applyNumberFormat="1" applyFont="1"/>
    <xf numFmtId="166" fontId="5" fillId="0" borderId="2" xfId="1" applyNumberFormat="1" applyFont="1" applyFill="1" applyBorder="1" applyAlignment="1">
      <alignment horizontal="right"/>
    </xf>
    <xf numFmtId="166" fontId="5" fillId="0" borderId="3" xfId="1" applyNumberFormat="1" applyFont="1" applyFill="1" applyBorder="1" applyAlignment="1">
      <alignment horizontal="right"/>
    </xf>
    <xf numFmtId="166" fontId="5" fillId="0" borderId="4" xfId="1" applyNumberFormat="1" applyFont="1" applyFill="1" applyBorder="1" applyAlignment="1">
      <alignment horizontal="right"/>
    </xf>
    <xf numFmtId="164" fontId="3" fillId="0" borderId="5" xfId="0" applyNumberFormat="1" applyFont="1" applyBorder="1"/>
    <xf numFmtId="166" fontId="5" fillId="0" borderId="6" xfId="1" applyNumberFormat="1" applyFont="1" applyFill="1" applyBorder="1" applyAlignment="1">
      <alignment horizontal="right"/>
    </xf>
    <xf numFmtId="164" fontId="3" fillId="0" borderId="0" xfId="0" applyNumberFormat="1" applyFont="1" applyAlignment="1">
      <alignment horizontal="right"/>
    </xf>
    <xf numFmtId="166" fontId="5" fillId="2" borderId="7" xfId="1" applyNumberFormat="1" applyFont="1" applyFill="1" applyBorder="1" applyAlignment="1">
      <alignment horizontal="right"/>
    </xf>
    <xf numFmtId="166" fontId="5" fillId="2" borderId="8" xfId="1" applyNumberFormat="1" applyFont="1" applyFill="1" applyBorder="1" applyAlignment="1">
      <alignment horizontal="right"/>
    </xf>
    <xf numFmtId="166" fontId="5" fillId="2" borderId="9" xfId="1" applyNumberFormat="1" applyFont="1" applyFill="1" applyBorder="1" applyAlignment="1">
      <alignment horizontal="right"/>
    </xf>
    <xf numFmtId="164" fontId="3" fillId="2" borderId="0" xfId="0" applyNumberFormat="1" applyFont="1" applyFill="1" applyAlignment="1">
      <alignment horizontal="right"/>
    </xf>
    <xf numFmtId="164" fontId="3" fillId="2" borderId="5" xfId="0" applyNumberFormat="1" applyFont="1" applyFill="1" applyBorder="1" applyAlignment="1">
      <alignment horizontal="right"/>
    </xf>
    <xf numFmtId="164" fontId="6" fillId="0" borderId="0" xfId="0" applyNumberFormat="1" applyFont="1"/>
    <xf numFmtId="164" fontId="8" fillId="0" borderId="0" xfId="0" applyNumberFormat="1" applyFont="1"/>
    <xf numFmtId="166" fontId="5" fillId="0" borderId="11" xfId="1" applyNumberFormat="1" applyFont="1" applyFill="1" applyBorder="1" applyAlignment="1">
      <alignment horizontal="right"/>
    </xf>
    <xf numFmtId="166" fontId="5" fillId="0" borderId="12" xfId="1" applyNumberFormat="1" applyFont="1" applyFill="1" applyBorder="1" applyAlignment="1">
      <alignment horizontal="right"/>
    </xf>
    <xf numFmtId="166" fontId="5" fillId="0" borderId="13" xfId="1" applyNumberFormat="1" applyFont="1" applyFill="1" applyBorder="1" applyAlignment="1">
      <alignment horizontal="right"/>
    </xf>
    <xf numFmtId="166" fontId="5" fillId="0" borderId="15" xfId="1" applyNumberFormat="1" applyFont="1" applyFill="1" applyBorder="1" applyAlignment="1">
      <alignment horizontal="right"/>
    </xf>
    <xf numFmtId="166" fontId="5" fillId="0" borderId="16" xfId="1" applyNumberFormat="1" applyFont="1" applyFill="1" applyBorder="1" applyAlignment="1">
      <alignment horizontal="right"/>
    </xf>
    <xf numFmtId="166" fontId="5" fillId="0" borderId="17" xfId="1" applyNumberFormat="1" applyFont="1" applyFill="1" applyBorder="1" applyAlignment="1">
      <alignment horizontal="right"/>
    </xf>
    <xf numFmtId="164" fontId="6" fillId="3" borderId="0" xfId="0" applyNumberFormat="1" applyFont="1" applyFill="1"/>
    <xf numFmtId="164" fontId="11" fillId="3" borderId="0" xfId="0" applyNumberFormat="1" applyFont="1" applyFill="1"/>
    <xf numFmtId="164" fontId="11" fillId="0" borderId="0" xfId="0" applyNumberFormat="1" applyFont="1"/>
    <xf numFmtId="164" fontId="11" fillId="0" borderId="5" xfId="0" applyNumberFormat="1" applyFont="1" applyBorder="1"/>
    <xf numFmtId="166" fontId="9" fillId="3" borderId="18" xfId="1" applyNumberFormat="1" applyFont="1" applyFill="1" applyBorder="1" applyAlignment="1">
      <alignment horizontal="right"/>
    </xf>
    <xf numFmtId="166" fontId="5" fillId="3" borderId="18" xfId="1" applyNumberFormat="1" applyFont="1" applyFill="1" applyBorder="1" applyAlignment="1">
      <alignment horizontal="right"/>
    </xf>
    <xf numFmtId="166" fontId="5" fillId="0" borderId="19" xfId="1" applyNumberFormat="1" applyFont="1" applyFill="1" applyBorder="1" applyAlignment="1">
      <alignment horizontal="right"/>
    </xf>
    <xf numFmtId="166" fontId="7" fillId="0" borderId="0" xfId="0" applyNumberFormat="1" applyFont="1" applyAlignment="1">
      <alignment horizontal="right"/>
    </xf>
    <xf numFmtId="166" fontId="5" fillId="0" borderId="20" xfId="1" applyNumberFormat="1" applyFont="1" applyFill="1" applyBorder="1" applyAlignment="1">
      <alignment horizontal="right"/>
    </xf>
    <xf numFmtId="166" fontId="5" fillId="0" borderId="21" xfId="1" applyNumberFormat="1" applyFont="1" applyFill="1" applyBorder="1" applyAlignment="1">
      <alignment horizontal="right"/>
    </xf>
    <xf numFmtId="166" fontId="5" fillId="0" borderId="22" xfId="1" applyNumberFormat="1" applyFont="1" applyFill="1" applyBorder="1" applyAlignment="1">
      <alignment horizontal="right"/>
    </xf>
    <xf numFmtId="164" fontId="6" fillId="0" borderId="10" xfId="0" applyNumberFormat="1" applyFont="1" applyBorder="1"/>
    <xf numFmtId="166" fontId="5" fillId="0" borderId="23" xfId="1" applyNumberFormat="1" applyFont="1" applyFill="1" applyBorder="1" applyAlignment="1">
      <alignment horizontal="right"/>
    </xf>
    <xf numFmtId="166" fontId="5" fillId="0" borderId="24" xfId="1" applyNumberFormat="1" applyFont="1" applyFill="1" applyBorder="1" applyAlignment="1">
      <alignment horizontal="right"/>
    </xf>
    <xf numFmtId="166" fontId="5" fillId="0" borderId="24" xfId="0" applyNumberFormat="1" applyFont="1" applyBorder="1" applyAlignment="1">
      <alignment horizontal="right"/>
    </xf>
    <xf numFmtId="166" fontId="10" fillId="0" borderId="24" xfId="1" applyNumberFormat="1" applyFont="1" applyFill="1" applyBorder="1" applyAlignment="1">
      <alignment horizontal="right"/>
    </xf>
    <xf numFmtId="166" fontId="5" fillId="0" borderId="25" xfId="1" applyNumberFormat="1" applyFont="1" applyFill="1" applyBorder="1" applyAlignment="1">
      <alignment horizontal="right"/>
    </xf>
    <xf numFmtId="166" fontId="7" fillId="0" borderId="6" xfId="0" applyNumberFormat="1" applyFont="1" applyBorder="1" applyAlignment="1">
      <alignment horizontal="right"/>
    </xf>
    <xf numFmtId="164" fontId="8" fillId="0" borderId="10" xfId="0" applyNumberFormat="1" applyFont="1" applyBorder="1"/>
    <xf numFmtId="166" fontId="5" fillId="0" borderId="7" xfId="1" applyNumberFormat="1" applyFont="1" applyFill="1" applyBorder="1" applyAlignment="1">
      <alignment horizontal="right"/>
    </xf>
    <xf numFmtId="166" fontId="5" fillId="0" borderId="8" xfId="1" applyNumberFormat="1" applyFont="1" applyFill="1" applyBorder="1" applyAlignment="1">
      <alignment horizontal="right"/>
    </xf>
    <xf numFmtId="166" fontId="5" fillId="0" borderId="9" xfId="1" applyNumberFormat="1" applyFont="1" applyFill="1" applyBorder="1" applyAlignment="1">
      <alignment horizontal="right"/>
    </xf>
    <xf numFmtId="164" fontId="12" fillId="0" borderId="10" xfId="0" applyNumberFormat="1" applyFont="1" applyBorder="1"/>
    <xf numFmtId="164" fontId="12" fillId="0" borderId="0" xfId="0" applyNumberFormat="1" applyFont="1"/>
    <xf numFmtId="166" fontId="13" fillId="0" borderId="1" xfId="0" applyNumberFormat="1" applyFont="1" applyBorder="1" applyAlignment="1">
      <alignment horizontal="right"/>
    </xf>
    <xf numFmtId="166" fontId="5" fillId="0" borderId="14" xfId="1" applyNumberFormat="1" applyFont="1" applyBorder="1" applyAlignment="1">
      <alignment horizontal="right" vertical="center"/>
    </xf>
    <xf numFmtId="166" fontId="5" fillId="0" borderId="14" xfId="1" applyNumberFormat="1" applyFont="1" applyFill="1" applyBorder="1" applyAlignment="1">
      <alignment horizontal="right" vertical="center"/>
    </xf>
    <xf numFmtId="164" fontId="14" fillId="0" borderId="5" xfId="0" applyNumberFormat="1" applyFont="1" applyBorder="1" applyAlignment="1">
      <alignment horizontal="left" vertical="center"/>
    </xf>
    <xf numFmtId="164" fontId="15" fillId="4" borderId="14" xfId="0" applyNumberFormat="1" applyFont="1" applyFill="1" applyBorder="1" applyAlignment="1">
      <alignment horizontal="center" vertical="center"/>
    </xf>
    <xf numFmtId="164" fontId="16" fillId="4" borderId="5" xfId="0" applyNumberFormat="1" applyFont="1" applyFill="1" applyBorder="1" applyAlignment="1">
      <alignment horizontal="center" vertical="center"/>
    </xf>
    <xf numFmtId="164" fontId="15" fillId="4" borderId="5" xfId="0" applyNumberFormat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right"/>
    </xf>
    <xf numFmtId="44" fontId="0" fillId="0" borderId="0" xfId="2" applyFont="1"/>
    <xf numFmtId="14" fontId="0" fillId="0" borderId="0" xfId="2" applyNumberFormat="1" applyFont="1"/>
    <xf numFmtId="0" fontId="0" fillId="0" borderId="0" xfId="0" applyAlignment="1">
      <alignment horizontal="left"/>
    </xf>
    <xf numFmtId="14" fontId="0" fillId="0" borderId="0" xfId="0" applyNumberFormat="1"/>
    <xf numFmtId="0" fontId="1" fillId="0" borderId="0" xfId="0" applyFont="1" applyAlignment="1">
      <alignment horizontal="left"/>
    </xf>
    <xf numFmtId="0" fontId="1" fillId="0" borderId="0" xfId="0" applyFont="1"/>
    <xf numFmtId="0" fontId="0" fillId="0" borderId="0" xfId="0" applyNumberFormat="1" applyAlignment="1">
      <alignment horizontal="left"/>
    </xf>
    <xf numFmtId="14" fontId="1" fillId="0" borderId="0" xfId="0" applyNumberFormat="1" applyFont="1"/>
    <xf numFmtId="164" fontId="2" fillId="0" borderId="0" xfId="0" applyNumberFormat="1" applyFont="1" applyAlignment="1">
      <alignment horizontal="center" vertical="center"/>
    </xf>
    <xf numFmtId="44" fontId="1" fillId="0" borderId="0" xfId="2" applyFont="1"/>
    <xf numFmtId="164" fontId="18" fillId="0" borderId="0" xfId="0" applyNumberFormat="1" applyFont="1" applyAlignment="1">
      <alignment horizontal="center"/>
    </xf>
    <xf numFmtId="164" fontId="17" fillId="5" borderId="18" xfId="0" applyNumberFormat="1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19" fillId="6" borderId="0" xfId="0" applyFont="1" applyFill="1"/>
  </cellXfs>
  <cellStyles count="3">
    <cellStyle name="Euro" xfId="1"/>
    <cellStyle name="Monétaire 2" xfId="2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rgbClr val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r>
              <a:rPr lang="fr-FR" b="1">
                <a:solidFill>
                  <a:srgbClr val="000000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PLAN</a:t>
            </a:r>
            <a:r>
              <a:rPr lang="fr-FR" b="1" baseline="0">
                <a:solidFill>
                  <a:srgbClr val="000000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DE TRESORERIE</a:t>
            </a:r>
            <a:endParaRPr lang="fr-FR" b="1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rgbClr val="00000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1092317320409246E-2"/>
          <c:y val="0.13889680657471107"/>
          <c:w val="0.9414788758986955"/>
          <c:h val="0.7200774873762220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8.2542297565502674E-4"/>
                  <c:y val="6.44122056565074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"/>
                  <c:y val="-4.186793367672984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2.4762689269650501E-3"/>
                  <c:y val="-4.830915424238059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2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1.6508459513100535E-3"/>
                  <c:y val="-5.475037480803122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1.650845951309993E-3"/>
                  <c:y val="-2.898549254542841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4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2.4762689269650804E-3"/>
                  <c:y val="-3.542671311107915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-1.2106063792658408E-16"/>
                  <c:y val="6.763281593933270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6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-1.2106063792658408E-16"/>
                  <c:y val="7.729464678780895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7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layout>
                <c:manualLayout>
                  <c:x val="-1.6508459513100535E-3"/>
                  <c:y val="2.576488226260298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8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1"/>
              <c:layout>
                <c:manualLayout>
                  <c:x val="8.2542297565502674E-4"/>
                  <c:y val="9.983891876758656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9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2"/>
              <c:layout>
                <c:manualLayout>
                  <c:x val="0"/>
                  <c:y val="0.1384862421614910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A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rgbClr val="000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rgbClr val="FFFFFF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3"/>
              <c:pt idx="0">
                <c:v>N-1</c:v>
              </c:pt>
              <c:pt idx="1">
                <c:v>JANV.</c:v>
              </c:pt>
              <c:pt idx="2">
                <c:v>FEV.</c:v>
              </c:pt>
              <c:pt idx="3">
                <c:v>MARS</c:v>
              </c:pt>
              <c:pt idx="4">
                <c:v>AVRIL</c:v>
              </c:pt>
              <c:pt idx="5">
                <c:v>MAI</c:v>
              </c:pt>
              <c:pt idx="6">
                <c:v>JUIN</c:v>
              </c:pt>
              <c:pt idx="7">
                <c:v>JUIL.</c:v>
              </c:pt>
              <c:pt idx="8">
                <c:v>AOUT</c:v>
              </c:pt>
              <c:pt idx="9">
                <c:v>SEPT.</c:v>
              </c:pt>
              <c:pt idx="10">
                <c:v>OCT.</c:v>
              </c:pt>
              <c:pt idx="11">
                <c:v>NOV. </c:v>
              </c:pt>
              <c:pt idx="12">
                <c:v>DEC.</c:v>
              </c:pt>
            </c:strLit>
          </c:cat>
          <c:val>
            <c:numLit>
              <c:formatCode>General</c:formatCode>
              <c:ptCount val="13"/>
              <c:pt idx="0">
                <c:v>1658.56</c:v>
              </c:pt>
              <c:pt idx="1">
                <c:v>15051.960000000006</c:v>
              </c:pt>
              <c:pt idx="2">
                <c:v>20317.169999999991</c:v>
              </c:pt>
              <c:pt idx="3">
                <c:v>-6081.25</c:v>
              </c:pt>
              <c:pt idx="4">
                <c:v>-1030.4299999999967</c:v>
              </c:pt>
              <c:pt idx="5">
                <c:v>9655.9699999999957</c:v>
              </c:pt>
              <c:pt idx="6">
                <c:v>24259.86</c:v>
              </c:pt>
              <c:pt idx="7">
                <c:v>-335.26000000000204</c:v>
              </c:pt>
              <c:pt idx="8">
                <c:v>22036.05</c:v>
              </c:pt>
              <c:pt idx="9">
                <c:v>28393.11</c:v>
              </c:pt>
              <c:pt idx="10">
                <c:v>18733.52</c:v>
              </c:pt>
              <c:pt idx="11">
                <c:v>33543.089999999997</c:v>
              </c:pt>
              <c:pt idx="12">
                <c:v>39406.81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8302-4836-9413-7C4EB1550B88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 </c15:sqref>
                        </c15:formulaRef>
                      </c:ext>
                    </c:extLst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99592080"/>
        <c:axId val="1699593168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8"/>
            <c:spPr>
              <a:solidFill>
                <a:srgbClr val="7030A0"/>
              </a:solidFill>
              <a:ln w="9525">
                <a:noFill/>
              </a:ln>
              <a:effectLst/>
            </c:spPr>
          </c:marker>
          <c:dLbls>
            <c:dLbl>
              <c:idx val="2"/>
              <c:layout>
                <c:manualLayout>
                  <c:x val="-2.1460997367030697E-2"/>
                  <c:y val="5.79709850908567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separator>, </c:separator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C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9.0796527322052935E-3"/>
                  <c:y val="1.932366169695223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D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1.1555921659170375E-2"/>
                  <c:y val="1.610305141412686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E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-8.2542297565502674E-4"/>
                  <c:y val="-6.763281593933288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F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-2.2286420342685721E-2"/>
                  <c:y val="-7.729464678780895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10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>
                <c:manualLayout>
                  <c:x val="1.6508459513100535E-3"/>
                  <c:y val="-6.44122056565074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11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1"/>
              <c:layout>
                <c:manualLayout>
                  <c:x val="3.301691902620107E-3"/>
                  <c:y val="3.652966285326389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12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2"/>
              <c:layout>
                <c:manualLayout>
                  <c:x val="0"/>
                  <c:y val="4.870621713768518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13-8302-4836-9413-7C4EB1550B88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rgbClr val="00B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bg1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3"/>
              <c:pt idx="1">
                <c:v>16710.520000000008</c:v>
              </c:pt>
              <c:pt idx="2">
                <c:v>37027.69</c:v>
              </c:pt>
              <c:pt idx="3">
                <c:v>30946.440000000002</c:v>
              </c:pt>
              <c:pt idx="4">
                <c:v>29916.010000000006</c:v>
              </c:pt>
              <c:pt idx="5">
                <c:v>39571.980000000003</c:v>
              </c:pt>
              <c:pt idx="6">
                <c:v>63831.840000000004</c:v>
              </c:pt>
              <c:pt idx="7">
                <c:v>63496.58</c:v>
              </c:pt>
              <c:pt idx="8">
                <c:v>85532.63</c:v>
              </c:pt>
              <c:pt idx="9">
                <c:v>113925.74</c:v>
              </c:pt>
              <c:pt idx="10">
                <c:v>132659.26</c:v>
              </c:pt>
              <c:pt idx="11">
                <c:v>166202.35</c:v>
              </c:pt>
              <c:pt idx="12">
                <c:v>205609.16</c:v>
              </c:pt>
            </c:numLit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4-8302-4836-9413-7C4EB1550B88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 </c15:sqref>
                        </c15:formulaRef>
                      </c:ext>
                    </c:extLst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99592080"/>
        <c:axId val="1699593168"/>
      </c:lineChart>
      <c:catAx>
        <c:axId val="1699592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95000"/>
                    <a:lumOff val="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99593168"/>
        <c:crosses val="autoZero"/>
        <c:auto val="1"/>
        <c:lblAlgn val="ctr"/>
        <c:lblOffset val="100"/>
        <c:noMultiLvlLbl val="0"/>
      </c:catAx>
      <c:valAx>
        <c:axId val="1699593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rgbClr val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699592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3041648</xdr:colOff>
      <xdr:row>28</xdr:row>
      <xdr:rowOff>95248</xdr:rowOff>
    </xdr:from>
    <xdr:to>
      <xdr:col>15</xdr:col>
      <xdr:colOff>63499</xdr:colOff>
      <xdr:row>53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50EA248B-973D-4DCE-BFD4-DA1427A4F7A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097.467021180557" createdVersion="5" refreshedVersion="5" minRefreshableVersion="3" recordCount="27">
  <cacheSource type="worksheet">
    <worksheetSource name="Tableau1"/>
  </cacheSource>
  <cacheFields count="12">
    <cacheField name="Date" numFmtId="14">
      <sharedItems containsSemiMixedTypes="0" containsNonDate="0" containsDate="1" containsString="0" minDate="2020-01-02T00:00:00" maxDate="2020-07-16T00:00:00"/>
    </cacheField>
    <cacheField name="Journal" numFmtId="0">
      <sharedItems/>
    </cacheField>
    <cacheField name="Libelléducompte" numFmtId="0">
      <sharedItems/>
    </cacheField>
    <cacheField name="Compte" numFmtId="0">
      <sharedItems/>
    </cacheField>
    <cacheField name="Pièce" numFmtId="0">
      <sharedItems containsSemiMixedTypes="0" containsString="0" containsNumber="1" containsInteger="1" minValue="104" maxValue="721"/>
    </cacheField>
    <cacheField name="Contrepar." numFmtId="0">
      <sharedItems containsSemiMixedTypes="0" containsString="0" containsNumber="1" containsInteger="1" minValue="40960000" maxValue="60702500"/>
    </cacheField>
    <cacheField name="LibelléEntête" numFmtId="0">
      <sharedItems count="4">
        <s v="ENGIE"/>
        <s v="PASSIONFROID"/>
        <s v="EPISAVEURS"/>
        <s v="FRANCE BOISSONS"/>
      </sharedItems>
    </cacheField>
    <cacheField name="LibelléMouvement" numFmtId="0">
      <sharedItems/>
    </cacheField>
    <cacheField name="Débit" numFmtId="44">
      <sharedItems containsSemiMixedTypes="0" containsString="0" containsNumber="1" minValue="0" maxValue="42.57"/>
    </cacheField>
    <cacheField name="Crédit" numFmtId="44">
      <sharedItems containsSemiMixedTypes="0" containsString="0" containsNumber="1" minValue="0" maxValue="3174.37"/>
    </cacheField>
    <cacheField name="Échéance" numFmtId="14">
      <sharedItems containsSemiMixedTypes="0" containsNonDate="0" containsDate="1" containsString="0" minDate="2020-01-22T00:00:00" maxDate="2020-07-31T00:00:00" count="22">
        <d v="2020-01-29T00:00:00"/>
        <d v="2020-02-27T00:00:00"/>
        <d v="2020-03-30T00:00:00"/>
        <d v="2020-05-03T00:00:00"/>
        <d v="2020-05-28T00:00:00"/>
        <d v="2020-06-28T00:00:00"/>
        <d v="2020-07-30T00:00:00"/>
        <d v="2020-01-22T00:00:00"/>
        <d v="2020-01-27T00:00:00"/>
        <d v="2020-02-03T00:00:00"/>
        <d v="2020-02-05T00:00:00"/>
        <d v="2020-02-10T00:00:00"/>
        <d v="2020-02-12T00:00:00"/>
        <d v="2020-02-17T00:00:00"/>
        <d v="2020-02-19T00:00:00"/>
        <d v="2020-02-26T00:00:00"/>
        <d v="2020-03-04T00:00:00"/>
        <d v="2020-03-18T00:00:00"/>
        <d v="2020-03-25T00:00:00"/>
        <d v="2020-04-01T00:00:00"/>
        <d v="2020-03-12T00:00:00"/>
        <d v="2020-06-04T00:00:00"/>
      </sharedItems>
    </cacheField>
    <cacheField name="Ville" numFmtId="0">
      <sharedItems count="2">
        <s v="Paris"/>
        <s v="Doua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d v="2020-01-14T00:00:00"/>
    <s v="AC"/>
    <s v="ENGIE"/>
    <s v="401ENGIE"/>
    <n v="133"/>
    <n v="60612000"/>
    <x v="0"/>
    <s v="ELECTRICITE"/>
    <n v="0"/>
    <n v="2844.61"/>
    <x v="0"/>
    <x v="0"/>
  </r>
  <r>
    <d v="2020-02-12T00:00:00"/>
    <s v="AC"/>
    <s v="ENGIE"/>
    <s v="401ENGIE"/>
    <n v="210"/>
    <n v="60612000"/>
    <x v="0"/>
    <s v="ELECTRICITE"/>
    <n v="0"/>
    <n v="3174.37"/>
    <x v="1"/>
    <x v="0"/>
  </r>
  <r>
    <d v="2020-03-15T00:00:00"/>
    <s v="AC"/>
    <s v="ENGIE"/>
    <s v="401ENGIE"/>
    <n v="307"/>
    <n v="60612000"/>
    <x v="0"/>
    <s v="ELECTRICITE"/>
    <n v="0"/>
    <n v="2647.26"/>
    <x v="2"/>
    <x v="0"/>
  </r>
  <r>
    <d v="2020-04-18T00:00:00"/>
    <s v="AC"/>
    <s v="ENGIE"/>
    <s v="401ENGIE"/>
    <n v="408"/>
    <n v="60612000"/>
    <x v="0"/>
    <s v="ELECTRICITE"/>
    <n v="0"/>
    <n v="823.99"/>
    <x v="3"/>
    <x v="0"/>
  </r>
  <r>
    <d v="2020-05-13T00:00:00"/>
    <s v="AC"/>
    <s v="ENGIE"/>
    <s v="401ENGIE"/>
    <n v="514"/>
    <n v="60612000"/>
    <x v="0"/>
    <s v="ELECTRICITE"/>
    <n v="0"/>
    <n v="783.58"/>
    <x v="4"/>
    <x v="0"/>
  </r>
  <r>
    <d v="2020-06-13T00:00:00"/>
    <s v="AC"/>
    <s v="ENGIE"/>
    <s v="401ENGIE"/>
    <n v="612"/>
    <n v="60614000"/>
    <x v="0"/>
    <s v="ELECTRICITE"/>
    <n v="0"/>
    <n v="1233.9100000000001"/>
    <x v="5"/>
    <x v="0"/>
  </r>
  <r>
    <d v="2020-07-15T00:00:00"/>
    <s v="AC"/>
    <s v="ENGIE                         "/>
    <s v="401ENGIE  "/>
    <n v="721"/>
    <n v="60614000"/>
    <x v="0"/>
    <s v="ELECTRICITE"/>
    <n v="0"/>
    <n v="1614.5"/>
    <x v="6"/>
    <x v="0"/>
  </r>
  <r>
    <d v="2020-01-02T00:00:00"/>
    <s v="AC"/>
    <s v="Passionfroid"/>
    <s v="401PASFROI"/>
    <n v="105"/>
    <n v="60700000"/>
    <x v="1"/>
    <s v="ACHATSMARCHANDISES"/>
    <n v="0"/>
    <n v="561.61"/>
    <x v="7"/>
    <x v="0"/>
  </r>
  <r>
    <d v="2020-01-07T00:00:00"/>
    <s v="AC"/>
    <s v="Passionfroid"/>
    <s v="401PASFROI"/>
    <n v="108"/>
    <n v="60700000"/>
    <x v="1"/>
    <s v="ACHATSMARCHANDISES"/>
    <n v="0"/>
    <n v="819.31"/>
    <x v="8"/>
    <x v="0"/>
  </r>
  <r>
    <d v="2020-01-09T00:00:00"/>
    <s v="AC"/>
    <s v="Passionfroid"/>
    <s v="401PASFROI"/>
    <n v="109"/>
    <n v="60700000"/>
    <x v="1"/>
    <s v="ACHATSMARCHANDISES"/>
    <n v="0"/>
    <n v="542.14"/>
    <x v="0"/>
    <x v="0"/>
  </r>
  <r>
    <d v="2020-01-14T00:00:00"/>
    <s v="AC"/>
    <s v="Passionfroid"/>
    <s v="401PASFROI"/>
    <n v="107"/>
    <n v="60700000"/>
    <x v="1"/>
    <s v="ACHATSMARCHANDISES"/>
    <n v="0"/>
    <n v="756.54"/>
    <x v="9"/>
    <x v="0"/>
  </r>
  <r>
    <d v="2020-01-16T00:00:00"/>
    <s v="AC"/>
    <s v="Passionfroid"/>
    <s v="401PASFROI"/>
    <n v="106"/>
    <n v="60700000"/>
    <x v="1"/>
    <s v="ACHATSMARCHANDISES"/>
    <n v="0"/>
    <n v="434.84"/>
    <x v="10"/>
    <x v="0"/>
  </r>
  <r>
    <d v="2020-01-21T00:00:00"/>
    <s v="AC"/>
    <s v="Passionfroid"/>
    <s v="401PASFROI"/>
    <n v="110"/>
    <n v="60700000"/>
    <x v="1"/>
    <s v="ACHATSMARCHANDISES"/>
    <n v="0"/>
    <n v="548.54999999999995"/>
    <x v="11"/>
    <x v="0"/>
  </r>
  <r>
    <d v="2020-01-23T00:00:00"/>
    <s v="AC"/>
    <s v="Passionfroid"/>
    <s v="401PASFROI"/>
    <n v="104"/>
    <n v="60700000"/>
    <x v="1"/>
    <s v="ACHATSMARCHANDISES"/>
    <n v="42.57"/>
    <n v="0"/>
    <x v="12"/>
    <x v="0"/>
  </r>
  <r>
    <d v="2020-01-23T00:00:00"/>
    <s v="AC"/>
    <s v="Passionfroid"/>
    <s v="401PASFROI"/>
    <n v="111"/>
    <n v="60700000"/>
    <x v="1"/>
    <s v="ACHATSMARCHANDISES"/>
    <n v="0"/>
    <n v="628.19000000000005"/>
    <x v="12"/>
    <x v="0"/>
  </r>
  <r>
    <d v="2020-01-28T00:00:00"/>
    <s v="AC"/>
    <s v="Passionfroid"/>
    <s v="401PASFROI"/>
    <n v="112"/>
    <n v="60700000"/>
    <x v="1"/>
    <s v="ACHATSMARCHANDISES"/>
    <n v="0"/>
    <n v="506.42"/>
    <x v="13"/>
    <x v="0"/>
  </r>
  <r>
    <d v="2020-01-30T00:00:00"/>
    <s v="AC"/>
    <s v="Passionfroid"/>
    <s v="401PASFROI"/>
    <n v="113"/>
    <n v="60700000"/>
    <x v="1"/>
    <s v="ACHATSMARCHANDISES"/>
    <n v="0"/>
    <n v="607.75"/>
    <x v="14"/>
    <x v="0"/>
  </r>
  <r>
    <d v="2020-01-08T00:00:00"/>
    <s v="AC"/>
    <s v="EPISAVEURS                    "/>
    <s v="401EPI    "/>
    <n v="126"/>
    <n v="60680000"/>
    <x v="2"/>
    <s v="Achats nourriture 5.5%        "/>
    <n v="0"/>
    <n v="629.24"/>
    <x v="12"/>
    <x v="1"/>
  </r>
  <r>
    <d v="2020-01-15T00:00:00"/>
    <s v="AC"/>
    <s v="EPISAVEURS                    "/>
    <s v="401EPI    "/>
    <n v="118"/>
    <n v="60680000"/>
    <x v="2"/>
    <s v="Achats nourriture 5.5%        "/>
    <n v="0"/>
    <n v="452.88"/>
    <x v="14"/>
    <x v="1"/>
  </r>
  <r>
    <d v="2020-01-22T00:00:00"/>
    <s v="AC"/>
    <s v="EPISAVEURS                    "/>
    <s v="401EPI    "/>
    <n v="121"/>
    <n v="60680000"/>
    <x v="2"/>
    <s v="Achats nourriture 5.5%        "/>
    <n v="0"/>
    <n v="393.36"/>
    <x v="15"/>
    <x v="1"/>
  </r>
  <r>
    <d v="2020-01-29T00:00:00"/>
    <s v="AC"/>
    <s v="EPISAVEURS                    "/>
    <s v="401EPI    "/>
    <n v="106"/>
    <n v="60680000"/>
    <x v="2"/>
    <s v="Achats nourriture 5.5%        "/>
    <n v="0"/>
    <n v="416.45"/>
    <x v="16"/>
    <x v="1"/>
  </r>
  <r>
    <d v="2020-02-12T00:00:00"/>
    <s v="AC"/>
    <s v="EPISAVEURS                    "/>
    <s v="401EPI    "/>
    <n v="219"/>
    <n v="60680000"/>
    <x v="2"/>
    <s v="Achats nourriture 5.5%        "/>
    <n v="0"/>
    <n v="620.35"/>
    <x v="17"/>
    <x v="1"/>
  </r>
  <r>
    <d v="2020-02-19T00:00:00"/>
    <s v="AC"/>
    <s v="EPISAVEURS                    "/>
    <s v="401EPI    "/>
    <n v="235"/>
    <n v="60680000"/>
    <x v="2"/>
    <s v="Achats nourriture 5.5%        "/>
    <n v="0"/>
    <n v="728.31"/>
    <x v="18"/>
    <x v="1"/>
  </r>
  <r>
    <d v="2020-02-26T00:00:00"/>
    <s v="AC"/>
    <s v="EPISAVEURS                    "/>
    <s v="401EPI    "/>
    <n v="237"/>
    <n v="60680000"/>
    <x v="2"/>
    <s v="Achats nourriture 5.5%        "/>
    <n v="0"/>
    <n v="547.25"/>
    <x v="19"/>
    <x v="1"/>
  </r>
  <r>
    <d v="2020-02-12T00:00:00"/>
    <s v="AC"/>
    <s v="france boissons               "/>
    <s v="401FRBO   "/>
    <n v="210"/>
    <n v="60680000"/>
    <x v="3"/>
    <s v="Achats boissons 5.5 %         "/>
    <n v="0"/>
    <n v="1513.51"/>
    <x v="1"/>
    <x v="1"/>
  </r>
  <r>
    <d v="2020-02-26T00:00:00"/>
    <s v="AC"/>
    <s v="france boissons               "/>
    <s v="401FRBO   "/>
    <n v="238"/>
    <n v="40960000"/>
    <x v="3"/>
    <s v="Achats boissons 5.5 %         "/>
    <n v="0"/>
    <n v="1331.81"/>
    <x v="20"/>
    <x v="1"/>
  </r>
  <r>
    <d v="2020-05-20T00:00:00"/>
    <s v="AC"/>
    <s v="france boissons               "/>
    <s v="401FRBO   "/>
    <n v="512"/>
    <n v="60702500"/>
    <x v="3"/>
    <s v="france boissons               "/>
    <n v="0"/>
    <n v="1086.3499999999999"/>
    <x v="2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D23" firstHeaderRow="1" firstDataRow="2" firstDataCol="2" rowPageCount="1" colPageCount="1"/>
  <pivotFields count="12">
    <pivotField compact="0" numFmtId="1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5">
        <item x="0"/>
        <item x="2"/>
        <item x="3"/>
        <item x="1"/>
        <item t="default"/>
      </items>
    </pivotField>
    <pivotField compact="0" outline="0" showAll="0"/>
    <pivotField dataField="1" compact="0" numFmtId="44" outline="0" showAll="0"/>
    <pivotField dataField="1" compact="0" numFmtId="44" outline="0" showAll="0"/>
    <pivotField axis="axisRow" compact="0" numFmtId="14" outline="0" showAll="0">
      <items count="23">
        <item x="7"/>
        <item x="8"/>
        <item x="0"/>
        <item x="9"/>
        <item x="10"/>
        <item x="11"/>
        <item x="12"/>
        <item x="13"/>
        <item x="14"/>
        <item x="15"/>
        <item x="1"/>
        <item x="16"/>
        <item x="20"/>
        <item x="17"/>
        <item x="18"/>
        <item x="2"/>
        <item x="19"/>
        <item x="3"/>
        <item x="4"/>
        <item x="21"/>
        <item x="5"/>
        <item x="6"/>
        <item t="default"/>
      </items>
    </pivotField>
    <pivotField axis="axisPage" compact="0" outline="0" showAll="0">
      <items count="3">
        <item x="1"/>
        <item x="0"/>
        <item t="default"/>
      </items>
    </pivotField>
  </pivotFields>
  <rowFields count="2">
    <field x="6"/>
    <field x="10"/>
  </rowFields>
  <rowItems count="19">
    <i>
      <x/>
      <x v="2"/>
    </i>
    <i r="1">
      <x v="10"/>
    </i>
    <i r="1">
      <x v="15"/>
    </i>
    <i r="1">
      <x v="17"/>
    </i>
    <i r="1">
      <x v="18"/>
    </i>
    <i r="1">
      <x v="20"/>
    </i>
    <i r="1">
      <x v="21"/>
    </i>
    <i t="default">
      <x/>
    </i>
    <i>
      <x v="3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default"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11" item="1" hier="-1"/>
  </pageFields>
  <dataFields count="2">
    <dataField name="Somme de Débit" fld="8" baseField="0" baseItem="0"/>
    <dataField name="Somme de Crédit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L28" totalsRowShown="0">
  <autoFilter ref="A1:L28"/>
  <sortState ref="A2:K7">
    <sortCondition ref="K1:K7"/>
  </sortState>
  <tableColumns count="12">
    <tableColumn id="5" name="Date" dataDxfId="6"/>
    <tableColumn id="3" name="Journal" dataDxfId="5"/>
    <tableColumn id="2" name="Libelléducompte" dataDxfId="4"/>
    <tableColumn id="1" name="Compte"/>
    <tableColumn id="4" name="Pièce"/>
    <tableColumn id="6" name="Contrepar."/>
    <tableColumn id="7" name="LibelléEntête" dataDxfId="3"/>
    <tableColumn id="8" name="LibelléMouvement" dataDxfId="2"/>
    <tableColumn id="9" name="Débit"/>
    <tableColumn id="10" name="Crédit" dataDxfId="1" dataCellStyle="Monétaire 2"/>
    <tableColumn id="12" name="Échéance" dataDxfId="0">
      <calculatedColumnFormula>IF(VLOOKUP(G2,DATA,3,0)=0,A2+VLOOKUP(G2,DATA,4,0),EOMONTH(A2,VLOOKUP(G2,DATA,3,0))+VLOOKUP(G2,DATA,4,0))</calculatedColumnFormula>
    </tableColumn>
    <tableColumn id="11" name="Vill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opLeftCell="A10" zoomScaleNormal="100" workbookViewId="0">
      <selection activeCell="B6" sqref="B6"/>
    </sheetView>
  </sheetViews>
  <sheetFormatPr baseColWidth="10" defaultRowHeight="12.75" x14ac:dyDescent="0.2"/>
  <cols>
    <col min="1" max="1" width="1.85546875" style="1" customWidth="1"/>
    <col min="2" max="2" width="45.7109375" style="1" customWidth="1"/>
    <col min="3" max="3" width="17.140625" style="1" customWidth="1"/>
    <col min="4" max="15" width="17.7109375" style="2" customWidth="1"/>
    <col min="16" max="16" width="11.42578125" style="1"/>
    <col min="17" max="17" width="14.28515625" style="1" bestFit="1" customWidth="1"/>
    <col min="18" max="16384" width="11.42578125" style="1"/>
  </cols>
  <sheetData>
    <row r="1" spans="1:15" x14ac:dyDescent="0.2">
      <c r="A1" s="5"/>
      <c r="B1" s="5"/>
      <c r="C1" s="5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</row>
    <row r="2" spans="1:15" ht="25.5" customHeight="1" x14ac:dyDescent="0.2">
      <c r="A2" s="5"/>
      <c r="B2" s="67" t="s">
        <v>61</v>
      </c>
      <c r="C2" s="5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</row>
    <row r="3" spans="1:15" ht="18" x14ac:dyDescent="0.25">
      <c r="A3" s="5"/>
      <c r="B3" s="69" t="s">
        <v>58</v>
      </c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</row>
    <row r="4" spans="1:15" ht="15" x14ac:dyDescent="0.25">
      <c r="A4" s="5"/>
      <c r="B4" s="5"/>
      <c r="C4" s="5"/>
      <c r="D4" s="70" t="s">
        <v>35</v>
      </c>
      <c r="E4" s="70"/>
      <c r="F4" s="70"/>
      <c r="G4" s="70"/>
      <c r="H4" s="70"/>
      <c r="I4" s="70"/>
      <c r="J4" s="70"/>
      <c r="K4" s="70"/>
      <c r="L4" s="70"/>
      <c r="M4" s="70"/>
      <c r="N4" s="70"/>
      <c r="O4" s="70"/>
    </row>
    <row r="5" spans="1:15" ht="20.25" customHeight="1" x14ac:dyDescent="0.2">
      <c r="A5" s="5"/>
      <c r="B5" s="57" t="s">
        <v>34</v>
      </c>
      <c r="C5" s="56" t="s">
        <v>33</v>
      </c>
      <c r="D5" s="55" t="s">
        <v>32</v>
      </c>
      <c r="E5" s="55" t="s">
        <v>31</v>
      </c>
      <c r="F5" s="55" t="s">
        <v>30</v>
      </c>
      <c r="G5" s="55" t="s">
        <v>29</v>
      </c>
      <c r="H5" s="55" t="s">
        <v>28</v>
      </c>
      <c r="I5" s="55" t="s">
        <v>27</v>
      </c>
      <c r="J5" s="55" t="s">
        <v>26</v>
      </c>
      <c r="K5" s="55" t="s">
        <v>25</v>
      </c>
      <c r="L5" s="55" t="s">
        <v>24</v>
      </c>
      <c r="M5" s="55" t="s">
        <v>23</v>
      </c>
      <c r="N5" s="55" t="s">
        <v>22</v>
      </c>
      <c r="O5" s="55" t="s">
        <v>21</v>
      </c>
    </row>
    <row r="6" spans="1:15" ht="22.5" customHeight="1" x14ac:dyDescent="0.2">
      <c r="A6" s="5"/>
      <c r="B6" s="54" t="s">
        <v>20</v>
      </c>
      <c r="C6" s="54"/>
      <c r="D6" s="53">
        <v>1658.56</v>
      </c>
      <c r="E6" s="52">
        <f t="shared" ref="E6:O6" si="0">+D27</f>
        <v>46017.700000000004</v>
      </c>
      <c r="F6" s="52">
        <f t="shared" si="0"/>
        <v>93102.1</v>
      </c>
      <c r="G6" s="52">
        <f t="shared" si="0"/>
        <v>109318.57</v>
      </c>
      <c r="H6" s="52">
        <f t="shared" si="0"/>
        <v>130467.16</v>
      </c>
      <c r="I6" s="52">
        <f t="shared" si="0"/>
        <v>148638.72</v>
      </c>
      <c r="J6" s="52">
        <f t="shared" si="0"/>
        <v>187828.64</v>
      </c>
      <c r="K6" s="52">
        <f t="shared" si="0"/>
        <v>237167.85</v>
      </c>
      <c r="L6" s="52">
        <f t="shared" si="0"/>
        <v>237167.85</v>
      </c>
      <c r="M6" s="52">
        <f t="shared" si="0"/>
        <v>237167.85</v>
      </c>
      <c r="N6" s="52">
        <f t="shared" si="0"/>
        <v>237167.85</v>
      </c>
      <c r="O6" s="52">
        <f t="shared" si="0"/>
        <v>237167.85</v>
      </c>
    </row>
    <row r="7" spans="1:15" ht="18" thickBot="1" x14ac:dyDescent="0.35">
      <c r="A7" s="5"/>
      <c r="B7" s="20" t="s">
        <v>19</v>
      </c>
      <c r="C7" s="20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</row>
    <row r="8" spans="1:15" ht="18" thickBot="1" x14ac:dyDescent="0.35">
      <c r="A8" s="5"/>
      <c r="B8" s="50" t="s">
        <v>18</v>
      </c>
      <c r="C8" s="49"/>
      <c r="D8" s="48">
        <v>47285.65</v>
      </c>
      <c r="E8" s="47">
        <v>55490.42</v>
      </c>
      <c r="F8" s="47">
        <v>20905.38</v>
      </c>
      <c r="G8" s="47">
        <v>1460</v>
      </c>
      <c r="H8" s="47">
        <v>17450.509999999998</v>
      </c>
      <c r="I8" s="47">
        <v>39662.07</v>
      </c>
      <c r="J8" s="47">
        <v>49606.1</v>
      </c>
      <c r="K8" s="47"/>
      <c r="L8" s="47"/>
      <c r="M8" s="47"/>
      <c r="N8" s="47"/>
      <c r="O8" s="46"/>
    </row>
    <row r="9" spans="1:15" ht="18" thickBot="1" x14ac:dyDescent="0.35">
      <c r="A9" s="5"/>
      <c r="B9" s="50" t="s">
        <v>17</v>
      </c>
      <c r="C9" s="49"/>
      <c r="D9" s="48">
        <v>1841.16</v>
      </c>
      <c r="E9" s="47">
        <v>1239.6300000000001</v>
      </c>
      <c r="F9" s="47">
        <v>1055.27</v>
      </c>
      <c r="G9" s="47">
        <v>235.84</v>
      </c>
      <c r="H9" s="47">
        <v>2328.62</v>
      </c>
      <c r="I9" s="47">
        <v>1848.11</v>
      </c>
      <c r="J9" s="47">
        <v>1347.61</v>
      </c>
      <c r="K9" s="47"/>
      <c r="L9" s="47"/>
      <c r="M9" s="47"/>
      <c r="N9" s="47"/>
      <c r="O9" s="46"/>
    </row>
    <row r="10" spans="1:15" ht="17.25" x14ac:dyDescent="0.3">
      <c r="A10" s="5"/>
      <c r="B10" s="20" t="s">
        <v>16</v>
      </c>
      <c r="C10" s="45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</row>
    <row r="11" spans="1:15" ht="17.25" x14ac:dyDescent="0.3">
      <c r="A11" s="5"/>
      <c r="B11" s="19" t="s">
        <v>15</v>
      </c>
      <c r="C11" s="38"/>
      <c r="D11" s="43"/>
      <c r="E11" s="40"/>
      <c r="F11" s="40"/>
      <c r="G11" s="40"/>
      <c r="H11" s="40"/>
      <c r="I11" s="42"/>
      <c r="J11" s="41"/>
      <c r="K11" s="40"/>
      <c r="L11" s="40"/>
      <c r="M11" s="40"/>
      <c r="N11" s="40"/>
      <c r="O11" s="39"/>
    </row>
    <row r="12" spans="1:15" ht="17.25" x14ac:dyDescent="0.3">
      <c r="A12" s="5"/>
      <c r="B12" s="19" t="s">
        <v>14</v>
      </c>
      <c r="C12" s="38"/>
      <c r="D12" s="37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5"/>
    </row>
    <row r="13" spans="1:15" ht="17.25" x14ac:dyDescent="0.3">
      <c r="A13" s="5"/>
      <c r="B13" s="19" t="s">
        <v>13</v>
      </c>
      <c r="C13" s="38"/>
      <c r="D13" s="37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5"/>
    </row>
    <row r="14" spans="1:15" ht="18" thickBot="1" x14ac:dyDescent="0.35">
      <c r="A14" s="5"/>
      <c r="B14" s="19" t="s">
        <v>12</v>
      </c>
      <c r="C14" s="19"/>
      <c r="D14" s="37"/>
      <c r="E14" s="36"/>
      <c r="F14" s="36"/>
      <c r="G14" s="36">
        <v>20000</v>
      </c>
      <c r="H14" s="36"/>
      <c r="I14" s="36"/>
      <c r="J14" s="36"/>
      <c r="K14" s="36"/>
      <c r="L14" s="36"/>
      <c r="M14" s="36"/>
      <c r="N14" s="36"/>
      <c r="O14" s="35"/>
    </row>
    <row r="15" spans="1:15" ht="18" thickBot="1" x14ac:dyDescent="0.35">
      <c r="A15" s="5"/>
      <c r="B15" s="18" t="s">
        <v>11</v>
      </c>
      <c r="C15" s="17"/>
      <c r="D15" s="16">
        <f t="shared" ref="D15:O15" si="1">SUM(D8:D14)</f>
        <v>49126.810000000005</v>
      </c>
      <c r="E15" s="15">
        <f t="shared" si="1"/>
        <v>56730.049999999996</v>
      </c>
      <c r="F15" s="15">
        <f t="shared" si="1"/>
        <v>21960.65</v>
      </c>
      <c r="G15" s="15">
        <f t="shared" si="1"/>
        <v>21695.84</v>
      </c>
      <c r="H15" s="15">
        <f t="shared" si="1"/>
        <v>19779.129999999997</v>
      </c>
      <c r="I15" s="15">
        <f t="shared" si="1"/>
        <v>41510.18</v>
      </c>
      <c r="J15" s="15">
        <f t="shared" si="1"/>
        <v>50953.71</v>
      </c>
      <c r="K15" s="15">
        <f t="shared" si="1"/>
        <v>0</v>
      </c>
      <c r="L15" s="15">
        <f t="shared" si="1"/>
        <v>0</v>
      </c>
      <c r="M15" s="15">
        <f t="shared" si="1"/>
        <v>0</v>
      </c>
      <c r="N15" s="15">
        <f t="shared" si="1"/>
        <v>0</v>
      </c>
      <c r="O15" s="14">
        <f t="shared" si="1"/>
        <v>0</v>
      </c>
    </row>
    <row r="16" spans="1:15" ht="17.25" x14ac:dyDescent="0.3">
      <c r="A16" s="5"/>
      <c r="B16" s="20" t="s">
        <v>10</v>
      </c>
      <c r="C16" s="20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</row>
    <row r="17" spans="1:15" ht="17.25" x14ac:dyDescent="0.3">
      <c r="A17" s="5"/>
      <c r="B17" s="28" t="s">
        <v>9</v>
      </c>
      <c r="C17" s="27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1"/>
    </row>
    <row r="18" spans="1:15" ht="17.25" x14ac:dyDescent="0.3">
      <c r="A18" s="5"/>
      <c r="B18" s="30" t="s">
        <v>8</v>
      </c>
      <c r="C18" s="29"/>
      <c r="D18" s="26">
        <f>SUMIFS(Tableau1[Crédit],Tableau1[LibelléEntête],"episaveurs",Tableau1[Échéance],"&gt;=01/01/2020",Tableau1[Échéance],"&lt;=31/01/2020")</f>
        <v>0</v>
      </c>
      <c r="E18" s="33">
        <f>SUMIFS(Tableau1[Crédit],Tableau1[LibelléEntête],"episaveurs",Tableau1[Échéance],"&gt;=01/02/2020",Tableau1[Échéance],"&lt;=29/02/2020")</f>
        <v>1475.48</v>
      </c>
      <c r="F18" s="25">
        <f>SUMIFS(Tableau1[Crédit],Tableau1[LibelléEntête],"episaveurs",Tableau1[Échéance],"&gt;=01/03/2020",Tableau1[Échéance],"&lt;=31/03/2020")</f>
        <v>1765.11</v>
      </c>
      <c r="G18" s="25">
        <f>SUMIFS(Tableau1[Crédit],Tableau1[LibelléEntête],"episaveurs",Tableau1[Échéance],"&gt;=01/04/2020",Tableau1[Échéance],"&lt;=30/04/2020")</f>
        <v>547.25</v>
      </c>
      <c r="H18" s="25">
        <f>SUMIFS(Tableau1[Crédit],Tableau1[LibelléEntête],"episaveurs",Tableau1[Échéance],"&gt;=01/05/2020",Tableau1[Échéance],"&lt;=31/05/2020")</f>
        <v>0</v>
      </c>
      <c r="I18" s="25">
        <f>SUMIFS(Tableau1[Crédit],Tableau1[LibelléEntête],"episaveurs",Tableau1[Échéance],"&gt;=01/06/2020",Tableau1[Échéance],"&lt;=30/06/2020")</f>
        <v>0</v>
      </c>
      <c r="J18" s="25">
        <f>SUMIFS(Tableau1[Crédit],Tableau1[LibelléEntête],"episaveurs",Tableau1[Échéance],"&gt;=01/07/2020",Tableau1[Échéance],"&lt;=31/07/2020")</f>
        <v>0</v>
      </c>
      <c r="K18" s="25">
        <f>SUMIFS(Tableau1[Crédit],Tableau1[LibelléEntête],"EPISAVEURS",Tableau1[Échéance],"&gt;=01/08/2020",Tableau1[Échéance],"&lt;=31/08/2020")</f>
        <v>0</v>
      </c>
      <c r="L18" s="25">
        <f>SUMIFS(Tableau1[Crédit],Tableau1[LibelléEntête],"episaveurs",Tableau1[Échéance],"&gt;=01/09/2020",Tableau1[Échéance],"&lt;=30/09/2020")</f>
        <v>0</v>
      </c>
      <c r="M18" s="25">
        <f>SUMIFS(Tableau1[Crédit],Tableau1[LibelléEntête],"episaveurs",Tableau1[Échéance],"&gt;=01/10/2020",Tableau1[Échéance],"&lt;=31/10/2020")</f>
        <v>0</v>
      </c>
      <c r="N18" s="25">
        <f>SUMIFS(Tableau1[Crédit],Tableau1[LibelléEntête],"episaveurs",Tableau1[Échéance],"&gt;=01/11/2020",Tableau1[Échéance],"&lt;=30/11/2020")</f>
        <v>0</v>
      </c>
      <c r="O18" s="24">
        <f>SUMIFS(Tableau1[Crédit],Tableau1[LibelléEntête],"EPISAVEURS",Tableau1[Échéance],"&gt;=01/12/2020",Tableau1[Échéance],"&lt;=31/12/2020")</f>
        <v>0</v>
      </c>
    </row>
    <row r="19" spans="1:15" ht="17.25" x14ac:dyDescent="0.3">
      <c r="A19" s="5"/>
      <c r="B19" s="30" t="s">
        <v>7</v>
      </c>
      <c r="C19" s="29"/>
      <c r="D19" s="23">
        <f>SUMIFS(Tableau1[Crédit],Tableau1[LibelléEntête],"PASSIONFROID",Tableau1[Échéance],"&gt;=01/01/2020",Tableau1[Échéance],"&lt;=31/01/2020")</f>
        <v>1923.06</v>
      </c>
      <c r="E19" s="22">
        <f>SUMIFS(Tableau1[Crédit],Tableau1[LibelléEntête],"PASSIONFROID",Tableau1[Échéance],"&gt;=01/02/2020",Tableau1[Échéance],"&lt;=29/02/2020")</f>
        <v>3482.29</v>
      </c>
      <c r="F19" s="22">
        <f>SUMIFS(Tableau1[Crédit],Tableau1[LibelléEntête],"PASSIONFROID",Tableau1[Échéance],"&gt;=01/03/2020",Tableau1[Échéance],"&lt;=31/03/2020")</f>
        <v>0</v>
      </c>
      <c r="G19" s="22">
        <f>SUMIFS(Tableau1[Crédit],Tableau1[LibelléEntête],"PASSIONFROID",Tableau1[Échéance],"&gt;=01/04/2020",Tableau1[Échéance],"&lt;=30/04/2020")</f>
        <v>0</v>
      </c>
      <c r="H19" s="22">
        <f>SUMIFS(Tableau1[Crédit],Tableau1[LibelléEntête],"PASSIONFROID",Tableau1[Échéance],"&gt;=01/05/2020",Tableau1[Échéance],"&lt;=31/05/2020")</f>
        <v>0</v>
      </c>
      <c r="I19" s="22">
        <f>SUMIFS(Tableau1[Crédit],Tableau1[LibelléEntête],"PASSIONFROID",Tableau1[Échéance],"&gt;=01/06/2020",Tableau1[Échéance],"&lt;=30/06/2020")</f>
        <v>0</v>
      </c>
      <c r="J19" s="22">
        <f>SUMIFS(Tableau1[Crédit],Tableau1[LibelléEntête],"PASSIONFROID",Tableau1[Échéance],"&gt;=01/07/2020",Tableau1[Échéance],"&lt;=31/07/2020")</f>
        <v>0</v>
      </c>
      <c r="K19" s="22">
        <f>SUMIFS(Tableau1[Crédit],Tableau1[LibelléEntête],"PASSIONFROID",Tableau1[Échéance],"&gt;=01/08/2020",Tableau1[Échéance],"&lt;=31/08/2020")</f>
        <v>0</v>
      </c>
      <c r="L19" s="22">
        <f>SUMIFS(Tableau1[Crédit],Tableau1[LibelléEntête],"Passionfroid",Tableau1[Échéance],"&gt;=01/09/2020",Tableau1[Échéance],"&lt;=30/09/2020")</f>
        <v>0</v>
      </c>
      <c r="M19" s="22">
        <f>SUMIFS(Tableau1[Crédit],Tableau1[LibelléEntête],"Passionfroid",Tableau1[Échéance],"&gt;=01/10/2020",Tableau1[Échéance],"&lt;=31/10/2020")</f>
        <v>0</v>
      </c>
      <c r="N19" s="22">
        <f>SUMIFS(Tableau1[Crédit],Tableau1[LibelléEntête],"Passionfroid",Tableau1[Échéance],"&gt;=01/11/2020",Tableau1[Échéance],"&lt;=30/11/2020")</f>
        <v>0</v>
      </c>
      <c r="O19" s="21">
        <f>SUMIFS(Tableau1[Crédit],Tableau1[LibelléEntête],"Passionfroid",Tableau1[Échéance],"&gt;=01/12/2020",Tableau1[Échéance],"&lt;=31/12/2020")</f>
        <v>0</v>
      </c>
    </row>
    <row r="20" spans="1:15" ht="17.25" x14ac:dyDescent="0.3">
      <c r="A20" s="5"/>
      <c r="B20" s="30" t="s">
        <v>6</v>
      </c>
      <c r="C20" s="29"/>
      <c r="D20" s="23">
        <f>SUMIFS(Tableau1[Crédit],Tableau1[LibelléEntête],"France boissons",Tableau1[Échéance],"&gt;=01/01/2020",Tableau1[Échéance],"&lt;=31/01/2020")</f>
        <v>0</v>
      </c>
      <c r="E20" s="22">
        <f>SUMIFS(Tableau1[Crédit],Tableau1[LibelléEntête],"France boissons",Tableau1[Échéance],"&gt;=01/02/2020",Tableau1[Échéance],"&lt;=29/02/2020")</f>
        <v>1513.51</v>
      </c>
      <c r="F20" s="22">
        <f>SUMIFS(Tableau1[Crédit],Tableau1[LibelléEntête],"France boissons",Tableau1[Échéance],"&gt;=01/03/2020",Tableau1[Échéance],"&lt;=31/03/2020")</f>
        <v>1331.81</v>
      </c>
      <c r="G20" s="22">
        <f>SUMIFS(Tableau1[Crédit],Tableau1[LibelléEntête],"France boissons",Tableau1[Échéance],"&gt;=01/04/2020",Tableau1[Échéance],"&lt;=30/04/2020")</f>
        <v>0</v>
      </c>
      <c r="H20" s="22">
        <f>SUMIFS(Tableau1[Crédit],Tableau1[LibelléEntête],"France boissons",Tableau1[Échéance],"&gt;=01/05/2020",Tableau1[Échéance],"&lt;=31/05/2020")</f>
        <v>0</v>
      </c>
      <c r="I20" s="22">
        <f>SUMIFS(Tableau1[Crédit],Tableau1[LibelléEntête],"France boissons",Tableau1[Échéance],"&gt;=01/06/2020",Tableau1[Échéance],"&lt;=30/06/2020")</f>
        <v>1086.3499999999999</v>
      </c>
      <c r="J20" s="22">
        <f>SUMIFS(Tableau1[Crédit],Tableau1[LibelléEntête],"France boissons",Tableau1[Échéance],"&gt;=01/07/2020",Tableau1[Échéance],"&lt;=31/07/2020")</f>
        <v>0</v>
      </c>
      <c r="K20" s="22">
        <f>SUMIFS(Tableau1[Crédit],Tableau1[LibelléEntête],"France boissons",Tableau1[Échéance],"&gt;=01/08/2020",Tableau1[Échéance],"&lt;=31/08/2020")</f>
        <v>0</v>
      </c>
      <c r="L20" s="22">
        <f>SUMIFS(Tableau1[Crédit],Tableau1[LibelléEntête],"France boissons",Tableau1[Échéance],"&gt;=01/09/2020",Tableau1[Échéance],"&lt;=30/09/2020")</f>
        <v>0</v>
      </c>
      <c r="M20" s="22">
        <f>SUMIFS(Tableau1[Crédit],Tableau1[LibelléEntête],"France boissons",Tableau1[Échéance],"&gt;=01/10/2020",Tableau1[Échéance],"&lt;=31/10/2020")</f>
        <v>0</v>
      </c>
      <c r="N20" s="22">
        <f>SUMIFS(Tableau1[Crédit],Tableau1[LibelléEntête],"France boissons",Tableau1[Échéance],"&gt;=01/11/2020",Tableau1[Échéance],"&lt;=30/11/2020")</f>
        <v>0</v>
      </c>
      <c r="O20" s="21">
        <f>SUMIFS(Tableau1[Crédit],Tableau1[LibelléEntête],"France boissons",Tableau1[Échéance],"&gt;=01/12/2020",Tableau1[Échéance],"&lt;=31/12/2020")</f>
        <v>0</v>
      </c>
    </row>
    <row r="21" spans="1:15" ht="17.25" x14ac:dyDescent="0.3">
      <c r="A21" s="5"/>
      <c r="B21" s="30" t="s">
        <v>5</v>
      </c>
      <c r="C21" s="29"/>
      <c r="D21" s="23">
        <f>SUMIFS(Tableau1[Crédit],Tableau1[LibelléEntête],"METRO",Tableau1[Échéance],"&gt;=01/01/2020",Tableau1[Échéance],"&lt;=31/01/2020")</f>
        <v>0</v>
      </c>
      <c r="E21" s="22">
        <f>SUMIFS(Tableau1[Crédit],Tableau1[LibelléEntête],"metro",Tableau1[Échéance],"&gt;=01/02/2020",Tableau1[Échéance],"&lt;=29/02/2020")</f>
        <v>0</v>
      </c>
      <c r="F21" s="22">
        <f>SUMIFS(Tableau1[Crédit],Tableau1[LibelléEntête],"metro",Tableau1[Échéance],"&gt;=01/03/2020",Tableau1[Échéance],"&lt;=31/03/2020")</f>
        <v>0</v>
      </c>
      <c r="G21" s="22">
        <f>SUMIFS(Tableau1[Crédit],Tableau1[LibelléEntête],"metro",Tableau1[Échéance],"&gt;=01/04/2020",Tableau1[Échéance],"&lt;=30/04/2020")</f>
        <v>0</v>
      </c>
      <c r="H21" s="22">
        <f>SUMIFS(Tableau1[Crédit],Tableau1[LibelléEntête],"metro",Tableau1[Échéance],"&gt;=01/05/2020",Tableau1[Échéance],"&lt;=31/05/2020")</f>
        <v>0</v>
      </c>
      <c r="I21" s="22">
        <f>SUMIFS(Tableau1[Crédit],Tableau1[LibelléEntête],"metro",Tableau1[Échéance],"&gt;=01/06/2020",Tableau1[Échéance],"&lt;=30/06/2020")</f>
        <v>0</v>
      </c>
      <c r="J21" s="22">
        <f>SUMIFS(Tableau1[Crédit],Tableau1[LibelléEntête],"metro",Tableau1[Échéance],"&gt;=01/07/2020",Tableau1[Échéance],"&lt;=31/07/2020")</f>
        <v>0</v>
      </c>
      <c r="K21" s="22">
        <f>SUMIFS(Tableau1[Crédit],Tableau1[LibelléEntête],"METRO",Tableau1[Échéance],"&gt;=01/08/2020",Tableau1[Échéance],"&lt;=31/08/2020")</f>
        <v>0</v>
      </c>
      <c r="L21" s="22">
        <f>SUMIFS(Tableau1[Crédit],Tableau1[LibelléEntête],"Metro",Tableau1[Échéance],"&gt;=01/09/2020",Tableau1[Échéance],"&lt;=30/09/2020")</f>
        <v>0</v>
      </c>
      <c r="M21" s="22">
        <f>SUMIFS(Tableau1[Crédit],Tableau1[LibelléEntête],"Metro",Tableau1[Échéance],"&gt;=01/10/2020",Tableau1[Échéance],"&lt;=31/10/2020")</f>
        <v>0</v>
      </c>
      <c r="N21" s="22">
        <f>SUMIFS(Tableau1[Crédit],Tableau1[LibelléEntête],"Metro",Tableau1[Échéance],"&gt;=01/11/2020",Tableau1[Échéance],"&lt;=30/11/2020")</f>
        <v>0</v>
      </c>
      <c r="O21" s="21">
        <f>SUMIFS(Tableau1[Crédit],Tableau1[LibelléEntête],"Metro",Tableau1[Échéance],"&gt;=01/12/2020",Tableau1[Échéance],"&lt;=31/12/2020")</f>
        <v>0</v>
      </c>
    </row>
    <row r="22" spans="1:15" ht="17.25" x14ac:dyDescent="0.3">
      <c r="A22" s="5"/>
      <c r="B22" s="30" t="s">
        <v>4</v>
      </c>
      <c r="C22" s="29"/>
      <c r="D22" s="23">
        <f>SUMIFS(Tableau1[Crédit],Tableau1[LibelléEntête],"engie",Tableau1[Échéance],"&gt;=01/01/2020",Tableau1[Échéance],"&lt;=31/01/2020")</f>
        <v>2844.61</v>
      </c>
      <c r="E22" s="22">
        <f>SUMIFS(Tableau1[Crédit],Tableau1[LibelléEntête],"engie",Tableau1[Échéance],"&gt;=01/02/2020",Tableau1[Échéance],"&lt;=29/02/2020")</f>
        <v>3174.37</v>
      </c>
      <c r="F22" s="22">
        <f>SUMIFS(Tableau1[Crédit],Tableau1[LibelléEntête],"engie",Tableau1[Échéance],"&gt;=01/03/2020",Tableau1[Échéance],"&lt;=31/03/2020")</f>
        <v>2647.26</v>
      </c>
      <c r="G22" s="22">
        <f>SUMIFS(Tableau1[Crédit],Tableau1[LibelléEntête],"engie",Tableau1[Échéance],"&gt;=01/04/2020",Tableau1[Échéance],"&lt;=30/04/2020")</f>
        <v>0</v>
      </c>
      <c r="H22" s="22">
        <f>SUMIFS(Tableau1[Crédit],Tableau1[LibelléEntête],"engie",Tableau1[Échéance],"&gt;=01/05/2020",Tableau1[Échéance],"&lt;=31/05/2020")</f>
        <v>1607.5700000000002</v>
      </c>
      <c r="I22" s="22">
        <f>SUMIFS(Tableau1[Crédit],Tableau1[LibelléEntête],"engie",Tableau1[Échéance],"&gt;=01/06/2020",Tableau1[Échéance],"&lt;=30/06/2020")</f>
        <v>1233.9100000000001</v>
      </c>
      <c r="J22" s="22">
        <f>SUMIFS(Tableau1[Crédit],Tableau1[LibelléEntête],"engie",Tableau1[Échéance],"&gt;=01/07/2020",Tableau1[Échéance],"&lt;=31/07/2020")</f>
        <v>1614.5</v>
      </c>
      <c r="K22" s="22">
        <f>SUMIFS(Tableau1[Crédit],Tableau1[LibelléEntête],"ENGIE",Tableau1[Échéance],"&gt;=01/08/2020",Tableau1[Échéance],"&lt;=31/08/2020")</f>
        <v>0</v>
      </c>
      <c r="L22" s="22">
        <f>SUMIFS(Tableau1[Crédit],Tableau1[LibelléEntête],"ENGIE",Tableau1[Échéance],"&gt;=01/09/2020",Tableau1[Échéance],"&lt;=30/09/2020")</f>
        <v>0</v>
      </c>
      <c r="M22" s="22">
        <f>SUMIFS(Tableau1[Crédit],Tableau1[LibelléEntête],"ENGIE",Tableau1[Échéance],"&gt;=01/10/2020",Tableau1[Échéance],"&lt;=31/10/2020")</f>
        <v>0</v>
      </c>
      <c r="N22" s="22">
        <f>SUMIFS(Tableau1[Crédit],Tableau1[LibelléEntête],"ENGIE",Tableau1[Échéance],"&gt;=01/11/2020",Tableau1[Échéance],"&lt;=30/11/2020")</f>
        <v>0</v>
      </c>
      <c r="O22" s="21">
        <f>SUMIFS(Tableau1[Crédit],Tableau1[LibelléEntête],"ENGIE",Tableau1[Échéance],"&gt;=01/12/2020",Tableau1[Échéance],"&lt;=31/12/2020")</f>
        <v>0</v>
      </c>
    </row>
    <row r="23" spans="1:15" ht="18" thickBot="1" x14ac:dyDescent="0.35">
      <c r="A23" s="5"/>
      <c r="B23" s="30" t="s">
        <v>3</v>
      </c>
      <c r="C23" s="29"/>
      <c r="D23" s="23">
        <f>SUMIFS(Tableau1[Crédit],Tableau1[LibelléEntête],"edna",Tableau1[Échéance],"&gt;=01/01/2020",Tableau1[Échéance],"&lt;=31/01/2020")</f>
        <v>0</v>
      </c>
      <c r="E23" s="22">
        <f>SUMIFS(Tableau1[Crédit],Tableau1[LibelléEntête],"CAFE CANTON",Tableau1[Échéance],"&gt;=01/02/2020",Tableau1[Échéance],"&lt;=29/02/2020")</f>
        <v>0</v>
      </c>
      <c r="F23" s="22">
        <f>SUMIFS(Tableau1[Crédit],Tableau1[LibelléEntête],"edna",Tableau1[Échéance],"&gt;=01/03/2020",Tableau1[Échéance],"&lt;=31/03/2020")</f>
        <v>0</v>
      </c>
      <c r="G23" s="22">
        <f>SUMIFS(Tableau1[Crédit],Tableau1[LibelléEntête],"edna",Tableau1[Échéance],"&gt;=01/04/2020",Tableau1[Échéance],"&lt;=30/04/2020")</f>
        <v>0</v>
      </c>
      <c r="H23" s="22">
        <f>SUMIFS(Tableau1[Crédit],Tableau1[LibelléEntête],"edna",Tableau1[Échéance],"&gt;=01/05/2020",Tableau1[Échéance],"&lt;=31/05/2020")</f>
        <v>0</v>
      </c>
      <c r="I23" s="22">
        <f>SUMIFS(Tableau1[Crédit],Tableau1[LibelléEntête],"edna",Tableau1[Échéance],"&gt;=01/06/2020",Tableau1[Échéance],"&lt;=30/06/2020")</f>
        <v>0</v>
      </c>
      <c r="J23" s="22">
        <f>SUMIFS(Tableau1[Crédit],Tableau1[LibelléEntête],"edna",Tableau1[Échéance],"&gt;=01/07/2020",Tableau1[Échéance],"&lt;=31/07/2020")</f>
        <v>0</v>
      </c>
      <c r="K23" s="22">
        <f>SUMIFS(Tableau1[Crédit],Tableau1[LibelléEntête],"EDNA",Tableau1[Échéance],"&gt;=01/08/2020",Tableau1[Échéance],"&lt;=31/08/2020")</f>
        <v>0</v>
      </c>
      <c r="L23" s="22">
        <f>SUMIFS(Tableau1[Crédit],Tableau1[LibelléEntête],"edna",Tableau1[Échéance],"&gt;=01/09/2020",Tableau1[Échéance],"&lt;=30/09/2020")</f>
        <v>0</v>
      </c>
      <c r="M23" s="22">
        <f>SUMIFS(Tableau1[Crédit],Tableau1[LibelléEntête],"edna",Tableau1[Échéance],"&gt;=01/10/2020",Tableau1[Échéance],"&lt;=31/10/2020")</f>
        <v>0</v>
      </c>
      <c r="N23" s="22">
        <f>SUMIFS(Tableau1[Crédit],Tableau1[LibelléEntête],"edna",Tableau1[Échéance],"&gt;=01/11/2020",Tableau1[Échéance],"&lt;=30/11/2020")</f>
        <v>0</v>
      </c>
      <c r="O23" s="21">
        <f>SUMIFS(Tableau1[Crédit],Tableau1[LibelléEntête],"edna",Tableau1[Échéance],"&gt;=01/12/2020",Tableau1[Échéance],"&lt;=31/12/2020")</f>
        <v>0</v>
      </c>
    </row>
    <row r="24" spans="1:15" ht="18" thickBot="1" x14ac:dyDescent="0.35">
      <c r="A24" s="5"/>
      <c r="B24" s="18" t="s">
        <v>2</v>
      </c>
      <c r="C24" s="17"/>
      <c r="D24" s="16">
        <f t="shared" ref="D24:O24" si="2">SUM(D17:D23)</f>
        <v>4767.67</v>
      </c>
      <c r="E24" s="15">
        <f t="shared" si="2"/>
        <v>9645.6500000000015</v>
      </c>
      <c r="F24" s="15">
        <f t="shared" si="2"/>
        <v>5744.18</v>
      </c>
      <c r="G24" s="15">
        <f t="shared" si="2"/>
        <v>547.25</v>
      </c>
      <c r="H24" s="15">
        <f t="shared" si="2"/>
        <v>1607.5700000000002</v>
      </c>
      <c r="I24" s="15">
        <f t="shared" si="2"/>
        <v>2320.2600000000002</v>
      </c>
      <c r="J24" s="15">
        <f t="shared" si="2"/>
        <v>1614.5</v>
      </c>
      <c r="K24" s="15">
        <f t="shared" si="2"/>
        <v>0</v>
      </c>
      <c r="L24" s="15">
        <f t="shared" si="2"/>
        <v>0</v>
      </c>
      <c r="M24" s="15">
        <f t="shared" si="2"/>
        <v>0</v>
      </c>
      <c r="N24" s="15">
        <f t="shared" si="2"/>
        <v>0</v>
      </c>
      <c r="O24" s="14">
        <f t="shared" si="2"/>
        <v>0</v>
      </c>
    </row>
    <row r="25" spans="1:15" ht="17.25" x14ac:dyDescent="0.3">
      <c r="A25" s="5"/>
      <c r="B25" s="13"/>
      <c r="C25" s="13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</row>
    <row r="26" spans="1:15" ht="17.25" x14ac:dyDescent="0.3">
      <c r="A26" s="5"/>
      <c r="B26" s="11" t="s">
        <v>1</v>
      </c>
      <c r="C26" s="4">
        <f>D6</f>
        <v>1658.56</v>
      </c>
      <c r="D26" s="10">
        <f t="shared" ref="D26:O26" si="3">SUM(D15-D24)</f>
        <v>44359.140000000007</v>
      </c>
      <c r="E26" s="9">
        <f t="shared" si="3"/>
        <v>47084.399999999994</v>
      </c>
      <c r="F26" s="9">
        <f t="shared" si="3"/>
        <v>16216.470000000001</v>
      </c>
      <c r="G26" s="9">
        <f t="shared" si="3"/>
        <v>21148.59</v>
      </c>
      <c r="H26" s="9">
        <f t="shared" si="3"/>
        <v>18171.559999999998</v>
      </c>
      <c r="I26" s="9">
        <f t="shared" si="3"/>
        <v>39189.919999999998</v>
      </c>
      <c r="J26" s="9">
        <f t="shared" si="3"/>
        <v>49339.21</v>
      </c>
      <c r="K26" s="9">
        <f t="shared" si="3"/>
        <v>0</v>
      </c>
      <c r="L26" s="9">
        <f t="shared" si="3"/>
        <v>0</v>
      </c>
      <c r="M26" s="9">
        <f t="shared" si="3"/>
        <v>0</v>
      </c>
      <c r="N26" s="9">
        <f t="shared" si="3"/>
        <v>0</v>
      </c>
      <c r="O26" s="8">
        <f t="shared" si="3"/>
        <v>0</v>
      </c>
    </row>
    <row r="27" spans="1:15" ht="17.25" x14ac:dyDescent="0.3">
      <c r="A27" s="5"/>
      <c r="B27" s="11" t="s">
        <v>0</v>
      </c>
      <c r="C27" s="4"/>
      <c r="D27" s="10">
        <f t="shared" ref="D27:O27" si="4">SUM(D6+D26)</f>
        <v>46017.700000000004</v>
      </c>
      <c r="E27" s="9">
        <f t="shared" si="4"/>
        <v>93102.1</v>
      </c>
      <c r="F27" s="9">
        <f t="shared" si="4"/>
        <v>109318.57</v>
      </c>
      <c r="G27" s="9">
        <f t="shared" si="4"/>
        <v>130467.16</v>
      </c>
      <c r="H27" s="9">
        <f t="shared" si="4"/>
        <v>148638.72</v>
      </c>
      <c r="I27" s="9">
        <f t="shared" si="4"/>
        <v>187828.64</v>
      </c>
      <c r="J27" s="9">
        <f t="shared" si="4"/>
        <v>237167.85</v>
      </c>
      <c r="K27" s="9">
        <f t="shared" si="4"/>
        <v>237167.85</v>
      </c>
      <c r="L27" s="9">
        <f t="shared" si="4"/>
        <v>237167.85</v>
      </c>
      <c r="M27" s="9">
        <f t="shared" si="4"/>
        <v>237167.85</v>
      </c>
      <c r="N27" s="9">
        <f t="shared" si="4"/>
        <v>237167.85</v>
      </c>
      <c r="O27" s="8">
        <f t="shared" si="4"/>
        <v>237167.85</v>
      </c>
    </row>
    <row r="28" spans="1:15" ht="15" x14ac:dyDescent="0.2">
      <c r="A28" s="5"/>
      <c r="B28" s="7"/>
      <c r="C28" s="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</row>
    <row r="29" spans="1:15" ht="15" x14ac:dyDescent="0.2">
      <c r="A29" s="5"/>
      <c r="B29" s="4"/>
      <c r="C29" s="4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</row>
  </sheetData>
  <mergeCells count="2">
    <mergeCell ref="B3:O3"/>
    <mergeCell ref="D4:O4"/>
  </mergeCells>
  <dataValidations count="1">
    <dataValidation type="list" allowBlank="1" showInputMessage="1" showErrorMessage="1" sqref="B2">
      <formula1>Ville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1C986E07-C402-4F96-A510-AC11AB42509A}">
            <x14:iconSet iconSet="3Triangles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</x14:iconSet>
          </x14:cfRule>
          <xm:sqref>D6:O6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abSelected="1" workbookViewId="0">
      <selection activeCell="B28" sqref="B28"/>
    </sheetView>
  </sheetViews>
  <sheetFormatPr baseColWidth="10" defaultRowHeight="12.75" x14ac:dyDescent="0.2"/>
  <cols>
    <col min="1" max="1" width="21.140625" customWidth="1"/>
    <col min="2" max="2" width="27.28515625" customWidth="1"/>
    <col min="3" max="3" width="21" customWidth="1"/>
    <col min="4" max="4" width="19.7109375" customWidth="1"/>
  </cols>
  <sheetData>
    <row r="1" spans="1:4" x14ac:dyDescent="0.2">
      <c r="A1" s="73" t="s">
        <v>59</v>
      </c>
      <c r="B1" s="73" t="s">
        <v>61</v>
      </c>
    </row>
    <row r="3" spans="1:4" x14ac:dyDescent="0.2">
      <c r="C3" s="71" t="s">
        <v>83</v>
      </c>
    </row>
    <row r="4" spans="1:4" x14ac:dyDescent="0.2">
      <c r="A4" s="71" t="s">
        <v>46</v>
      </c>
      <c r="B4" s="71" t="s">
        <v>42</v>
      </c>
      <c r="C4" t="s">
        <v>84</v>
      </c>
      <c r="D4" t="s">
        <v>82</v>
      </c>
    </row>
    <row r="5" spans="1:4" x14ac:dyDescent="0.2">
      <c r="A5" t="s">
        <v>37</v>
      </c>
      <c r="B5" s="62">
        <v>43859</v>
      </c>
      <c r="C5" s="72">
        <v>0</v>
      </c>
      <c r="D5" s="72">
        <v>2844.61</v>
      </c>
    </row>
    <row r="6" spans="1:4" x14ac:dyDescent="0.2">
      <c r="B6" s="62">
        <v>43888</v>
      </c>
      <c r="C6" s="72">
        <v>0</v>
      </c>
      <c r="D6" s="72">
        <v>3174.37</v>
      </c>
    </row>
    <row r="7" spans="1:4" x14ac:dyDescent="0.2">
      <c r="B7" s="62">
        <v>43920</v>
      </c>
      <c r="C7" s="72">
        <v>0</v>
      </c>
      <c r="D7" s="72">
        <v>2647.26</v>
      </c>
    </row>
    <row r="8" spans="1:4" x14ac:dyDescent="0.2">
      <c r="B8" s="62">
        <v>43954</v>
      </c>
      <c r="C8" s="72">
        <v>0</v>
      </c>
      <c r="D8" s="72">
        <v>823.99</v>
      </c>
    </row>
    <row r="9" spans="1:4" x14ac:dyDescent="0.2">
      <c r="B9" s="62">
        <v>43979</v>
      </c>
      <c r="C9" s="72">
        <v>0</v>
      </c>
      <c r="D9" s="72">
        <v>783.58</v>
      </c>
    </row>
    <row r="10" spans="1:4" x14ac:dyDescent="0.2">
      <c r="B10" s="62">
        <v>44010</v>
      </c>
      <c r="C10" s="72">
        <v>0</v>
      </c>
      <c r="D10" s="72">
        <v>1233.9100000000001</v>
      </c>
    </row>
    <row r="11" spans="1:4" x14ac:dyDescent="0.2">
      <c r="B11" s="62">
        <v>44042</v>
      </c>
      <c r="C11" s="72">
        <v>0</v>
      </c>
      <c r="D11" s="72">
        <v>1614.5</v>
      </c>
    </row>
    <row r="12" spans="1:4" x14ac:dyDescent="0.2">
      <c r="A12" t="s">
        <v>80</v>
      </c>
      <c r="C12" s="72">
        <v>0</v>
      </c>
      <c r="D12" s="72">
        <v>13122.22</v>
      </c>
    </row>
    <row r="13" spans="1:4" x14ac:dyDescent="0.2">
      <c r="A13" t="s">
        <v>65</v>
      </c>
      <c r="B13" s="62">
        <v>43852</v>
      </c>
      <c r="C13" s="72">
        <v>0</v>
      </c>
      <c r="D13" s="72">
        <v>561.61</v>
      </c>
    </row>
    <row r="14" spans="1:4" x14ac:dyDescent="0.2">
      <c r="B14" s="62">
        <v>43857</v>
      </c>
      <c r="C14" s="72">
        <v>0</v>
      </c>
      <c r="D14" s="72">
        <v>819.31</v>
      </c>
    </row>
    <row r="15" spans="1:4" x14ac:dyDescent="0.2">
      <c r="B15" s="62">
        <v>43859</v>
      </c>
      <c r="C15" s="72">
        <v>0</v>
      </c>
      <c r="D15" s="72">
        <v>542.14</v>
      </c>
    </row>
    <row r="16" spans="1:4" x14ac:dyDescent="0.2">
      <c r="B16" s="62">
        <v>43864</v>
      </c>
      <c r="C16" s="72">
        <v>0</v>
      </c>
      <c r="D16" s="72">
        <v>756.54</v>
      </c>
    </row>
    <row r="17" spans="1:4" x14ac:dyDescent="0.2">
      <c r="B17" s="62">
        <v>43866</v>
      </c>
      <c r="C17" s="72">
        <v>0</v>
      </c>
      <c r="D17" s="72">
        <v>434.84</v>
      </c>
    </row>
    <row r="18" spans="1:4" x14ac:dyDescent="0.2">
      <c r="B18" s="62">
        <v>43871</v>
      </c>
      <c r="C18" s="72">
        <v>0</v>
      </c>
      <c r="D18" s="72">
        <v>548.54999999999995</v>
      </c>
    </row>
    <row r="19" spans="1:4" x14ac:dyDescent="0.2">
      <c r="B19" s="62">
        <v>43873</v>
      </c>
      <c r="C19" s="72">
        <v>42.57</v>
      </c>
      <c r="D19" s="72">
        <v>628.19000000000005</v>
      </c>
    </row>
    <row r="20" spans="1:4" x14ac:dyDescent="0.2">
      <c r="B20" s="62">
        <v>43878</v>
      </c>
      <c r="C20" s="72">
        <v>0</v>
      </c>
      <c r="D20" s="72">
        <v>506.42</v>
      </c>
    </row>
    <row r="21" spans="1:4" x14ac:dyDescent="0.2">
      <c r="B21" s="62">
        <v>43880</v>
      </c>
      <c r="C21" s="72">
        <v>0</v>
      </c>
      <c r="D21" s="72">
        <v>607.75</v>
      </c>
    </row>
    <row r="22" spans="1:4" x14ac:dyDescent="0.2">
      <c r="A22" t="s">
        <v>81</v>
      </c>
      <c r="C22" s="72">
        <v>42.57</v>
      </c>
      <c r="D22" s="72">
        <v>5405.35</v>
      </c>
    </row>
    <row r="23" spans="1:4" x14ac:dyDescent="0.2">
      <c r="A23" t="s">
        <v>79</v>
      </c>
      <c r="C23" s="72">
        <v>42.57</v>
      </c>
      <c r="D23" s="72">
        <v>18527.569999999996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M31"/>
  <sheetViews>
    <sheetView showGridLines="0" workbookViewId="0">
      <pane xSplit="1" topLeftCell="B1" activePane="topRight" state="frozen"/>
      <selection pane="topRight" activeCell="A2" sqref="A2"/>
    </sheetView>
  </sheetViews>
  <sheetFormatPr baseColWidth="10" defaultRowHeight="12.75" x14ac:dyDescent="0.2"/>
  <cols>
    <col min="3" max="3" width="30.42578125" bestFit="1" customWidth="1"/>
    <col min="4" max="4" width="12.5703125" customWidth="1"/>
    <col min="6" max="6" width="12.85546875" bestFit="1" customWidth="1"/>
    <col min="7" max="7" width="27.5703125" bestFit="1" customWidth="1"/>
    <col min="8" max="8" width="37.28515625" bestFit="1" customWidth="1"/>
    <col min="9" max="9" width="12.7109375" customWidth="1"/>
    <col min="10" max="10" width="27.5703125" bestFit="1" customWidth="1"/>
    <col min="11" max="11" width="27.5703125" customWidth="1"/>
    <col min="13" max="14" width="11.85546875" bestFit="1" customWidth="1"/>
  </cols>
  <sheetData>
    <row r="1" spans="1:12" x14ac:dyDescent="0.2">
      <c r="A1" t="s">
        <v>52</v>
      </c>
      <c r="B1" t="s">
        <v>51</v>
      </c>
      <c r="C1" t="s">
        <v>50</v>
      </c>
      <c r="D1" t="s">
        <v>49</v>
      </c>
      <c r="E1" t="s">
        <v>48</v>
      </c>
      <c r="F1" t="s">
        <v>47</v>
      </c>
      <c r="G1" t="s">
        <v>46</v>
      </c>
      <c r="H1" t="s">
        <v>45</v>
      </c>
      <c r="I1" t="s">
        <v>44</v>
      </c>
      <c r="J1" t="s">
        <v>43</v>
      </c>
      <c r="K1" s="64" t="s">
        <v>42</v>
      </c>
      <c r="L1" s="64" t="s">
        <v>59</v>
      </c>
    </row>
    <row r="2" spans="1:12" x14ac:dyDescent="0.2">
      <c r="A2" s="62">
        <v>43844</v>
      </c>
      <c r="B2" s="62" t="s">
        <v>39</v>
      </c>
      <c r="C2" s="63" t="s">
        <v>37</v>
      </c>
      <c r="D2" t="s">
        <v>40</v>
      </c>
      <c r="E2">
        <v>133</v>
      </c>
      <c r="F2">
        <v>60612000</v>
      </c>
      <c r="G2" s="61" t="s">
        <v>37</v>
      </c>
      <c r="H2" s="61" t="s">
        <v>41</v>
      </c>
      <c r="I2" s="59">
        <v>0</v>
      </c>
      <c r="J2" s="59">
        <v>2844.61</v>
      </c>
      <c r="K2" s="60">
        <f t="shared" ref="K2:K28" si="0">IF(VLOOKUP(G2,DATA,3,0)=0,A2+VLOOKUP(G2,DATA,4,0),EOMONTH(A2,VLOOKUP(G2,DATA,3,0))+VLOOKUP(G2,DATA,4,0))</f>
        <v>43859</v>
      </c>
      <c r="L2" s="64" t="s">
        <v>61</v>
      </c>
    </row>
    <row r="3" spans="1:12" x14ac:dyDescent="0.2">
      <c r="A3" s="62">
        <v>43873</v>
      </c>
      <c r="B3" s="62" t="s">
        <v>39</v>
      </c>
      <c r="C3" s="61" t="s">
        <v>37</v>
      </c>
      <c r="D3" t="s">
        <v>40</v>
      </c>
      <c r="E3">
        <v>210</v>
      </c>
      <c r="F3">
        <v>60612000</v>
      </c>
      <c r="G3" s="61" t="s">
        <v>37</v>
      </c>
      <c r="H3" s="61" t="s">
        <v>41</v>
      </c>
      <c r="I3" s="59">
        <v>0</v>
      </c>
      <c r="J3" s="59">
        <v>3174.37</v>
      </c>
      <c r="K3" s="60">
        <f t="shared" si="0"/>
        <v>43888</v>
      </c>
      <c r="L3" s="64" t="s">
        <v>61</v>
      </c>
    </row>
    <row r="4" spans="1:12" x14ac:dyDescent="0.2">
      <c r="A4" s="62">
        <v>43905</v>
      </c>
      <c r="B4" t="s">
        <v>39</v>
      </c>
      <c r="C4" s="61" t="s">
        <v>37</v>
      </c>
      <c r="D4" t="s">
        <v>40</v>
      </c>
      <c r="E4">
        <v>307</v>
      </c>
      <c r="F4">
        <v>60612000</v>
      </c>
      <c r="G4" s="61" t="s">
        <v>37</v>
      </c>
      <c r="H4" s="61" t="s">
        <v>41</v>
      </c>
      <c r="I4" s="59">
        <v>0</v>
      </c>
      <c r="J4" s="59">
        <v>2647.26</v>
      </c>
      <c r="K4" s="60">
        <f t="shared" si="0"/>
        <v>43920</v>
      </c>
      <c r="L4" s="64" t="s">
        <v>61</v>
      </c>
    </row>
    <row r="5" spans="1:12" x14ac:dyDescent="0.2">
      <c r="A5" s="62">
        <v>43939</v>
      </c>
      <c r="B5" t="s">
        <v>39</v>
      </c>
      <c r="C5" s="61" t="s">
        <v>37</v>
      </c>
      <c r="D5" t="s">
        <v>40</v>
      </c>
      <c r="E5">
        <v>408</v>
      </c>
      <c r="F5">
        <v>60612000</v>
      </c>
      <c r="G5" s="61" t="s">
        <v>37</v>
      </c>
      <c r="H5" s="61" t="s">
        <v>41</v>
      </c>
      <c r="I5" s="59">
        <v>0</v>
      </c>
      <c r="J5" s="59">
        <v>823.99</v>
      </c>
      <c r="K5" s="60">
        <f t="shared" si="0"/>
        <v>43954</v>
      </c>
      <c r="L5" s="64" t="s">
        <v>61</v>
      </c>
    </row>
    <row r="6" spans="1:12" x14ac:dyDescent="0.2">
      <c r="A6" s="62">
        <v>43964</v>
      </c>
      <c r="B6" t="s">
        <v>39</v>
      </c>
      <c r="C6" s="61" t="s">
        <v>37</v>
      </c>
      <c r="D6" t="s">
        <v>40</v>
      </c>
      <c r="E6">
        <v>514</v>
      </c>
      <c r="F6">
        <v>60612000</v>
      </c>
      <c r="G6" s="61" t="s">
        <v>37</v>
      </c>
      <c r="H6" s="61" t="s">
        <v>41</v>
      </c>
      <c r="I6" s="59">
        <v>0</v>
      </c>
      <c r="J6" s="59">
        <v>783.58</v>
      </c>
      <c r="K6" s="60">
        <f t="shared" si="0"/>
        <v>43979</v>
      </c>
      <c r="L6" s="64" t="s">
        <v>61</v>
      </c>
    </row>
    <row r="7" spans="1:12" x14ac:dyDescent="0.2">
      <c r="A7" s="62">
        <v>43995</v>
      </c>
      <c r="B7" t="s">
        <v>39</v>
      </c>
      <c r="C7" s="61" t="s">
        <v>37</v>
      </c>
      <c r="D7" t="s">
        <v>40</v>
      </c>
      <c r="E7">
        <v>612</v>
      </c>
      <c r="F7">
        <v>60614000</v>
      </c>
      <c r="G7" s="61" t="s">
        <v>37</v>
      </c>
      <c r="H7" s="61" t="s">
        <v>41</v>
      </c>
      <c r="I7" s="59">
        <v>0</v>
      </c>
      <c r="J7" s="59">
        <v>1233.9100000000001</v>
      </c>
      <c r="K7" s="60">
        <f t="shared" si="0"/>
        <v>44010</v>
      </c>
      <c r="L7" s="64" t="s">
        <v>61</v>
      </c>
    </row>
    <row r="8" spans="1:12" x14ac:dyDescent="0.2">
      <c r="A8" s="62">
        <v>44027</v>
      </c>
      <c r="B8" s="62" t="s">
        <v>39</v>
      </c>
      <c r="C8" s="61" t="s">
        <v>36</v>
      </c>
      <c r="D8" t="s">
        <v>38</v>
      </c>
      <c r="E8">
        <v>721</v>
      </c>
      <c r="F8">
        <v>60614000</v>
      </c>
      <c r="G8" s="61" t="s">
        <v>37</v>
      </c>
      <c r="H8" s="61" t="s">
        <v>41</v>
      </c>
      <c r="I8" s="59">
        <v>0</v>
      </c>
      <c r="J8" s="59">
        <v>1614.5</v>
      </c>
      <c r="K8" s="60">
        <f t="shared" si="0"/>
        <v>44042</v>
      </c>
      <c r="L8" s="64" t="s">
        <v>61</v>
      </c>
    </row>
    <row r="9" spans="1:12" x14ac:dyDescent="0.2">
      <c r="A9" s="62">
        <v>43832</v>
      </c>
      <c r="B9" s="62" t="s">
        <v>39</v>
      </c>
      <c r="C9" s="65" t="s">
        <v>7</v>
      </c>
      <c r="D9" t="s">
        <v>64</v>
      </c>
      <c r="E9">
        <v>105</v>
      </c>
      <c r="F9">
        <v>60700000</v>
      </c>
      <c r="G9" s="61" t="s">
        <v>65</v>
      </c>
      <c r="H9" s="61" t="s">
        <v>66</v>
      </c>
      <c r="I9" s="59">
        <v>0</v>
      </c>
      <c r="J9" s="59">
        <v>561.61</v>
      </c>
      <c r="K9" s="60">
        <f t="shared" si="0"/>
        <v>43852</v>
      </c>
      <c r="L9" s="64" t="s">
        <v>61</v>
      </c>
    </row>
    <row r="10" spans="1:12" x14ac:dyDescent="0.2">
      <c r="A10" s="62">
        <v>43837</v>
      </c>
      <c r="B10" s="62" t="s">
        <v>39</v>
      </c>
      <c r="C10" s="65" t="s">
        <v>7</v>
      </c>
      <c r="D10" t="s">
        <v>64</v>
      </c>
      <c r="E10">
        <v>108</v>
      </c>
      <c r="F10">
        <v>60700000</v>
      </c>
      <c r="G10" s="61" t="s">
        <v>65</v>
      </c>
      <c r="H10" s="61" t="s">
        <v>66</v>
      </c>
      <c r="I10" s="59">
        <v>0</v>
      </c>
      <c r="J10" s="59">
        <v>819.31</v>
      </c>
      <c r="K10" s="60">
        <f t="shared" si="0"/>
        <v>43857</v>
      </c>
      <c r="L10" s="64" t="s">
        <v>61</v>
      </c>
    </row>
    <row r="11" spans="1:12" x14ac:dyDescent="0.2">
      <c r="A11" s="62">
        <v>43839</v>
      </c>
      <c r="B11" s="62" t="s">
        <v>39</v>
      </c>
      <c r="C11" s="65" t="s">
        <v>7</v>
      </c>
      <c r="D11" t="s">
        <v>64</v>
      </c>
      <c r="E11">
        <v>109</v>
      </c>
      <c r="F11">
        <v>60700000</v>
      </c>
      <c r="G11" s="61" t="s">
        <v>65</v>
      </c>
      <c r="H11" s="61" t="s">
        <v>66</v>
      </c>
      <c r="I11" s="59">
        <v>0</v>
      </c>
      <c r="J11" s="59">
        <v>542.14</v>
      </c>
      <c r="K11" s="60">
        <f t="shared" si="0"/>
        <v>43859</v>
      </c>
      <c r="L11" s="64" t="s">
        <v>61</v>
      </c>
    </row>
    <row r="12" spans="1:12" x14ac:dyDescent="0.2">
      <c r="A12" s="62">
        <v>43844</v>
      </c>
      <c r="B12" s="62" t="s">
        <v>39</v>
      </c>
      <c r="C12" s="65" t="s">
        <v>7</v>
      </c>
      <c r="D12" t="s">
        <v>64</v>
      </c>
      <c r="E12">
        <v>107</v>
      </c>
      <c r="F12">
        <v>60700000</v>
      </c>
      <c r="G12" s="61" t="s">
        <v>65</v>
      </c>
      <c r="H12" s="61" t="s">
        <v>66</v>
      </c>
      <c r="I12" s="59">
        <v>0</v>
      </c>
      <c r="J12" s="59">
        <v>756.54</v>
      </c>
      <c r="K12" s="60">
        <f t="shared" si="0"/>
        <v>43864</v>
      </c>
      <c r="L12" s="64" t="s">
        <v>61</v>
      </c>
    </row>
    <row r="13" spans="1:12" x14ac:dyDescent="0.2">
      <c r="A13" s="62">
        <v>43846</v>
      </c>
      <c r="B13" s="62" t="s">
        <v>39</v>
      </c>
      <c r="C13" s="65" t="s">
        <v>7</v>
      </c>
      <c r="D13" t="s">
        <v>64</v>
      </c>
      <c r="E13">
        <v>106</v>
      </c>
      <c r="F13">
        <v>60700000</v>
      </c>
      <c r="G13" s="61" t="s">
        <v>65</v>
      </c>
      <c r="H13" s="61" t="s">
        <v>66</v>
      </c>
      <c r="I13" s="59">
        <v>0</v>
      </c>
      <c r="J13" s="59">
        <v>434.84</v>
      </c>
      <c r="K13" s="60">
        <f t="shared" si="0"/>
        <v>43866</v>
      </c>
      <c r="L13" s="64" t="s">
        <v>61</v>
      </c>
    </row>
    <row r="14" spans="1:12" x14ac:dyDescent="0.2">
      <c r="A14" s="62">
        <v>43851</v>
      </c>
      <c r="B14" s="62" t="s">
        <v>39</v>
      </c>
      <c r="C14" s="65" t="s">
        <v>7</v>
      </c>
      <c r="D14" t="s">
        <v>64</v>
      </c>
      <c r="E14">
        <v>110</v>
      </c>
      <c r="F14">
        <v>60700000</v>
      </c>
      <c r="G14" s="61" t="s">
        <v>65</v>
      </c>
      <c r="H14" s="61" t="s">
        <v>66</v>
      </c>
      <c r="I14" s="59">
        <v>0</v>
      </c>
      <c r="J14" s="59">
        <v>548.54999999999995</v>
      </c>
      <c r="K14" s="60">
        <f t="shared" si="0"/>
        <v>43871</v>
      </c>
      <c r="L14" s="64" t="s">
        <v>61</v>
      </c>
    </row>
    <row r="15" spans="1:12" x14ac:dyDescent="0.2">
      <c r="A15" s="62">
        <v>43853</v>
      </c>
      <c r="B15" s="62" t="s">
        <v>39</v>
      </c>
      <c r="C15" s="65" t="s">
        <v>7</v>
      </c>
      <c r="D15" t="s">
        <v>64</v>
      </c>
      <c r="E15">
        <v>104</v>
      </c>
      <c r="F15">
        <v>60700000</v>
      </c>
      <c r="G15" s="61" t="s">
        <v>65</v>
      </c>
      <c r="H15" s="61" t="s">
        <v>66</v>
      </c>
      <c r="I15" s="59">
        <v>42.57</v>
      </c>
      <c r="J15" s="59">
        <v>0</v>
      </c>
      <c r="K15" s="60">
        <f t="shared" si="0"/>
        <v>43873</v>
      </c>
      <c r="L15" s="64" t="s">
        <v>61</v>
      </c>
    </row>
    <row r="16" spans="1:12" x14ac:dyDescent="0.2">
      <c r="A16" s="62">
        <v>43853</v>
      </c>
      <c r="B16" s="62" t="s">
        <v>39</v>
      </c>
      <c r="C16" s="65" t="s">
        <v>7</v>
      </c>
      <c r="D16" t="s">
        <v>64</v>
      </c>
      <c r="E16">
        <v>111</v>
      </c>
      <c r="F16">
        <v>60700000</v>
      </c>
      <c r="G16" s="61" t="s">
        <v>65</v>
      </c>
      <c r="H16" s="61" t="s">
        <v>66</v>
      </c>
      <c r="I16" s="59">
        <v>0</v>
      </c>
      <c r="J16" s="59">
        <v>628.19000000000005</v>
      </c>
      <c r="K16" s="60">
        <f t="shared" si="0"/>
        <v>43873</v>
      </c>
      <c r="L16" s="64" t="s">
        <v>61</v>
      </c>
    </row>
    <row r="17" spans="1:13" x14ac:dyDescent="0.2">
      <c r="A17" s="62">
        <v>43858</v>
      </c>
      <c r="B17" s="62" t="s">
        <v>39</v>
      </c>
      <c r="C17" s="65" t="s">
        <v>7</v>
      </c>
      <c r="D17" t="s">
        <v>64</v>
      </c>
      <c r="E17">
        <v>112</v>
      </c>
      <c r="F17">
        <v>60700000</v>
      </c>
      <c r="G17" s="61" t="s">
        <v>65</v>
      </c>
      <c r="H17" s="61" t="s">
        <v>66</v>
      </c>
      <c r="I17" s="59">
        <v>0</v>
      </c>
      <c r="J17" s="59">
        <v>506.42</v>
      </c>
      <c r="K17" s="60">
        <f t="shared" si="0"/>
        <v>43878</v>
      </c>
      <c r="L17" s="64" t="s">
        <v>61</v>
      </c>
    </row>
    <row r="18" spans="1:13" x14ac:dyDescent="0.2">
      <c r="A18" s="62">
        <v>43860</v>
      </c>
      <c r="B18" s="62" t="s">
        <v>39</v>
      </c>
      <c r="C18" s="65" t="s">
        <v>7</v>
      </c>
      <c r="D18" t="s">
        <v>64</v>
      </c>
      <c r="E18">
        <v>113</v>
      </c>
      <c r="F18">
        <v>60700000</v>
      </c>
      <c r="G18" s="61" t="s">
        <v>65</v>
      </c>
      <c r="H18" s="61" t="s">
        <v>66</v>
      </c>
      <c r="I18" s="59">
        <v>0</v>
      </c>
      <c r="J18" s="59">
        <v>607.75</v>
      </c>
      <c r="K18" s="60">
        <f t="shared" si="0"/>
        <v>43880</v>
      </c>
      <c r="L18" s="64" t="s">
        <v>61</v>
      </c>
    </row>
    <row r="19" spans="1:13" x14ac:dyDescent="0.2">
      <c r="A19" s="62">
        <v>43838</v>
      </c>
      <c r="B19" s="62" t="s">
        <v>39</v>
      </c>
      <c r="C19" s="65" t="s">
        <v>70</v>
      </c>
      <c r="D19" t="s">
        <v>71</v>
      </c>
      <c r="E19">
        <v>126</v>
      </c>
      <c r="F19">
        <v>60680000</v>
      </c>
      <c r="G19" s="61" t="s">
        <v>72</v>
      </c>
      <c r="H19" s="61" t="s">
        <v>69</v>
      </c>
      <c r="I19" s="59">
        <v>0</v>
      </c>
      <c r="J19" s="68">
        <v>629.24</v>
      </c>
      <c r="K19" s="66">
        <f t="shared" si="0"/>
        <v>43873</v>
      </c>
      <c r="L19" s="64" t="s">
        <v>60</v>
      </c>
    </row>
    <row r="20" spans="1:13" x14ac:dyDescent="0.2">
      <c r="A20" s="62">
        <v>43845</v>
      </c>
      <c r="B20" s="62" t="s">
        <v>39</v>
      </c>
      <c r="C20" s="65" t="s">
        <v>70</v>
      </c>
      <c r="D20" t="s">
        <v>71</v>
      </c>
      <c r="E20">
        <v>118</v>
      </c>
      <c r="F20">
        <v>60680000</v>
      </c>
      <c r="G20" s="61" t="s">
        <v>72</v>
      </c>
      <c r="H20" s="61" t="s">
        <v>69</v>
      </c>
      <c r="I20" s="59">
        <v>0</v>
      </c>
      <c r="J20" s="68">
        <v>452.88</v>
      </c>
      <c r="K20" s="66">
        <f t="shared" si="0"/>
        <v>43880</v>
      </c>
      <c r="L20" s="64" t="s">
        <v>60</v>
      </c>
    </row>
    <row r="21" spans="1:13" x14ac:dyDescent="0.2">
      <c r="A21" s="62">
        <v>43852</v>
      </c>
      <c r="B21" s="62" t="s">
        <v>39</v>
      </c>
      <c r="C21" s="65" t="s">
        <v>70</v>
      </c>
      <c r="D21" t="s">
        <v>71</v>
      </c>
      <c r="E21">
        <v>121</v>
      </c>
      <c r="F21">
        <v>60680000</v>
      </c>
      <c r="G21" s="61" t="s">
        <v>72</v>
      </c>
      <c r="H21" s="61" t="s">
        <v>69</v>
      </c>
      <c r="I21" s="59">
        <v>0</v>
      </c>
      <c r="J21" s="68">
        <v>393.36</v>
      </c>
      <c r="K21" s="66">
        <f t="shared" si="0"/>
        <v>43887</v>
      </c>
      <c r="L21" s="64" t="s">
        <v>60</v>
      </c>
    </row>
    <row r="22" spans="1:13" x14ac:dyDescent="0.2">
      <c r="A22" s="62">
        <v>43859</v>
      </c>
      <c r="B22" s="62" t="s">
        <v>39</v>
      </c>
      <c r="C22" s="65" t="s">
        <v>70</v>
      </c>
      <c r="D22" t="s">
        <v>71</v>
      </c>
      <c r="E22">
        <v>106</v>
      </c>
      <c r="F22">
        <v>60680000</v>
      </c>
      <c r="G22" s="61" t="s">
        <v>72</v>
      </c>
      <c r="H22" s="61" t="s">
        <v>69</v>
      </c>
      <c r="I22" s="59">
        <v>0</v>
      </c>
      <c r="J22" s="68">
        <v>416.45</v>
      </c>
      <c r="K22" s="66">
        <f t="shared" si="0"/>
        <v>43894</v>
      </c>
      <c r="L22" s="64" t="s">
        <v>60</v>
      </c>
    </row>
    <row r="23" spans="1:13" x14ac:dyDescent="0.2">
      <c r="A23" s="62">
        <v>43873</v>
      </c>
      <c r="B23" s="62" t="s">
        <v>39</v>
      </c>
      <c r="C23" s="65" t="s">
        <v>70</v>
      </c>
      <c r="D23" t="s">
        <v>71</v>
      </c>
      <c r="E23">
        <v>219</v>
      </c>
      <c r="F23">
        <v>60680000</v>
      </c>
      <c r="G23" s="61" t="s">
        <v>72</v>
      </c>
      <c r="H23" s="61" t="s">
        <v>69</v>
      </c>
      <c r="I23" s="59">
        <v>0</v>
      </c>
      <c r="J23" s="68">
        <v>620.35</v>
      </c>
      <c r="K23" s="66">
        <f t="shared" si="0"/>
        <v>43908</v>
      </c>
      <c r="L23" s="64" t="s">
        <v>60</v>
      </c>
    </row>
    <row r="24" spans="1:13" x14ac:dyDescent="0.2">
      <c r="A24" s="62">
        <v>43880</v>
      </c>
      <c r="B24" s="62" t="s">
        <v>39</v>
      </c>
      <c r="C24" s="65" t="s">
        <v>70</v>
      </c>
      <c r="D24" t="s">
        <v>71</v>
      </c>
      <c r="E24">
        <v>235</v>
      </c>
      <c r="F24">
        <v>60680000</v>
      </c>
      <c r="G24" s="61" t="s">
        <v>72</v>
      </c>
      <c r="H24" s="61" t="s">
        <v>69</v>
      </c>
      <c r="I24" s="59">
        <v>0</v>
      </c>
      <c r="J24" s="68">
        <v>728.31</v>
      </c>
      <c r="K24" s="66">
        <f t="shared" si="0"/>
        <v>43915</v>
      </c>
      <c r="L24" s="64" t="s">
        <v>60</v>
      </c>
    </row>
    <row r="25" spans="1:13" x14ac:dyDescent="0.2">
      <c r="A25" s="62">
        <v>43887</v>
      </c>
      <c r="B25" s="62" t="s">
        <v>39</v>
      </c>
      <c r="C25" s="65" t="s">
        <v>70</v>
      </c>
      <c r="D25" t="s">
        <v>71</v>
      </c>
      <c r="E25">
        <v>237</v>
      </c>
      <c r="F25">
        <v>60680000</v>
      </c>
      <c r="G25" s="61" t="s">
        <v>72</v>
      </c>
      <c r="H25" s="61" t="s">
        <v>69</v>
      </c>
      <c r="I25" s="59">
        <v>0</v>
      </c>
      <c r="J25" s="68">
        <v>547.25</v>
      </c>
      <c r="K25" s="66">
        <f t="shared" si="0"/>
        <v>43922</v>
      </c>
      <c r="L25" s="64" t="s">
        <v>60</v>
      </c>
    </row>
    <row r="26" spans="1:13" x14ac:dyDescent="0.2">
      <c r="A26" s="62">
        <v>43873</v>
      </c>
      <c r="B26" s="62" t="s">
        <v>39</v>
      </c>
      <c r="C26" s="65" t="s">
        <v>73</v>
      </c>
      <c r="D26" t="s">
        <v>74</v>
      </c>
      <c r="E26">
        <v>210</v>
      </c>
      <c r="F26">
        <v>60680000</v>
      </c>
      <c r="G26" s="61" t="s">
        <v>75</v>
      </c>
      <c r="H26" s="61" t="s">
        <v>76</v>
      </c>
      <c r="I26" s="59">
        <v>0</v>
      </c>
      <c r="J26" s="68">
        <v>1513.51</v>
      </c>
      <c r="K26" s="66">
        <f t="shared" si="0"/>
        <v>43888</v>
      </c>
      <c r="L26" s="64" t="s">
        <v>60</v>
      </c>
    </row>
    <row r="27" spans="1:13" x14ac:dyDescent="0.2">
      <c r="A27" s="62">
        <v>43887</v>
      </c>
      <c r="B27" s="62" t="s">
        <v>39</v>
      </c>
      <c r="C27" s="65" t="s">
        <v>73</v>
      </c>
      <c r="D27" t="s">
        <v>74</v>
      </c>
      <c r="E27">
        <v>238</v>
      </c>
      <c r="F27">
        <v>40960000</v>
      </c>
      <c r="G27" s="61" t="s">
        <v>75</v>
      </c>
      <c r="H27" s="61" t="s">
        <v>76</v>
      </c>
      <c r="I27" s="59">
        <v>0</v>
      </c>
      <c r="J27" s="68">
        <v>1331.81</v>
      </c>
      <c r="K27" s="66">
        <f t="shared" si="0"/>
        <v>43902</v>
      </c>
      <c r="L27" s="64" t="s">
        <v>60</v>
      </c>
      <c r="M27" s="64"/>
    </row>
    <row r="28" spans="1:13" x14ac:dyDescent="0.2">
      <c r="A28" s="62">
        <v>43971</v>
      </c>
      <c r="B28" s="62" t="s">
        <v>39</v>
      </c>
      <c r="C28" s="65" t="s">
        <v>73</v>
      </c>
      <c r="D28" t="s">
        <v>74</v>
      </c>
      <c r="E28">
        <v>512</v>
      </c>
      <c r="F28">
        <v>60702500</v>
      </c>
      <c r="G28" s="61" t="s">
        <v>75</v>
      </c>
      <c r="H28" s="61" t="s">
        <v>73</v>
      </c>
      <c r="I28" s="59">
        <v>0</v>
      </c>
      <c r="J28" s="68">
        <v>1086.3499999999999</v>
      </c>
      <c r="K28" s="66">
        <f t="shared" si="0"/>
        <v>43986</v>
      </c>
      <c r="L28" s="64" t="s">
        <v>60</v>
      </c>
    </row>
    <row r="30" spans="1:13" x14ac:dyDescent="0.2">
      <c r="J30" s="64"/>
    </row>
    <row r="31" spans="1:13" x14ac:dyDescent="0.2">
      <c r="K31" s="6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A43" sqref="A43:A44"/>
    </sheetView>
  </sheetViews>
  <sheetFormatPr baseColWidth="10" defaultRowHeight="12.75" x14ac:dyDescent="0.2"/>
  <cols>
    <col min="1" max="1" width="20.140625" bestFit="1" customWidth="1"/>
    <col min="2" max="2" width="19" bestFit="1" customWidth="1"/>
  </cols>
  <sheetData>
    <row r="1" spans="1:7" x14ac:dyDescent="0.2">
      <c r="A1" t="s">
        <v>53</v>
      </c>
      <c r="B1" t="s">
        <v>54</v>
      </c>
      <c r="C1" t="s">
        <v>55</v>
      </c>
      <c r="D1" t="s">
        <v>56</v>
      </c>
      <c r="G1" s="64" t="s">
        <v>59</v>
      </c>
    </row>
    <row r="2" spans="1:7" x14ac:dyDescent="0.2">
      <c r="A2" s="64" t="s">
        <v>4</v>
      </c>
      <c r="B2" t="s">
        <v>57</v>
      </c>
      <c r="C2">
        <v>0</v>
      </c>
      <c r="D2">
        <v>15</v>
      </c>
      <c r="G2" t="s">
        <v>60</v>
      </c>
    </row>
    <row r="3" spans="1:7" x14ac:dyDescent="0.2">
      <c r="A3" t="s">
        <v>67</v>
      </c>
      <c r="B3" t="s">
        <v>68</v>
      </c>
      <c r="C3">
        <v>0</v>
      </c>
      <c r="D3">
        <v>20</v>
      </c>
      <c r="G3" t="s">
        <v>61</v>
      </c>
    </row>
    <row r="4" spans="1:7" x14ac:dyDescent="0.2">
      <c r="A4" s="64" t="s">
        <v>8</v>
      </c>
      <c r="B4" s="64" t="s">
        <v>77</v>
      </c>
      <c r="C4">
        <v>0</v>
      </c>
      <c r="D4">
        <v>35</v>
      </c>
      <c r="G4" t="s">
        <v>62</v>
      </c>
    </row>
    <row r="5" spans="1:7" x14ac:dyDescent="0.2">
      <c r="A5" s="64" t="s">
        <v>78</v>
      </c>
      <c r="B5" s="64" t="s">
        <v>57</v>
      </c>
      <c r="C5">
        <v>0</v>
      </c>
      <c r="D5">
        <v>15</v>
      </c>
      <c r="G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Budget</vt:lpstr>
      <vt:lpstr>TCD-ACHATS</vt:lpstr>
      <vt:lpstr>Achats</vt:lpstr>
      <vt:lpstr>Database</vt:lpstr>
      <vt:lpstr>DATA</vt:lpstr>
      <vt:lpstr>Ville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Ibo</dc:creator>
  <cp:lastModifiedBy>LAVALLEZ Pascal</cp:lastModifiedBy>
  <dcterms:created xsi:type="dcterms:W3CDTF">2020-09-22T15:16:33Z</dcterms:created>
  <dcterms:modified xsi:type="dcterms:W3CDTF">2020-09-23T09:16:10Z</dcterms:modified>
</cp:coreProperties>
</file>