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 tabRatio="885"/>
  </bookViews>
  <sheets>
    <sheet name="Loyers" sheetId="18" r:id="rId1"/>
    <sheet name="Max" sheetId="19" r:id="rId2"/>
  </sheets>
  <externalReferences>
    <externalReference r:id="rId3"/>
  </externalReferences>
  <definedNames>
    <definedName name="_Parse_Out" localSheetId="0" hidden="1">#REF!</definedName>
    <definedName name="_Parse_Out" hidden="1">#REF!</definedName>
    <definedName name="adresse_LLS" localSheetId="0">#REF!</definedName>
    <definedName name="adresse_LLS">#REF!</definedName>
    <definedName name="adresse_LLTS" localSheetId="0">#REF!</definedName>
    <definedName name="adresse_LLTS">#REF!</definedName>
    <definedName name="adresse_siege" localSheetId="0">#REF!</definedName>
    <definedName name="adresse_siege">#REF!</definedName>
    <definedName name="anscount" hidden="1">1</definedName>
    <definedName name="BASELOYERMAX">Max!$A$3:$D$7</definedName>
    <definedName name="CAF_Tot" localSheetId="0">Loyers!#REF!</definedName>
    <definedName name="CAF_Tot">#REF!</definedName>
    <definedName name="CDC_LLS" localSheetId="0">Loyers!#REF!</definedName>
    <definedName name="CDC_LLS">#REF!</definedName>
    <definedName name="CDC_LLTS" localSheetId="0">Loyers!#REF!</definedName>
    <definedName name="CDC_LLTS">#REF!</definedName>
    <definedName name="code" localSheetId="0">#REF!</definedName>
    <definedName name="code">#REF!</definedName>
    <definedName name="Commune_LLS" localSheetId="0">#REF!</definedName>
    <definedName name="Commune_LLS">#REF!</definedName>
    <definedName name="Commune_LLTS" localSheetId="0">#REF!</definedName>
    <definedName name="Commune_LLTS">#REF!</definedName>
    <definedName name="Créd_Imp" localSheetId="0">Loyers!#REF!</definedName>
    <definedName name="Créd_Imp">#REF!</definedName>
    <definedName name="Date" localSheetId="0">#REF!</definedName>
    <definedName name="Date">#REF!</definedName>
    <definedName name="Day" localSheetId="0">#REF!</definedName>
    <definedName name="Day">#REF!</definedName>
    <definedName name="dhdh" hidden="1">{#N/A,#N/A,FALSE,"Gain Fiscal";#N/A,#N/A,FALSE,"CR";#N/A,#N/A,FALSE,"Bilan";#N/A,#N/A,FALSE,"Trésorerie";#N/A,#N/A,FALSE,"Prêt-Emprunt";#N/A,#N/A,FALSE,"Swap"}</definedName>
    <definedName name="directeur_g" localSheetId="0">#REF!</definedName>
    <definedName name="directeur_g">#REF!</definedName>
    <definedName name="fezfzef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ff" hidden="1">{#N/A,#N/A,FALSE,"Gain Fiscal";#N/A,#N/A,FALSE,"CR";#N/A,#N/A,FALSE,"Bilan";#N/A,#N/A,FALSE,"Trésorerie";#N/A,#N/A,FALSE,"Prêt-Emprunt";#N/A,#N/A,FALSE,"Swap"}</definedName>
    <definedName name="fff" hidden="1">{#N/A,#N/A,FALSE,"Gain Fiscal";#N/A,#N/A,FALSE,"CR";#N/A,#N/A,FALSE,"Bilan";#N/A,#N/A,FALSE,"Trésorerie";#N/A,#N/A,FALSE,"Prêt-Emprunt";#N/A,#N/A,FALSE,"Swap"}</definedName>
    <definedName name="FP_LLS" localSheetId="0">Loyers!#REF!</definedName>
    <definedName name="FP_LLS">#REF!</definedName>
    <definedName name="FP_LLTS" localSheetId="0">Loyers!#REF!</definedName>
    <definedName name="FP_LLTS">#REF!</definedName>
    <definedName name="FRAFU_LLS" localSheetId="0">#REF!</definedName>
    <definedName name="FRAFU_LLS">#REF!</definedName>
    <definedName name="FRAFU_LLTS" localSheetId="0">#REF!</definedName>
    <definedName name="FRAFU_LLTS">#REF!</definedName>
    <definedName name="LBU_FRAFU" localSheetId="0">#REF!</definedName>
    <definedName name="LBU_FRAFU">#REF!</definedName>
    <definedName name="LBU_SF" localSheetId="0">Loyers!#REF!</definedName>
    <definedName name="LBU_SF">#REF!</definedName>
    <definedName name="LBU_Tot" localSheetId="0">Loyers!#REF!</definedName>
    <definedName name="LBU_Tot">#REF!</definedName>
    <definedName name="limcount" hidden="1">1</definedName>
    <definedName name="LMDom" localSheetId="0">Loyers!$F$48</definedName>
    <definedName name="LMDomTS" localSheetId="0">Loyers!$F$57</definedName>
    <definedName name="LP_LLS" localSheetId="0">Loyers!$F$55</definedName>
    <definedName name="LP_LLS">#REF!</definedName>
    <definedName name="LP_LLTS" localSheetId="0">Loyers!$F$63</definedName>
    <definedName name="LP_LLTS">#REF!</definedName>
    <definedName name="Macro3">[1]!Macro3</definedName>
    <definedName name="Macro4">[1]!Macro4</definedName>
    <definedName name="montant_eligible_LLS" localSheetId="0">#REF!</definedName>
    <definedName name="montant_eligible_LLS">#REF!</definedName>
    <definedName name="montant_eligible_LLTS" localSheetId="0">#REF!</definedName>
    <definedName name="montant_eligible_LLTS">#REF!</definedName>
    <definedName name="Nbre" localSheetId="0">Loyers!$V$31</definedName>
    <definedName name="NbreCOMM" localSheetId="0">Loyers!$V$29</definedName>
    <definedName name="NbreLLS" localSheetId="0">Loyers!$V$14</definedName>
    <definedName name="NbreLLTS" localSheetId="0">Loyers!$V$22</definedName>
    <definedName name="nom" localSheetId="0">Loyers!$D$1</definedName>
    <definedName name="nom">#REF!</definedName>
    <definedName name="nombreLLS" localSheetId="0">#REF!</definedName>
    <definedName name="nombreLLS">#REF!</definedName>
    <definedName name="nombreLLTS" localSheetId="0">#REF!</definedName>
    <definedName name="nombreLLTS">#REF!</definedName>
    <definedName name="PA_SAS_HT_LLS" localSheetId="0">#REF!</definedName>
    <definedName name="PA_SAS_HT_LLS">#REF!</definedName>
    <definedName name="PA_SAS_HT_LLTS" localSheetId="0">#REF!</definedName>
    <definedName name="PA_SAS_HT_LLTS">#REF!</definedName>
    <definedName name="parking_a_LLS" localSheetId="0">#REF!</definedName>
    <definedName name="parking_a_LLS">#REF!</definedName>
    <definedName name="parking_a_LLTS" localSheetId="0">#REF!</definedName>
    <definedName name="parking_a_LLTS">#REF!</definedName>
    <definedName name="parking_c_LLS" localSheetId="0">#REF!</definedName>
    <definedName name="parking_c_LLS">#REF!</definedName>
    <definedName name="parking_c_LLTS" localSheetId="0">#REF!</definedName>
    <definedName name="parking_c_LLTS">#REF!</definedName>
    <definedName name="parking_s_LLS" localSheetId="0">#REF!</definedName>
    <definedName name="parking_s_LLS">#REF!</definedName>
    <definedName name="parking_s_LLTS" localSheetId="0">#REF!</definedName>
    <definedName name="parking_s_LLTS">#REF!</definedName>
    <definedName name="PRP_TTC_LLS" localSheetId="0">#REF!</definedName>
    <definedName name="PRP_TTC_LLS">#REF!</definedName>
    <definedName name="PRP_TTC_LLTS" localSheetId="0">#REF!</definedName>
    <definedName name="PRP_TTC_LLTS">#REF!</definedName>
    <definedName name="S.LCR" localSheetId="0">Loyers!$AA$32</definedName>
    <definedName name="S_terrain" localSheetId="0">Loyers!#REF!</definedName>
    <definedName name="S_terrain">#REF!</definedName>
    <definedName name="sencount" hidden="1">1</definedName>
    <definedName name="SF.COMM" localSheetId="0">Loyers!$AC$29</definedName>
    <definedName name="SF.LLS" localSheetId="0">Loyers!$AC$14</definedName>
    <definedName name="SF.LLTS" localSheetId="0">Loyers!$AC$22</definedName>
    <definedName name="SF.T" localSheetId="0">Loyers!$AC$31</definedName>
    <definedName name="SF_LLS" localSheetId="0">#REF!</definedName>
    <definedName name="SF_LLS">#REF!</definedName>
    <definedName name="SF_LLTS" localSheetId="0">#REF!</definedName>
    <definedName name="SF_LLTS">#REF!</definedName>
    <definedName name="SH.COMM" localSheetId="0">Loyers!$X$29</definedName>
    <definedName name="SH.LLS" localSheetId="0">Loyers!$X$14</definedName>
    <definedName name="SH.LLTS" localSheetId="0">Loyers!$X$22</definedName>
    <definedName name="SH.T" localSheetId="0">Loyers!$X$31</definedName>
    <definedName name="SHOB" localSheetId="0">Loyers!$AC$32</definedName>
    <definedName name="SP" localSheetId="0">Loyers!$AC$33</definedName>
    <definedName name="SU.COMM" localSheetId="0">Loyers!$Z$29</definedName>
    <definedName name="SU.LLS" localSheetId="0">Loyers!$Z$14</definedName>
    <definedName name="SU.LLTS" localSheetId="0">Loyers!$Z$22</definedName>
    <definedName name="SU.T" localSheetId="0">Loyers!$Z$31</definedName>
    <definedName name="Sub_LLS" localSheetId="0">Loyers!#REF!</definedName>
    <definedName name="Sub_LLS">#REF!</definedName>
    <definedName name="Sub_LLTS" localSheetId="0">Loyers!#REF!</definedName>
    <definedName name="Sub_LLTS">#REF!</definedName>
    <definedName name="T1_LLS" localSheetId="0">#REF!</definedName>
    <definedName name="T1_LLS">#REF!</definedName>
    <definedName name="T1_LLTS" localSheetId="0">#REF!</definedName>
    <definedName name="T1_LLTS">#REF!</definedName>
    <definedName name="T2_LLS" localSheetId="0">#REF!</definedName>
    <definedName name="T2_LLS">#REF!</definedName>
    <definedName name="T2_LLTS" localSheetId="0">#REF!</definedName>
    <definedName name="T2_LLTS">#REF!</definedName>
    <definedName name="T3_LLS" localSheetId="0">#REF!</definedName>
    <definedName name="T3_LLS">#REF!</definedName>
    <definedName name="T3_LLTS" localSheetId="0">#REF!</definedName>
    <definedName name="T3_LLTS">#REF!</definedName>
    <definedName name="T4_LLS" localSheetId="0">#REF!</definedName>
    <definedName name="T4_LLS">#REF!</definedName>
    <definedName name="T4_LLTS" localSheetId="0">#REF!</definedName>
    <definedName name="T4_LLTS">#REF!</definedName>
    <definedName name="T5_LLS" localSheetId="0">#REF!</definedName>
    <definedName name="T5_LLS">#REF!</definedName>
    <definedName name="T5_LLTS" localSheetId="0">#REF!</definedName>
    <definedName name="T5_LLTS">#REF!</definedName>
    <definedName name="type_lg_LLS" localSheetId="0">#REF!</definedName>
    <definedName name="type_lg_LLS">#REF!</definedName>
    <definedName name="type_lg_LLTS" localSheetId="0">#REF!</definedName>
    <definedName name="type_lg_LLTS">#REF!</definedName>
    <definedName name="TYPE1">Loyers!$A$48</definedName>
    <definedName name="TYPE2">Loyers!$A$57</definedName>
    <definedName name="wrn.Comité." hidden="1">{"Option 4",#N/A,FALSE,"GIE-GNi-2002+ 0 an";"Option 4 + 1",#N/A,FALSE,"GIE-GNi-2002+ 0 an";"Option 4 + 2",#N/A,FALSE,"GIE-GNi-2002+ 0 an"}</definedName>
    <definedName name="wrn.Imprime." hidden="1">{"Hyp&amp;Res",#N/A,TRUE,"Modele";"LO CF USD",#N/A,TRUE,"Modele";"LO CF EUR",#N/A,TRUE,"Modele";"LO P&amp;L",#N/A,TRUE,"Modele";"BNPP Tax Situation",#N/A,TRUE,"Modele";"BNPP ATR",#N/A,TRUE,"Modele";"Schedule",#N/A,TRUE,"Modele";"BNP Paribas CF",#N/A,TRUE,"Modele";"FeeSharing",#N/A,TRUE,"Modele";"Equity Use",#N/A,TRUE,"IRR Exim";"Balance Sheet",#N/A,TRUE,"IRR Exim";"TVs",#N/A,TRUE,"IRR Exim";"IRR SIA",#N/A,TRUE,"IRR Exim";"IRR SAI EXIM",#N/A,TRUE,"IRR Exim";"TV calc 2",#N/A,TRUE,"IRR Exim";"TVcalc1",#N/A,TRUE,"IRR Exim"}</definedName>
    <definedName name="wrn.Tranche._.1." hidden="1">{"Hypothèses - T1",#N/A,FALSE,"GIE- Tranche 1 seule";"Prêt - T1",#N/A,FALSE,"GIE- Tranche 1 seule";"Trésorerie - T1",#N/A,FALSE,"GIE- Tranche 1 seule";"Amort - T1",#N/A,FALSE,"GIE- Tranche 1 seule";"CR - T1",#N/A,FALSE,"GIE- Tranche 1 seule";"VAN - T1",#N/A,FALSE,"GIE- Tranche 1 seule";"Bilan - T1",#N/A,FALSE,"GIE- Tranche 1 seule";"Loyer C - T1",#N/A,FALSE,"ADF&amp;TV - T1";"Loyer - T1",#N/A,FALSE,"GIE- Tranche 1 seule";"5 Hypothèse - T1",#N/A,FALSE,"GIE- Tranche 1 seule";"5 Ec. Fiscale - T1",#N/A,FALSE,"GIE- Tranche 1 seule";"5 Tréso - T1",#N/A,FALSE,"GIE- Tranche 1 seule";"5 RF - T1",#N/A,FALSE,"GIE- Tranche 1 seule";"4 VR - T1",#N/A,FALSE,"GIE- Tranche 1 seule";"TEG 1",#N/A,FALSE,"TEG 1";"DGI SYNTH",#N/A,FALSE,"Décomposition"}</definedName>
    <definedName name="wrn.Tranche._.1._.et._.Tranche._.2." hidden="1">{"Hypothèse T1 + T2",#N/A,FALSE,"GIE- Centrale en totalité";"Prêt T1 + T2",#N/A,FALSE,"GIE- Centrale en totalité";"Trésorerie - T1 + T2",#N/A,FALSE,"GIE- Centrale en totalité";"Amort - T1 + T2",#N/A,FALSE,"GIE- Centrale en totalité";"CR - T1 + T2",#N/A,FALSE,"GIE- Centrale en totalité";"VAN - T1 + T2",#N/A,FALSE,"GIE- Centrale en totalité";"Bilan - T1 + T2",#N/A,FALSE,"GIE- Centrale en totalité";"Loyer - T1 + T2",#N/A,FALSE,"GIE- Centrale en totalité";"Loyer C - T1 + T2",#N/A,FALSE,"GIE- Centrale en totalité";"5 Hypothèse - T1 + T2",#N/A,FALSE,"GIE- Centrale en totalité";"5 Ec. Fiscale - T1 + T2",#N/A,FALSE,"GIE- Centrale en totalité";"5 Tréso - T1 + T2",#N/A,FALSE,"GIE- Centrale en totalité";"5 RF - T1 + T2",#N/A,FALSE,"GIE- Centrale en totalité";"4 VR - T1 + T2",#N/A,FALSE,"GIE- Centrale en totalité";"TEG 2",#N/A,FALSE,"TEG 1&amp;2"}</definedName>
    <definedName name="Z_7260F990_129C_11D3_AE5E_0090274E55AC_.wvu.PrintArea" localSheetId="0" hidden="1">Loyers!$A$1:$AB$75</definedName>
    <definedName name="Z_7260F990_129C_11D3_AE5E_0090274E55AC_.wvu.Rows" localSheetId="0" hidden="1">Loyers!#REF!,Loyers!#REF!,Loyers!#REF!,Loyers!#REF!</definedName>
    <definedName name="_xlnm.Print_Area" localSheetId="0">Loyers!$A$1:$AG$77</definedName>
  </definedNames>
  <calcPr calcId="152511"/>
</workbook>
</file>

<file path=xl/calcChain.xml><?xml version="1.0" encoding="utf-8"?>
<calcChain xmlns="http://schemas.openxmlformats.org/spreadsheetml/2006/main">
  <c r="AC62" i="18" l="1"/>
  <c r="AC61" i="18"/>
  <c r="AC60" i="18"/>
  <c r="AC59" i="18"/>
  <c r="AC58" i="18"/>
  <c r="AC53" i="18"/>
  <c r="AC52" i="18"/>
  <c r="AC51" i="18"/>
  <c r="AC50" i="18"/>
  <c r="AC49" i="18"/>
  <c r="AB49" i="18" l="1"/>
  <c r="AD49" i="18" l="1"/>
  <c r="D54" i="18"/>
  <c r="E54" i="18"/>
  <c r="I54" i="18" s="1"/>
  <c r="I55" i="18" s="1"/>
  <c r="F54" i="18"/>
  <c r="D53" i="18"/>
  <c r="D52" i="18"/>
  <c r="D51" i="18"/>
  <c r="D50" i="18"/>
  <c r="D49" i="18"/>
  <c r="A50" i="18"/>
  <c r="B50" i="18"/>
  <c r="C50" i="18"/>
  <c r="E50" i="18"/>
  <c r="A51" i="18"/>
  <c r="B51" i="18"/>
  <c r="C51" i="18"/>
  <c r="E51" i="18"/>
  <c r="A52" i="18"/>
  <c r="B52" i="18"/>
  <c r="C52" i="18"/>
  <c r="E52" i="18"/>
  <c r="F52" i="18"/>
  <c r="A53" i="18"/>
  <c r="B53" i="18"/>
  <c r="C53" i="18"/>
  <c r="E53" i="18"/>
  <c r="G53" i="18" s="1"/>
  <c r="F53" i="18"/>
  <c r="A54" i="18"/>
  <c r="B54" i="18"/>
  <c r="C54" i="18"/>
  <c r="H51" i="18" l="1"/>
  <c r="I51" i="18"/>
  <c r="G51" i="18"/>
  <c r="G54" i="18"/>
  <c r="H54" i="18"/>
  <c r="G52" i="18"/>
  <c r="H52" i="18"/>
  <c r="I52" i="18"/>
  <c r="I50" i="18"/>
  <c r="H50" i="18"/>
  <c r="G50" i="18"/>
  <c r="I53" i="18"/>
  <c r="H53" i="18"/>
  <c r="F51" i="18"/>
  <c r="F50" i="18"/>
  <c r="B70" i="18"/>
  <c r="B69" i="18"/>
  <c r="A69" i="18"/>
  <c r="B68" i="18"/>
  <c r="A68" i="18"/>
  <c r="B67" i="18"/>
  <c r="A67" i="18"/>
  <c r="B66" i="18"/>
  <c r="A66" i="18"/>
  <c r="B62" i="18"/>
  <c r="A62" i="18"/>
  <c r="B61" i="18"/>
  <c r="A61" i="18"/>
  <c r="B60" i="18"/>
  <c r="A60" i="18"/>
  <c r="B59" i="18"/>
  <c r="A59" i="18"/>
  <c r="B58" i="18"/>
  <c r="A58" i="18"/>
  <c r="K54" i="18"/>
  <c r="B49" i="18"/>
  <c r="A49" i="18"/>
  <c r="F48" i="18"/>
  <c r="A46" i="18"/>
  <c r="I45" i="18"/>
  <c r="G45" i="18"/>
  <c r="F45" i="18"/>
  <c r="C42" i="18"/>
  <c r="AA39" i="18"/>
  <c r="Y38" i="18"/>
  <c r="X38" i="18"/>
  <c r="AA38" i="18" s="1"/>
  <c r="C38" i="18"/>
  <c r="G37" i="18" s="1"/>
  <c r="F37" i="18"/>
  <c r="W29" i="18"/>
  <c r="V29" i="18"/>
  <c r="AB28" i="18"/>
  <c r="X28" i="18"/>
  <c r="P28" i="18"/>
  <c r="S28" i="18" s="1"/>
  <c r="AA28" i="18" s="1"/>
  <c r="M28" i="18"/>
  <c r="Q28" i="18" s="1"/>
  <c r="J28" i="18"/>
  <c r="AB27" i="18"/>
  <c r="AB29" i="18" s="1"/>
  <c r="U27" i="18"/>
  <c r="AC27" i="18" s="1"/>
  <c r="C68" i="18" s="1"/>
  <c r="Q27" i="18"/>
  <c r="Y27" i="18" s="1"/>
  <c r="P27" i="18"/>
  <c r="S27" i="18" s="1"/>
  <c r="AA27" i="18" s="1"/>
  <c r="M27" i="18"/>
  <c r="J27" i="18"/>
  <c r="R27" i="18" s="1"/>
  <c r="Z27" i="18" s="1"/>
  <c r="AB26" i="18"/>
  <c r="S26" i="18"/>
  <c r="AA26" i="18" s="1"/>
  <c r="P26" i="18"/>
  <c r="M26" i="18"/>
  <c r="Q26" i="18" s="1"/>
  <c r="Y26" i="18" s="1"/>
  <c r="J26" i="18"/>
  <c r="X26" i="18" s="1"/>
  <c r="AB25" i="18"/>
  <c r="S25" i="18"/>
  <c r="AA25" i="18" s="1"/>
  <c r="R25" i="18"/>
  <c r="Z25" i="18" s="1"/>
  <c r="P25" i="18"/>
  <c r="M25" i="18"/>
  <c r="Q25" i="18" s="1"/>
  <c r="Y25" i="18" s="1"/>
  <c r="J25" i="18"/>
  <c r="X25" i="18" s="1"/>
  <c r="AD23" i="18"/>
  <c r="AF22" i="18"/>
  <c r="AE22" i="18"/>
  <c r="V22" i="18"/>
  <c r="W21" i="18"/>
  <c r="T21" i="18"/>
  <c r="AB21" i="18" s="1"/>
  <c r="S21" i="18"/>
  <c r="AA21" i="18" s="1"/>
  <c r="Q21" i="18"/>
  <c r="Y21" i="18" s="1"/>
  <c r="M21" i="18"/>
  <c r="J21" i="18"/>
  <c r="X21" i="18" s="1"/>
  <c r="W20" i="18"/>
  <c r="T20" i="18"/>
  <c r="AB20" i="18" s="1"/>
  <c r="S20" i="18"/>
  <c r="AA20" i="18" s="1"/>
  <c r="M20" i="18"/>
  <c r="Q20" i="18" s="1"/>
  <c r="Y20" i="18" s="1"/>
  <c r="J20" i="18"/>
  <c r="X20" i="18" s="1"/>
  <c r="AB19" i="18"/>
  <c r="AA19" i="18"/>
  <c r="W19" i="18"/>
  <c r="T19" i="18"/>
  <c r="S19" i="18"/>
  <c r="Q19" i="18"/>
  <c r="Y19" i="18" s="1"/>
  <c r="M19" i="18"/>
  <c r="J19" i="18"/>
  <c r="K60" i="18" s="1"/>
  <c r="AA18" i="18"/>
  <c r="W18" i="18"/>
  <c r="T18" i="18"/>
  <c r="AB18" i="18" s="1"/>
  <c r="S18" i="18"/>
  <c r="M18" i="18"/>
  <c r="Q18" i="18" s="1"/>
  <c r="J18" i="18"/>
  <c r="K59" i="18" s="1"/>
  <c r="Y17" i="18"/>
  <c r="W17" i="18"/>
  <c r="T17" i="18"/>
  <c r="AB17" i="18" s="1"/>
  <c r="S17" i="18"/>
  <c r="AA17" i="18" s="1"/>
  <c r="Q17" i="18"/>
  <c r="M17" i="18"/>
  <c r="J17" i="18"/>
  <c r="U17" i="18" s="1"/>
  <c r="AF14" i="18"/>
  <c r="AE14" i="18"/>
  <c r="V14" i="18"/>
  <c r="V31" i="18" s="1"/>
  <c r="AB13" i="18"/>
  <c r="U13" i="18"/>
  <c r="AC13" i="18" s="1"/>
  <c r="Q13" i="18"/>
  <c r="R13" i="18" s="1"/>
  <c r="L54" i="18" s="1"/>
  <c r="Z54" i="18" s="1"/>
  <c r="P13" i="18"/>
  <c r="S13" i="18" s="1"/>
  <c r="AA13" i="18" s="1"/>
  <c r="AD12" i="18"/>
  <c r="X12" i="18"/>
  <c r="W12" i="18"/>
  <c r="T12" i="18"/>
  <c r="AB12" i="18" s="1"/>
  <c r="P12" i="18"/>
  <c r="S12" i="18" s="1"/>
  <c r="AA12" i="18" s="1"/>
  <c r="M12" i="18"/>
  <c r="Q12" i="18" s="1"/>
  <c r="J12" i="18"/>
  <c r="K53" i="18" s="1"/>
  <c r="AD11" i="18"/>
  <c r="W11" i="18"/>
  <c r="T11" i="18"/>
  <c r="AB11" i="18" s="1"/>
  <c r="P11" i="18"/>
  <c r="S11" i="18" s="1"/>
  <c r="AA11" i="18" s="1"/>
  <c r="M11" i="18"/>
  <c r="Q11" i="18" s="1"/>
  <c r="Y11" i="18" s="1"/>
  <c r="J11" i="18"/>
  <c r="AD10" i="18"/>
  <c r="W10" i="18"/>
  <c r="T10" i="18"/>
  <c r="AB10" i="18" s="1"/>
  <c r="P10" i="18"/>
  <c r="S10" i="18" s="1"/>
  <c r="AA10" i="18" s="1"/>
  <c r="M10" i="18"/>
  <c r="Q10" i="18" s="1"/>
  <c r="Y10" i="18" s="1"/>
  <c r="J10" i="18"/>
  <c r="K51" i="18" s="1"/>
  <c r="AD9" i="18"/>
  <c r="W9" i="18"/>
  <c r="T9" i="18"/>
  <c r="AB9" i="18" s="1"/>
  <c r="P9" i="18"/>
  <c r="S9" i="18" s="1"/>
  <c r="AA9" i="18" s="1"/>
  <c r="M9" i="18"/>
  <c r="Q9" i="18" s="1"/>
  <c r="J9" i="18"/>
  <c r="R9" i="18" s="1"/>
  <c r="AD8" i="18"/>
  <c r="W8" i="18"/>
  <c r="T8" i="18"/>
  <c r="AB8" i="18" s="1"/>
  <c r="P8" i="18"/>
  <c r="S8" i="18" s="1"/>
  <c r="AA8" i="18" s="1"/>
  <c r="M8" i="18"/>
  <c r="Q8" i="18" s="1"/>
  <c r="Y8" i="18" s="1"/>
  <c r="J8" i="18"/>
  <c r="X8" i="18" s="1"/>
  <c r="W14" i="18" l="1"/>
  <c r="AB22" i="18"/>
  <c r="AA14" i="18"/>
  <c r="X9" i="18"/>
  <c r="U12" i="18"/>
  <c r="Y12" i="18"/>
  <c r="AB54" i="18"/>
  <c r="O54" i="18"/>
  <c r="X29" i="18"/>
  <c r="J29" i="18" s="1"/>
  <c r="AA29" i="18"/>
  <c r="AB14" i="18"/>
  <c r="AB31" i="18" s="1"/>
  <c r="AA33" i="18" s="1"/>
  <c r="L50" i="18"/>
  <c r="Z50" i="18" s="1"/>
  <c r="Z9" i="18"/>
  <c r="W31" i="18"/>
  <c r="W32" i="18"/>
  <c r="X37" i="18" s="1"/>
  <c r="U9" i="18"/>
  <c r="Y9" i="18"/>
  <c r="M58" i="18"/>
  <c r="AC17" i="18"/>
  <c r="AG17" i="18"/>
  <c r="U18" i="18"/>
  <c r="R18" i="18"/>
  <c r="Y18" i="18"/>
  <c r="Y22" i="18" s="1"/>
  <c r="Y28" i="18"/>
  <c r="Y29" i="18" s="1"/>
  <c r="U28" i="18"/>
  <c r="AC28" i="18" s="1"/>
  <c r="C69" i="18" s="1"/>
  <c r="R10" i="18"/>
  <c r="B55" i="18"/>
  <c r="U8" i="18"/>
  <c r="AD14" i="18"/>
  <c r="X10" i="18"/>
  <c r="K52" i="18"/>
  <c r="X11" i="18"/>
  <c r="R11" i="18"/>
  <c r="R19" i="18"/>
  <c r="R20" i="18"/>
  <c r="X27" i="18"/>
  <c r="R45" i="18"/>
  <c r="W45" i="18" s="1"/>
  <c r="K49" i="18"/>
  <c r="M54" i="18"/>
  <c r="U19" i="18"/>
  <c r="R26" i="18"/>
  <c r="Z26" i="18" s="1"/>
  <c r="Z29" i="18" s="1"/>
  <c r="R29" i="18" s="1"/>
  <c r="R8" i="18"/>
  <c r="W22" i="18"/>
  <c r="W33" i="18" s="1"/>
  <c r="Y37" i="18" s="1"/>
  <c r="X19" i="18"/>
  <c r="K62" i="18"/>
  <c r="R21" i="18"/>
  <c r="U25" i="18"/>
  <c r="AC25" i="18" s="1"/>
  <c r="R28" i="18"/>
  <c r="Z28" i="18" s="1"/>
  <c r="K50" i="18"/>
  <c r="K58" i="18"/>
  <c r="R17" i="18"/>
  <c r="U26" i="18"/>
  <c r="AC26" i="18" s="1"/>
  <c r="C67" i="18" s="1"/>
  <c r="U10" i="18"/>
  <c r="U11" i="18"/>
  <c r="AA22" i="18"/>
  <c r="AA31" i="18" s="1"/>
  <c r="X17" i="18"/>
  <c r="X22" i="18" s="1"/>
  <c r="K61" i="18"/>
  <c r="U20" i="18"/>
  <c r="U21" i="18"/>
  <c r="R12" i="18"/>
  <c r="X18" i="18"/>
  <c r="F57" i="18"/>
  <c r="B63" i="18"/>
  <c r="Y14" i="18" l="1"/>
  <c r="X14" i="18"/>
  <c r="X31" i="18" s="1"/>
  <c r="K55" i="18"/>
  <c r="J14" i="18"/>
  <c r="Y31" i="18"/>
  <c r="M61" i="18"/>
  <c r="AG20" i="18"/>
  <c r="AC20" i="18"/>
  <c r="C61" i="18" s="1"/>
  <c r="L52" i="18"/>
  <c r="Z52" i="18" s="1"/>
  <c r="Z11" i="18"/>
  <c r="L59" i="18"/>
  <c r="Z59" i="18" s="1"/>
  <c r="Z18" i="18"/>
  <c r="R48" i="18"/>
  <c r="R57" i="18" s="1"/>
  <c r="AG10" i="18"/>
  <c r="AC10" i="18"/>
  <c r="M51" i="18"/>
  <c r="M60" i="18"/>
  <c r="AC19" i="18"/>
  <c r="C60" i="18" s="1"/>
  <c r="AG19" i="18"/>
  <c r="M49" i="18"/>
  <c r="AG8" i="18"/>
  <c r="AC8" i="18"/>
  <c r="M59" i="18"/>
  <c r="AC18" i="18"/>
  <c r="C59" i="18" s="1"/>
  <c r="AG18" i="18"/>
  <c r="M52" i="18"/>
  <c r="AG11" i="18"/>
  <c r="AC11" i="18"/>
  <c r="AB50" i="18"/>
  <c r="O50" i="18"/>
  <c r="L53" i="18"/>
  <c r="Z53" i="18" s="1"/>
  <c r="Z12" i="18"/>
  <c r="K63" i="18"/>
  <c r="J22" i="18"/>
  <c r="C66" i="18"/>
  <c r="C70" i="18" s="1"/>
  <c r="AC29" i="18"/>
  <c r="L61" i="18"/>
  <c r="Z61" i="18" s="1"/>
  <c r="Z20" i="18"/>
  <c r="M50" i="18"/>
  <c r="AG9" i="18"/>
  <c r="AC9" i="18"/>
  <c r="M53" i="18"/>
  <c r="AG12" i="18"/>
  <c r="AC12" i="18"/>
  <c r="L58" i="18"/>
  <c r="Z58" i="18" s="1"/>
  <c r="Z17" i="18"/>
  <c r="L51" i="18"/>
  <c r="Z51" i="18" s="1"/>
  <c r="Z10" i="18"/>
  <c r="Q54" i="18"/>
  <c r="M62" i="18"/>
  <c r="AG21" i="18"/>
  <c r="AC21" i="18"/>
  <c r="C62" i="18" s="1"/>
  <c r="L62" i="18"/>
  <c r="Z62" i="18" s="1"/>
  <c r="Z21" i="18"/>
  <c r="L49" i="18"/>
  <c r="Z49" i="18" s="1"/>
  <c r="Z8" i="18"/>
  <c r="L60" i="18"/>
  <c r="Z60" i="18" s="1"/>
  <c r="Z19" i="18"/>
  <c r="B72" i="18"/>
  <c r="C58" i="18"/>
  <c r="AA37" i="18"/>
  <c r="Z14" i="18" l="1"/>
  <c r="AG22" i="18"/>
  <c r="L55" i="18"/>
  <c r="Z55" i="18" s="1"/>
  <c r="R14" i="18"/>
  <c r="AB61" i="18"/>
  <c r="AD61" i="18" s="1"/>
  <c r="O61" i="18"/>
  <c r="B73" i="18"/>
  <c r="O49" i="18"/>
  <c r="AB51" i="18"/>
  <c r="O51" i="18"/>
  <c r="U29" i="18"/>
  <c r="H41" i="18"/>
  <c r="H42" i="18" s="1"/>
  <c r="K72" i="18"/>
  <c r="J31" i="18"/>
  <c r="AG14" i="18"/>
  <c r="AB52" i="18"/>
  <c r="AD52" i="18" s="1"/>
  <c r="O52" i="18"/>
  <c r="AC22" i="18"/>
  <c r="Z22" i="18"/>
  <c r="AB53" i="18"/>
  <c r="O53" i="18"/>
  <c r="AB59" i="18"/>
  <c r="AD59" i="18" s="1"/>
  <c r="O59" i="18"/>
  <c r="C63" i="18"/>
  <c r="D63" i="18" s="1"/>
  <c r="O60" i="18"/>
  <c r="AB60" i="18"/>
  <c r="AD60" i="18" s="1"/>
  <c r="AB62" i="18"/>
  <c r="AD62" i="18" s="1"/>
  <c r="O62" i="18"/>
  <c r="Y54" i="18"/>
  <c r="T54" i="18"/>
  <c r="X54" i="18"/>
  <c r="S54" i="18"/>
  <c r="W54" i="18"/>
  <c r="R54" i="18"/>
  <c r="V54" i="18"/>
  <c r="AB58" i="18"/>
  <c r="O58" i="18"/>
  <c r="O63" i="18" s="1"/>
  <c r="C49" i="18"/>
  <c r="AC14" i="18"/>
  <c r="D59" i="18" l="1"/>
  <c r="D60" i="18"/>
  <c r="D62" i="18"/>
  <c r="D58" i="18"/>
  <c r="F58" i="18" s="1"/>
  <c r="D61" i="18"/>
  <c r="C55" i="18"/>
  <c r="C56" i="18" s="1"/>
  <c r="L63" i="18"/>
  <c r="Z63" i="18" s="1"/>
  <c r="R22" i="18"/>
  <c r="Q52" i="18"/>
  <c r="AE52" i="18" s="1"/>
  <c r="Q50" i="18"/>
  <c r="AD54" i="18"/>
  <c r="AA54" i="18"/>
  <c r="N54" i="18"/>
  <c r="P54" i="18" s="1"/>
  <c r="F63" i="18"/>
  <c r="I64" i="18" s="1"/>
  <c r="Q53" i="18"/>
  <c r="AE53" i="18" s="1"/>
  <c r="Q51" i="18"/>
  <c r="C64" i="18"/>
  <c r="M63" i="18"/>
  <c r="E63" i="18" s="1"/>
  <c r="AC23" i="18"/>
  <c r="U22" i="18"/>
  <c r="G41" i="18"/>
  <c r="G42" i="18" s="1"/>
  <c r="Y36" i="18"/>
  <c r="Y40" i="18" s="1"/>
  <c r="Y42" i="18" s="1"/>
  <c r="O55" i="18"/>
  <c r="O72" i="18" s="1"/>
  <c r="Z72" i="18" s="1"/>
  <c r="Z31" i="18"/>
  <c r="M55" i="18"/>
  <c r="AC15" i="18"/>
  <c r="AD22" i="18"/>
  <c r="X36" i="18"/>
  <c r="AC31" i="18"/>
  <c r="U14" i="18"/>
  <c r="F41" i="18"/>
  <c r="E58" i="18" l="1"/>
  <c r="E62" i="18"/>
  <c r="F62" i="18"/>
  <c r="F60" i="18"/>
  <c r="E60" i="18"/>
  <c r="E61" i="18"/>
  <c r="F61" i="18"/>
  <c r="F59" i="18"/>
  <c r="E59" i="18"/>
  <c r="G63" i="18"/>
  <c r="Q63" i="18"/>
  <c r="H63" i="18"/>
  <c r="AA36" i="18"/>
  <c r="X40" i="18"/>
  <c r="L72" i="18"/>
  <c r="R31" i="18"/>
  <c r="Y50" i="18"/>
  <c r="T50" i="18"/>
  <c r="X50" i="18"/>
  <c r="R50" i="18"/>
  <c r="W50" i="18"/>
  <c r="V50" i="18"/>
  <c r="AD50" i="18" s="1"/>
  <c r="S50" i="18"/>
  <c r="AE50" i="18"/>
  <c r="I41" i="18"/>
  <c r="I42" i="18" s="1"/>
  <c r="F42" i="18"/>
  <c r="Y53" i="18"/>
  <c r="T53" i="18"/>
  <c r="X53" i="18"/>
  <c r="S53" i="18"/>
  <c r="W53" i="18"/>
  <c r="R53" i="18"/>
  <c r="V53" i="18"/>
  <c r="AD53" i="18" s="1"/>
  <c r="G58" i="18"/>
  <c r="I58" i="18"/>
  <c r="Q58" i="18"/>
  <c r="H58" i="18"/>
  <c r="E49" i="18"/>
  <c r="M72" i="18"/>
  <c r="U31" i="18"/>
  <c r="Y51" i="18"/>
  <c r="T51" i="18"/>
  <c r="X51" i="18"/>
  <c r="S51" i="18"/>
  <c r="W51" i="18"/>
  <c r="R51" i="18"/>
  <c r="V51" i="18"/>
  <c r="AD51" i="18" s="1"/>
  <c r="Y52" i="18"/>
  <c r="T52" i="18"/>
  <c r="X52" i="18"/>
  <c r="S52" i="18"/>
  <c r="W52" i="18"/>
  <c r="R52" i="18"/>
  <c r="V52" i="18"/>
  <c r="AF52" i="18" s="1"/>
  <c r="AE51" i="18"/>
  <c r="C72" i="18"/>
  <c r="D72" i="18" s="1"/>
  <c r="D55" i="18"/>
  <c r="F49" i="18" s="1"/>
  <c r="H59" i="18" l="1"/>
  <c r="G59" i="18"/>
  <c r="I59" i="18"/>
  <c r="Q59" i="18"/>
  <c r="Q60" i="18"/>
  <c r="G60" i="18"/>
  <c r="I60" i="18"/>
  <c r="H60" i="18"/>
  <c r="Q61" i="18"/>
  <c r="H61" i="18"/>
  <c r="G61" i="18"/>
  <c r="I61" i="18"/>
  <c r="I62" i="18"/>
  <c r="Q62" i="18"/>
  <c r="G62" i="18"/>
  <c r="H62" i="18"/>
  <c r="AA53" i="18"/>
  <c r="N53" i="18"/>
  <c r="P53" i="18" s="1"/>
  <c r="AA51" i="18"/>
  <c r="N51" i="18"/>
  <c r="P51" i="18" s="1"/>
  <c r="Y63" i="18"/>
  <c r="T63" i="18"/>
  <c r="X63" i="18"/>
  <c r="S63" i="18"/>
  <c r="W63" i="18"/>
  <c r="R63" i="18"/>
  <c r="G49" i="18"/>
  <c r="H49" i="18"/>
  <c r="I49" i="18"/>
  <c r="Q49" i="18"/>
  <c r="AA40" i="18"/>
  <c r="X42" i="18"/>
  <c r="AA42" i="18" s="1"/>
  <c r="F55" i="18"/>
  <c r="I56" i="18" s="1"/>
  <c r="E55" i="18"/>
  <c r="AA52" i="18"/>
  <c r="N52" i="18"/>
  <c r="P52" i="18" s="1"/>
  <c r="C73" i="18"/>
  <c r="Y58" i="18"/>
  <c r="T58" i="18"/>
  <c r="X58" i="18"/>
  <c r="S58" i="18"/>
  <c r="W58" i="18"/>
  <c r="R58" i="18"/>
  <c r="V58" i="18"/>
  <c r="AD58" i="18" s="1"/>
  <c r="AD64" i="18" s="1"/>
  <c r="AE58" i="18"/>
  <c r="N50" i="18"/>
  <c r="P50" i="18" s="1"/>
  <c r="AA50" i="18"/>
  <c r="I63" i="18" l="1"/>
  <c r="T64" i="18" s="1"/>
  <c r="AE59" i="18"/>
  <c r="W59" i="18"/>
  <c r="Y59" i="18"/>
  <c r="V59" i="18"/>
  <c r="R59" i="18"/>
  <c r="X59" i="18"/>
  <c r="S59" i="18"/>
  <c r="T59" i="18"/>
  <c r="Y61" i="18"/>
  <c r="R61" i="18"/>
  <c r="X61" i="18"/>
  <c r="AE61" i="18"/>
  <c r="T61" i="18"/>
  <c r="W61" i="18"/>
  <c r="V61" i="18"/>
  <c r="S61" i="18"/>
  <c r="Y62" i="18"/>
  <c r="W62" i="18"/>
  <c r="X62" i="18"/>
  <c r="V62" i="18"/>
  <c r="S62" i="18"/>
  <c r="T62" i="18"/>
  <c r="R62" i="18"/>
  <c r="AE62" i="18"/>
  <c r="AF62" i="18" s="1"/>
  <c r="V60" i="18"/>
  <c r="X60" i="18"/>
  <c r="W60" i="18"/>
  <c r="T60" i="18"/>
  <c r="Y60" i="18"/>
  <c r="AE60" i="18"/>
  <c r="R60" i="18"/>
  <c r="S60" i="18"/>
  <c r="Q55" i="18"/>
  <c r="H55" i="18"/>
  <c r="G55" i="18"/>
  <c r="AF58" i="18"/>
  <c r="T56" i="18"/>
  <c r="T73" i="18" s="1"/>
  <c r="I72" i="18"/>
  <c r="Y49" i="18"/>
  <c r="T49" i="18"/>
  <c r="S49" i="18"/>
  <c r="V49" i="18"/>
  <c r="X49" i="18"/>
  <c r="R49" i="18"/>
  <c r="W49" i="18"/>
  <c r="AE49" i="18"/>
  <c r="AA58" i="18"/>
  <c r="N58" i="18"/>
  <c r="AF61" i="18" l="1"/>
  <c r="N59" i="18"/>
  <c r="P59" i="18" s="1"/>
  <c r="AA59" i="18"/>
  <c r="N61" i="18"/>
  <c r="P61" i="18" s="1"/>
  <c r="AA61" i="18"/>
  <c r="AF60" i="18"/>
  <c r="AA62" i="18"/>
  <c r="N62" i="18"/>
  <c r="P62" i="18" s="1"/>
  <c r="AA60" i="18"/>
  <c r="N60" i="18"/>
  <c r="P60" i="18" s="1"/>
  <c r="AF59" i="18"/>
  <c r="AD56" i="18"/>
  <c r="N49" i="18"/>
  <c r="AA49" i="18"/>
  <c r="F72" i="18"/>
  <c r="I73" i="18" s="1"/>
  <c r="T74" i="18" s="1"/>
  <c r="E72" i="18"/>
  <c r="P58" i="18"/>
  <c r="W55" i="18"/>
  <c r="R55" i="18"/>
  <c r="Y55" i="18"/>
  <c r="T55" i="18"/>
  <c r="S55" i="18"/>
  <c r="X55" i="18"/>
  <c r="P63" i="18" l="1"/>
  <c r="N63" i="18"/>
  <c r="Y64" i="18" s="1"/>
  <c r="V63" i="18" s="1"/>
  <c r="AA63" i="18" s="1"/>
  <c r="AE64" i="18"/>
  <c r="N55" i="18"/>
  <c r="P49" i="18"/>
  <c r="P55" i="18" s="1"/>
  <c r="G72" i="18"/>
  <c r="H72" i="18"/>
  <c r="Q72" i="18"/>
  <c r="Y72" i="18" l="1"/>
  <c r="T72" i="18"/>
  <c r="X72" i="18"/>
  <c r="S72" i="18"/>
  <c r="W72" i="18"/>
  <c r="R72" i="18"/>
  <c r="N72" i="18"/>
  <c r="Y56" i="18"/>
  <c r="P72" i="18"/>
  <c r="AA72" i="18" s="1"/>
  <c r="AA55" i="18"/>
  <c r="Y73" i="18" l="1"/>
  <c r="V72" i="18" s="1"/>
  <c r="V55" i="18"/>
  <c r="AE56" i="18"/>
  <c r="F56" i="18" s="1"/>
</calcChain>
</file>

<file path=xl/comments1.xml><?xml version="1.0" encoding="utf-8"?>
<comments xmlns="http://schemas.openxmlformats.org/spreadsheetml/2006/main">
  <authors>
    <author>DJA</author>
    <author>JACAMON</author>
    <author>lmai</author>
    <author>NBL</author>
    <author>Nathalie BLANDINO</author>
  </authors>
  <commentList>
    <comment ref="U5" authorId="0" shapeId="0">
      <text>
        <r>
          <rPr>
            <b/>
            <sz val="8"/>
            <color indexed="81"/>
            <rFont val="Tahoma"/>
            <family val="2"/>
          </rPr>
          <t>S+Sa/2+Sg/2+Slcr/2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K6" authorId="1" shapeId="0">
      <text>
        <r>
          <rPr>
            <sz val="8"/>
            <color indexed="81"/>
            <rFont val="Tahoma"/>
            <family val="2"/>
          </rPr>
          <t xml:space="preserve">annexes privatives couvertes: balcons,loggia,var&gt;14...
</t>
        </r>
      </text>
    </comment>
    <comment ref="L6" authorId="1" shapeId="0">
      <text>
        <r>
          <rPr>
            <sz val="8"/>
            <color indexed="81"/>
            <rFont val="Tahoma"/>
            <family val="2"/>
          </rPr>
          <t xml:space="preserve">autres annexes privatives
</t>
        </r>
      </text>
    </comment>
    <comment ref="M6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N6" authorId="2" shapeId="0">
      <text>
        <r>
          <rPr>
            <sz val="8"/>
            <color indexed="81"/>
            <rFont val="Tahoma"/>
            <family val="2"/>
          </rPr>
          <t xml:space="preserve">garages, boxes ou caves?  en sous sol 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O6" authorId="1" shapeId="0">
      <text>
        <r>
          <rPr>
            <sz val="8"/>
            <color indexed="81"/>
            <rFont val="Tahoma"/>
            <family val="2"/>
          </rPr>
          <t>Garages, boxes en superstructure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P6" authorId="0" shapeId="0">
      <text>
        <r>
          <rPr>
            <b/>
            <sz val="8"/>
            <color indexed="81"/>
            <rFont val="Tahoma"/>
            <family val="2"/>
          </rPr>
          <t>surfaces réelles non pondérées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D34" authorId="0" shapeId="0">
      <text>
        <r>
          <rPr>
            <sz val="8"/>
            <color indexed="81"/>
            <rFont val="Tahoma"/>
            <family val="2"/>
          </rPr>
          <t>année de programmation LBU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U38" authorId="3" shapeId="0">
      <text>
        <r>
          <rPr>
            <b/>
            <sz val="9"/>
            <color indexed="81"/>
            <rFont val="Tahoma"/>
            <family val="2"/>
          </rPr>
          <t>NBL:</t>
        </r>
        <r>
          <rPr>
            <sz val="9"/>
            <color indexed="81"/>
            <rFont val="Tahoma"/>
            <family val="2"/>
          </rPr>
          <t xml:space="preserve">
coût réel ascenseur plafonné à 5 % de Travaux Bâtiment ==&gt; mettre la part du coût réel ascenseur</t>
        </r>
      </text>
    </comment>
    <comment ref="Q45" authorId="0" shapeId="0">
      <text>
        <r>
          <rPr>
            <sz val="8"/>
            <color indexed="81"/>
            <rFont val="Tahoma"/>
            <family val="2"/>
          </rPr>
          <t>hypothèse d'actualisation IRL, entre DF et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W45" authorId="0" shapeId="0">
      <text>
        <r>
          <rPr>
            <sz val="8"/>
            <color indexed="81"/>
            <rFont val="Tahoma"/>
            <family val="2"/>
          </rPr>
          <t>IRL publié à la livraison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V46" authorId="0" shapeId="0">
      <text>
        <r>
          <rPr>
            <sz val="8"/>
            <color indexed="81"/>
            <rFont val="Tahoma"/>
            <family val="2"/>
          </rPr>
          <t>égal ou inférieur à L.max actualisé à la DAT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48" authorId="0" shapeId="0">
      <text>
        <r>
          <rPr>
            <sz val="8"/>
            <color indexed="81"/>
            <rFont val="Tahoma"/>
            <family val="2"/>
          </rPr>
          <t>taux de loyer LLS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48" authorId="0" shapeId="0">
      <text>
        <r>
          <rPr>
            <sz val="8"/>
            <color indexed="81"/>
            <rFont val="Tahoma"/>
            <family val="2"/>
          </rPr>
          <t xml:space="preserve">au m2 / SU
+ 0,25 € si ascenseur
</t>
        </r>
      </text>
    </comment>
    <comment ref="V49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55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I57" authorId="0" shapeId="0">
      <text>
        <r>
          <rPr>
            <sz val="8"/>
            <color indexed="81"/>
            <rFont val="Tahoma"/>
            <family val="2"/>
          </rPr>
          <t>taux de loyer LLTS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Z57" authorId="4" shapeId="0">
      <text>
        <r>
          <rPr>
            <b/>
            <sz val="9"/>
            <color indexed="81"/>
            <rFont val="Tahoma"/>
            <family val="2"/>
          </rPr>
          <t>Nathalie BLANDINO:</t>
        </r>
        <r>
          <rPr>
            <sz val="9"/>
            <color indexed="81"/>
            <rFont val="Tahoma"/>
            <family val="2"/>
          </rPr>
          <t xml:space="preserve">
au m2 / SU
+ 0,25 € si ascenseur</t>
        </r>
      </text>
    </comment>
    <comment ref="V58" authorId="0" shapeId="0">
      <text>
        <r>
          <rPr>
            <sz val="8"/>
            <color indexed="81"/>
            <rFont val="Tahoma"/>
            <family val="2"/>
          </rPr>
          <t>entrée en valeur : égal ou inférieur à L.max actualisé à la DAT.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63" authorId="0" shapeId="0">
      <text>
        <r>
          <rPr>
            <b/>
            <sz val="8"/>
            <color indexed="81"/>
            <rFont val="Tahoma"/>
            <family val="2"/>
          </rPr>
          <t>Sf moyenne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<sst xmlns="http://schemas.openxmlformats.org/spreadsheetml/2006/main" count="294" uniqueCount="177">
  <si>
    <t>Nbre</t>
  </si>
  <si>
    <t>LLS</t>
  </si>
  <si>
    <t>LLTS</t>
  </si>
  <si>
    <t xml:space="preserve"> </t>
  </si>
  <si>
    <t>Surface finançable</t>
  </si>
  <si>
    <t>Total</t>
  </si>
  <si>
    <t>Surface habitable</t>
  </si>
  <si>
    <t>LCR</t>
  </si>
  <si>
    <t>cr.</t>
  </si>
  <si>
    <t>SU</t>
  </si>
  <si>
    <t>LBU</t>
  </si>
  <si>
    <t>ECS</t>
  </si>
  <si>
    <t>Groupe</t>
  </si>
  <si>
    <t>PRLC</t>
  </si>
  <si>
    <t>Autorisation CA</t>
  </si>
  <si>
    <t>PROGRAMME</t>
  </si>
  <si>
    <t>Shi</t>
  </si>
  <si>
    <t>Sv</t>
  </si>
  <si>
    <t>S</t>
  </si>
  <si>
    <t>annexes privatives</t>
  </si>
  <si>
    <t>garages et boxes</t>
  </si>
  <si>
    <t>Sa/2</t>
  </si>
  <si>
    <t>Sg/2</t>
  </si>
  <si>
    <t>Slcr/2</t>
  </si>
  <si>
    <t>SF</t>
  </si>
  <si>
    <t>Nombre</t>
  </si>
  <si>
    <t>Surfaces totales</t>
  </si>
  <si>
    <t>Type</t>
  </si>
  <si>
    <t>Cat.Fin.</t>
  </si>
  <si>
    <t>N°</t>
  </si>
  <si>
    <t>S.habitable intérieure</t>
  </si>
  <si>
    <t>S.Varangue</t>
  </si>
  <si>
    <t xml:space="preserve"> Sa1 </t>
  </si>
  <si>
    <t xml:space="preserve">Sa2 </t>
  </si>
  <si>
    <t>Sa</t>
  </si>
  <si>
    <t>Sg1</t>
  </si>
  <si>
    <t>Sg2</t>
  </si>
  <si>
    <t>Sg</t>
  </si>
  <si>
    <t>Surface utile</t>
  </si>
  <si>
    <t>Chauffe eau solaire</t>
  </si>
  <si>
    <t>S.T</t>
  </si>
  <si>
    <t>Sa/2.T</t>
  </si>
  <si>
    <t>SU.T</t>
  </si>
  <si>
    <t>SF.T</t>
  </si>
  <si>
    <t>moyenne</t>
  </si>
  <si>
    <t>9&lt;&gt;14</t>
  </si>
  <si>
    <t>total</t>
  </si>
  <si>
    <t>II</t>
  </si>
  <si>
    <t>T II +V a</t>
  </si>
  <si>
    <t>56 / 85</t>
  </si>
  <si>
    <t>III</t>
  </si>
  <si>
    <t>T III +V a</t>
  </si>
  <si>
    <t>66 / 100</t>
  </si>
  <si>
    <t>IV</t>
  </si>
  <si>
    <t>T IV + V a</t>
  </si>
  <si>
    <t>76 / 115</t>
  </si>
  <si>
    <t>V</t>
  </si>
  <si>
    <t>86 / 130</t>
  </si>
  <si>
    <t>VI</t>
  </si>
  <si>
    <t>COMMERCES</t>
  </si>
  <si>
    <t>COMMERCE 1</t>
  </si>
  <si>
    <t>COMMERCE 2</t>
  </si>
  <si>
    <t>COMMERCE 3</t>
  </si>
  <si>
    <t>COMMERCE 4</t>
  </si>
  <si>
    <t>surface réelle</t>
  </si>
  <si>
    <t>SHOB</t>
  </si>
  <si>
    <t>PARAMETRES</t>
  </si>
  <si>
    <t>LLS/TS</t>
  </si>
  <si>
    <t>PRG</t>
  </si>
  <si>
    <t>Prix de revient prévisionnel</t>
  </si>
  <si>
    <t>Financement</t>
  </si>
  <si>
    <t>valeur au</t>
  </si>
  <si>
    <t>PRP</t>
  </si>
  <si>
    <t>CFRéf</t>
  </si>
  <si>
    <t>ASC</t>
  </si>
  <si>
    <t>&lt; 5%</t>
  </si>
  <si>
    <t>IRL</t>
  </si>
  <si>
    <t>LM  Dom</t>
  </si>
  <si>
    <t>REV</t>
  </si>
  <si>
    <t>indicatif</t>
  </si>
  <si>
    <t>Com</t>
  </si>
  <si>
    <t>LBU - TS</t>
  </si>
  <si>
    <t>A max</t>
  </si>
  <si>
    <t>Taux de subvention</t>
  </si>
  <si>
    <t>Au m2/SF</t>
  </si>
  <si>
    <t>Subvention LBU</t>
  </si>
  <si>
    <t>LOYERS</t>
  </si>
  <si>
    <t>Loyer plafond à la convention de financement</t>
  </si>
  <si>
    <t>Loyer plafond actualisé à la DAT</t>
  </si>
  <si>
    <t>Loyer retenu à la livraison</t>
  </si>
  <si>
    <t>Approche AL</t>
  </si>
  <si>
    <t>à compter du</t>
  </si>
  <si>
    <t>quittancement à la mise en service</t>
  </si>
  <si>
    <t xml:space="preserve">  xx TR xxxx</t>
  </si>
  <si>
    <t>date</t>
  </si>
  <si>
    <t>CS</t>
  </si>
  <si>
    <t>L.max /mois</t>
  </si>
  <si>
    <t>L.max /an</t>
  </si>
  <si>
    <t>Surface par type</t>
  </si>
  <si>
    <t>loyer annuel</t>
  </si>
  <si>
    <t>charges</t>
  </si>
  <si>
    <t>Loyer mensuel  (par type)</t>
  </si>
  <si>
    <t>provision</t>
  </si>
  <si>
    <t>par type</t>
  </si>
  <si>
    <t>m2/SF</t>
  </si>
  <si>
    <t>m2/SU</t>
  </si>
  <si>
    <t>m2/S</t>
  </si>
  <si>
    <t>OPR</t>
  </si>
  <si>
    <t>an</t>
  </si>
  <si>
    <t xml:space="preserve"> m2/SF</t>
  </si>
  <si>
    <t xml:space="preserve"> m2/SU</t>
  </si>
  <si>
    <t>pour charges</t>
  </si>
  <si>
    <t>quittance</t>
  </si>
  <si>
    <t>annuel</t>
  </si>
  <si>
    <t>Contrôle</t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</si>
  <si>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</si>
  <si>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LLTS</t>
    </r>
  </si>
  <si>
    <r>
      <t xml:space="preserve">total </t>
    </r>
    <r>
      <rPr>
        <sz val="10"/>
        <rFont val="Arial"/>
        <family val="2"/>
      </rPr>
      <t>/</t>
    </r>
    <r>
      <rPr>
        <b/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 xml:space="preserve">moyenne  </t>
    </r>
    <r>
      <rPr>
        <b/>
        <sz val="10"/>
        <rFont val="Arial"/>
        <family val="2"/>
      </rPr>
      <t>COMMERCES</t>
    </r>
  </si>
  <si>
    <r>
      <t xml:space="preserve">total </t>
    </r>
    <r>
      <rPr>
        <sz val="10"/>
        <color indexed="12"/>
        <rFont val="Arial"/>
        <family val="2"/>
      </rPr>
      <t>/</t>
    </r>
    <r>
      <rPr>
        <b/>
        <sz val="10"/>
        <color indexed="12"/>
        <rFont val="Arial"/>
        <family val="2"/>
      </rPr>
      <t xml:space="preserve"> </t>
    </r>
    <r>
      <rPr>
        <b/>
        <i/>
        <sz val="10"/>
        <color indexed="12"/>
        <rFont val="Arial"/>
        <family val="2"/>
      </rPr>
      <t xml:space="preserve">moyenne  </t>
    </r>
    <r>
      <rPr>
        <b/>
        <sz val="10"/>
        <color indexed="12"/>
        <rFont val="Arial"/>
        <family val="2"/>
      </rPr>
      <t>Groupe</t>
    </r>
  </si>
  <si>
    <r>
      <t xml:space="preserve">ICC </t>
    </r>
    <r>
      <rPr>
        <sz val="9"/>
        <rFont val="Arial"/>
        <family val="2"/>
      </rPr>
      <t>(moyenne)</t>
    </r>
  </si>
  <si>
    <r>
      <t xml:space="preserve">total </t>
    </r>
    <r>
      <rPr>
        <sz val="9"/>
        <rFont val="Arial"/>
        <family val="2"/>
      </rPr>
      <t>/</t>
    </r>
    <r>
      <rPr>
        <b/>
        <sz val="9"/>
        <rFont val="Arial"/>
        <family val="2"/>
      </rPr>
      <t xml:space="preserve"> </t>
    </r>
    <r>
      <rPr>
        <b/>
        <i/>
        <sz val="9"/>
        <rFont val="Arial"/>
        <family val="2"/>
      </rPr>
      <t>moyenne</t>
    </r>
  </si>
  <si>
    <t>S plancher</t>
  </si>
  <si>
    <t>I</t>
  </si>
  <si>
    <t>VII</t>
  </si>
  <si>
    <t>h (handicapable)
H (équipé de barres d'appui)</t>
  </si>
  <si>
    <t>T I</t>
  </si>
  <si>
    <t>16 / 30</t>
  </si>
  <si>
    <t>T I Bis a</t>
  </si>
  <si>
    <t>30 / 50</t>
  </si>
  <si>
    <t>I Bis</t>
  </si>
  <si>
    <t>T I Bis a + V</t>
  </si>
  <si>
    <t xml:space="preserve">T II </t>
  </si>
  <si>
    <t>46 / 70</t>
  </si>
  <si>
    <t>T III a</t>
  </si>
  <si>
    <t>T IV</t>
  </si>
  <si>
    <t>T V</t>
  </si>
  <si>
    <t>T V +V a</t>
  </si>
  <si>
    <t>T VI</t>
  </si>
  <si>
    <t>T VI + V a</t>
  </si>
  <si>
    <t>96 / 145</t>
  </si>
  <si>
    <t>4 TR 2017</t>
  </si>
  <si>
    <t>2 TR 2016</t>
  </si>
  <si>
    <t>surface hab int</t>
  </si>
  <si>
    <t>svarancue</t>
  </si>
  <si>
    <t>sa1</t>
  </si>
  <si>
    <t>sa</t>
  </si>
  <si>
    <t>2 TR 2017</t>
  </si>
  <si>
    <t>coef. 2018/2017</t>
  </si>
  <si>
    <t>PARKINGS</t>
  </si>
  <si>
    <r>
      <t xml:space="preserve">SHmini  / </t>
    </r>
    <r>
      <rPr>
        <sz val="9"/>
        <color indexed="10"/>
        <rFont val="Arial"/>
        <family val="2"/>
      </rPr>
      <t>SF maxi
DEAL</t>
    </r>
  </si>
  <si>
    <r>
      <t xml:space="preserve">SHmini  / </t>
    </r>
    <r>
      <rPr>
        <sz val="9"/>
        <color indexed="10"/>
        <rFont val="Arial"/>
        <family val="2"/>
      </rPr>
      <t>SF maxi
CRATE</t>
    </r>
  </si>
  <si>
    <t>30 / 30</t>
  </si>
  <si>
    <t>46 / 85</t>
  </si>
  <si>
    <t>56 / 100</t>
  </si>
  <si>
    <t>66 / 115</t>
  </si>
  <si>
    <t>Localisation
97 4xx xxxxxx</t>
  </si>
  <si>
    <t>Bât / Rue</t>
  </si>
  <si>
    <t>76 / 130</t>
  </si>
  <si>
    <t>46 / 46</t>
  </si>
  <si>
    <t>66 / 70</t>
  </si>
  <si>
    <t>76 / 80</t>
  </si>
  <si>
    <t>86 / 90</t>
  </si>
  <si>
    <t>loyer demandé</t>
  </si>
  <si>
    <t>GL hors charges</t>
  </si>
  <si>
    <t>GL y/c charges</t>
  </si>
  <si>
    <t>LLS PKG DISSOCIE</t>
  </si>
  <si>
    <t>LLS PKG INTEGRES</t>
  </si>
  <si>
    <t>Calcul loyer demandé</t>
  </si>
  <si>
    <t>GL hors charges annuel</t>
  </si>
  <si>
    <t>loyer plafonné car plafond GL plus élevé</t>
  </si>
  <si>
    <t>Perte de loyer GL / lgt</t>
  </si>
  <si>
    <t>HYP : location de tous les pkgs</t>
  </si>
  <si>
    <t>GRILLES LOYERS</t>
  </si>
  <si>
    <t>PLS</t>
  </si>
  <si>
    <t>INDEX(Table;EQUIV(Val_v;Plage_col;type);EQUIV(Val_h;Plage_lig;type))</t>
  </si>
  <si>
    <t>PKGS DISSOCIES</t>
  </si>
  <si>
    <t>PKGS INTEGRES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</si>
</sst>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9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0.0%"/>
    <numFmt numFmtId="169" formatCode="dd/mm/yy;@"/>
    <numFmt numFmtId="170" formatCode="_-* #,##0.00\ [$€]_-;\-* #,##0.00\ [$€]_-;_-* &quot;-&quot;??\ [$€]_-;_-@_-"/>
    <numFmt numFmtId="171" formatCode="[Blue]#,##0.00_);[Red]\(#,##0.00\);_-* &quot;-&quot;??_)"/>
    <numFmt numFmtId="172" formatCode="0.00&quot; m²&quot;"/>
    <numFmt numFmtId="173" formatCode="\+\ 0%;&quot;SHT min. !&quot;"/>
    <numFmt numFmtId="174" formatCode="#,##0\ &quot;€&quot;"/>
    <numFmt numFmtId="175" formatCode="#,##0\ &quot;FB&quot;;[Red]\-#,##0\ &quot;FB&quot;"/>
    <numFmt numFmtId="176" formatCode="_-* #,##0\ _F_B_-;\-* #,##0\ _F_B_-;_-* &quot;-&quot;\ _F_B_-;_-@_-"/>
    <numFmt numFmtId="177" formatCode="&quot;$&quot;#,##0_);\(&quot;$&quot;#,##0\)"/>
    <numFmt numFmtId="178" formatCode="&quot;$&quot;#,##0.00_);\(&quot;$&quot;#,##0.00\)"/>
    <numFmt numFmtId="179" formatCode="#,##0\ &quot;F&quot;"/>
    <numFmt numFmtId="180" formatCode="#,###,##0.00&quot; €&quot;"/>
    <numFmt numFmtId="181" formatCode="#,###,##0&quot; €&quot;"/>
    <numFmt numFmtId="182" formatCode="0.000"/>
    <numFmt numFmtId="183" formatCode="#,##0.000"/>
    <numFmt numFmtId="184" formatCode="#,##0.00\ &quot;€&quot;"/>
    <numFmt numFmtId="185" formatCode="0.0000"/>
    <numFmt numFmtId="186" formatCode="#,##0.0000"/>
    <numFmt numFmtId="187" formatCode="_-* #,##0.00\ [$€-1]_-;\-* #,##0.00\ [$€-1]_-;_-* &quot;-&quot;??\ [$€-1]_-"/>
    <numFmt numFmtId="188" formatCode="_-* #,##0.00&quot; €&quot;_-;\-* #,##0.00&quot; €&quot;_-;_-* \-??&quot; €&quot;_-;_-@_-"/>
    <numFmt numFmtId="189" formatCode="\ #,##0.00&quot; € &quot;;\-#,##0.00&quot; € &quot;;&quot; -&quot;#&quot; € &quot;;@\ "/>
    <numFmt numFmtId="190" formatCode="_-* #,##0.00_-;\-* #,##0.00_-;_-* &quot;-&quot;??_-;_-@_-"/>
  </numFmts>
  <fonts count="8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i/>
      <sz val="10"/>
      <name val="Arial"/>
      <family val="2"/>
    </font>
    <font>
      <sz val="10"/>
      <name val="Arial"/>
      <family val="2"/>
    </font>
    <font>
      <sz val="10"/>
      <name val="Genev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8"/>
      <name val="Tms Rmn"/>
    </font>
    <font>
      <sz val="8"/>
      <name val="Times"/>
      <family val="1"/>
    </font>
    <font>
      <sz val="11"/>
      <color indexed="10"/>
      <name val="Calibri"/>
      <family val="2"/>
    </font>
    <font>
      <b/>
      <sz val="14"/>
      <name val="Times New Roman"/>
      <family val="1"/>
    </font>
    <font>
      <sz val="12"/>
      <name val="Times New Roman"/>
      <family val="1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0"/>
      <name val="Tms Rmn"/>
    </font>
    <font>
      <sz val="11"/>
      <color indexed="62"/>
      <name val="Calibri"/>
      <family val="2"/>
    </font>
    <font>
      <sz val="9"/>
      <name val="Geneva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0"/>
      <name val="Helv"/>
    </font>
    <font>
      <sz val="8.5"/>
      <name val="LinePrinter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0"/>
      <name val="Arial"/>
      <family val="2"/>
    </font>
    <font>
      <b/>
      <sz val="16"/>
      <name val="Arial"/>
      <family val="2"/>
    </font>
    <font>
      <i/>
      <sz val="8"/>
      <name val="Arial"/>
      <family val="2"/>
    </font>
    <font>
      <sz val="8"/>
      <color indexed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0"/>
      <color indexed="12"/>
      <name val="Arial"/>
      <family val="2"/>
    </font>
    <font>
      <b/>
      <i/>
      <sz val="10"/>
      <color indexed="12"/>
      <name val="Arial"/>
      <family val="2"/>
    </font>
    <font>
      <sz val="10"/>
      <color indexed="12"/>
      <name val="Arial"/>
      <family val="2"/>
    </font>
    <font>
      <sz val="10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Geneva"/>
    </font>
    <font>
      <b/>
      <sz val="16"/>
      <color indexed="12"/>
      <name val="Arial"/>
      <family val="2"/>
    </font>
    <font>
      <i/>
      <sz val="9"/>
      <name val="Arial"/>
      <family val="2"/>
    </font>
    <font>
      <sz val="9"/>
      <color indexed="10"/>
      <name val="Arial"/>
      <family val="2"/>
    </font>
    <font>
      <b/>
      <sz val="9"/>
      <color indexed="8"/>
      <name val="Arial"/>
      <family val="2"/>
    </font>
    <font>
      <sz val="9"/>
      <color indexed="39"/>
      <name val="Arial"/>
      <family val="2"/>
    </font>
    <font>
      <b/>
      <i/>
      <sz val="9"/>
      <color indexed="12"/>
      <name val="Arial"/>
      <family val="2"/>
    </font>
    <font>
      <b/>
      <sz val="9"/>
      <color indexed="39"/>
      <name val="Arial"/>
      <family val="2"/>
    </font>
    <font>
      <b/>
      <sz val="9"/>
      <color indexed="12"/>
      <name val="Arial"/>
      <family val="2"/>
    </font>
    <font>
      <sz val="9"/>
      <color indexed="12"/>
      <name val="Arial"/>
      <family val="2"/>
    </font>
    <font>
      <i/>
      <sz val="9"/>
      <color indexed="12"/>
      <name val="Arial"/>
      <family val="2"/>
    </font>
    <font>
      <sz val="10"/>
      <color indexed="12"/>
      <name val="Arial Narrow"/>
      <family val="2"/>
    </font>
    <font>
      <b/>
      <sz val="10"/>
      <color indexed="12"/>
      <name val="Arial Narrow"/>
      <family val="2"/>
    </font>
    <font>
      <b/>
      <sz val="10"/>
      <name val="Arial Narrow"/>
      <family val="2"/>
    </font>
    <font>
      <i/>
      <sz val="8"/>
      <color indexed="10"/>
      <name val="Arial"/>
      <family val="2"/>
    </font>
    <font>
      <sz val="9"/>
      <name val="Arial"/>
      <family val="2"/>
    </font>
    <font>
      <b/>
      <sz val="9"/>
      <color indexed="41"/>
      <name val="Arial"/>
      <family val="2"/>
    </font>
    <font>
      <b/>
      <i/>
      <sz val="9"/>
      <color indexed="41"/>
      <name val="Arial"/>
      <family val="2"/>
    </font>
    <font>
      <sz val="9"/>
      <color indexed="41"/>
      <name val="Arial"/>
      <family val="2"/>
    </font>
    <font>
      <sz val="18"/>
      <name val="Times"/>
    </font>
    <font>
      <b/>
      <sz val="10"/>
      <name val="Times"/>
    </font>
    <font>
      <u/>
      <sz val="10"/>
      <color indexed="12"/>
      <name val="Arial"/>
      <family val="2"/>
    </font>
    <font>
      <sz val="9"/>
      <name val="Geneva"/>
    </font>
    <font>
      <sz val="9"/>
      <color indexed="8"/>
      <name val="Arial"/>
      <family val="2"/>
    </font>
    <font>
      <b/>
      <sz val="9"/>
      <color rgb="FFFF0000"/>
      <name val="Arial"/>
      <family val="2"/>
    </font>
  </fonts>
  <fills count="53">
    <fill>
      <patternFill patternType="none"/>
    </fill>
    <fill>
      <patternFill patternType="gray125"/>
    </fill>
    <fill>
      <patternFill patternType="solid">
        <fgColor indexed="1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darkGrid"/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gray0625"/>
    </fill>
    <fill>
      <patternFill patternType="solid">
        <fgColor indexed="42"/>
        <bgColor indexed="64"/>
      </patternFill>
    </fill>
    <fill>
      <patternFill patternType="solid">
        <fgColor indexed="65"/>
        <bgColor indexed="8"/>
      </patternFill>
    </fill>
    <fill>
      <patternFill patternType="solid">
        <fgColor indexed="4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43"/>
      </patternFill>
    </fill>
    <fill>
      <patternFill patternType="gray0625">
        <fgColor indexed="8"/>
        <bgColor indexed="22"/>
      </patternFill>
    </fill>
    <fill>
      <patternFill patternType="solid">
        <fgColor indexed="3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gray0625">
        <bgColor rgb="FFFFC000"/>
      </patternFill>
    </fill>
    <fill>
      <patternFill patternType="solid">
        <fgColor theme="7" tint="0.39997558519241921"/>
        <bgColor indexed="64"/>
      </patternFill>
    </fill>
    <fill>
      <patternFill patternType="gray0625">
        <bgColor theme="7" tint="0.39997558519241921"/>
      </patternFill>
    </fill>
    <fill>
      <patternFill patternType="gray0625">
        <bgColor theme="2" tint="-0.249977111117893"/>
      </patternFill>
    </fill>
    <fill>
      <patternFill patternType="gray0625">
        <bgColor theme="3" tint="0.79998168889431442"/>
      </patternFill>
    </fill>
    <fill>
      <patternFill patternType="gray0625">
        <bgColor theme="5" tint="0.39997558519241921"/>
      </patternFill>
    </fill>
    <fill>
      <patternFill patternType="gray0625">
        <bgColor rgb="FF92D050"/>
      </patternFill>
    </fill>
    <fill>
      <patternFill patternType="gray0625">
        <bgColor rgb="FF00B0F0"/>
      </patternFill>
    </fill>
    <fill>
      <patternFill patternType="solid">
        <fgColor rgb="FFFFFF0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ashed">
        <color indexed="64"/>
      </left>
      <right/>
      <top/>
      <bottom/>
      <diagonal/>
    </border>
    <border>
      <left/>
      <right style="dashed">
        <color indexed="64"/>
      </right>
      <top/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64"/>
      </bottom>
      <diagonal/>
    </border>
  </borders>
  <cellStyleXfs count="265">
    <xf numFmtId="0" fontId="0" fillId="0" borderId="0"/>
    <xf numFmtId="165" fontId="8" fillId="2" borderId="1" applyFill="0" applyBorder="0" applyAlignment="0" applyProtection="0">
      <alignment horizontal="right" vertical="center"/>
    </xf>
    <xf numFmtId="164" fontId="8" fillId="2" borderId="1" applyFill="0" applyBorder="0" applyAlignment="0" applyProtection="0">
      <alignment horizontal="right" vertical="center"/>
    </xf>
    <xf numFmtId="167" fontId="8" fillId="2" borderId="1" applyFill="0" applyBorder="0" applyAlignment="0" applyProtection="0">
      <alignment horizontal="right" vertical="center"/>
    </xf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6" borderId="0" applyNumberFormat="0" applyBorder="0" applyAlignment="0" applyProtection="0"/>
    <xf numFmtId="0" fontId="13" fillId="9" borderId="0" applyNumberFormat="0" applyBorder="0" applyAlignment="0" applyProtection="0"/>
    <xf numFmtId="0" fontId="13" fillId="12" borderId="0" applyNumberFormat="0" applyBorder="0" applyAlignment="0" applyProtection="0"/>
    <xf numFmtId="0" fontId="14" fillId="13" borderId="0" applyNumberFormat="0" applyBorder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3" fontId="16" fillId="0" borderId="0" applyFill="0" applyBorder="0" applyProtection="0">
      <alignment horizontal="center"/>
    </xf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20" borderId="0" applyNumberFormat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0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0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50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52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20" fillId="21" borderId="2" applyNumberFormat="0" applyAlignment="0" applyProtection="0"/>
    <xf numFmtId="0" fontId="21" fillId="0" borderId="3" applyNumberFormat="0" applyFill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12" fillId="22" borderId="4" applyNumberFormat="0" applyFont="0" applyAlignment="0" applyProtection="0"/>
    <xf numFmtId="164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3" fontId="22" fillId="0" borderId="5" applyFill="0">
      <alignment horizontal="right"/>
    </xf>
    <xf numFmtId="3" fontId="22" fillId="0" borderId="5" applyFill="0">
      <alignment horizontal="right"/>
    </xf>
    <xf numFmtId="3" fontId="75" fillId="0" borderId="5" applyFill="0">
      <alignment horizontal="right"/>
    </xf>
    <xf numFmtId="0" fontId="8" fillId="2" borderId="1" applyNumberFormat="0" applyProtection="0">
      <alignment horizontal="right" vertical="center"/>
    </xf>
    <xf numFmtId="2" fontId="22" fillId="0" borderId="5" applyFill="0" applyProtection="0">
      <alignment horizontal="right"/>
    </xf>
    <xf numFmtId="2" fontId="22" fillId="0" borderId="5" applyFill="0" applyProtection="0">
      <alignment horizontal="right"/>
    </xf>
    <xf numFmtId="2" fontId="75" fillId="0" borderId="5" applyFill="0" applyProtection="0">
      <alignment horizontal="right"/>
    </xf>
    <xf numFmtId="0" fontId="23" fillId="8" borderId="2" applyNumberFormat="0" applyAlignment="0" applyProtection="0"/>
    <xf numFmtId="170" fontId="8" fillId="0" borderId="0" applyFont="0" applyFill="0" applyBorder="0" applyAlignment="0" applyProtection="0"/>
    <xf numFmtId="173" fontId="12" fillId="0" borderId="0" applyFont="0" applyFill="0" applyBorder="0" applyAlignment="0" applyProtection="0"/>
    <xf numFmtId="187" fontId="8" fillId="0" borderId="0" applyFont="0" applyFill="0" applyBorder="0" applyAlignment="0" applyProtection="0"/>
    <xf numFmtId="0" fontId="22" fillId="0" borderId="6" applyNumberFormat="0" applyAlignment="0" applyProtection="0">
      <alignment horizontal="right"/>
    </xf>
    <xf numFmtId="0" fontId="22" fillId="0" borderId="6" applyNumberFormat="0" applyAlignment="0" applyProtection="0">
      <alignment horizontal="right"/>
    </xf>
    <xf numFmtId="0" fontId="75" fillId="0" borderId="6" applyNumberFormat="0" applyAlignment="0" applyProtection="0">
      <alignment horizontal="right"/>
    </xf>
    <xf numFmtId="3" fontId="22" fillId="0" borderId="6" applyProtection="0">
      <alignment horizontal="right"/>
    </xf>
    <xf numFmtId="3" fontId="22" fillId="0" borderId="6" applyProtection="0">
      <alignment horizontal="right"/>
    </xf>
    <xf numFmtId="3" fontId="75" fillId="0" borderId="6" applyProtection="0">
      <alignment horizontal="right"/>
    </xf>
    <xf numFmtId="2" fontId="24" fillId="21" borderId="7">
      <alignment horizontal="center"/>
    </xf>
    <xf numFmtId="10" fontId="22" fillId="0" borderId="5" applyFill="0" applyProtection="0">
      <alignment horizontal="center"/>
    </xf>
    <xf numFmtId="178" fontId="8" fillId="0" borderId="1" applyFill="0" applyBorder="0" applyAlignment="0" applyProtection="0"/>
    <xf numFmtId="10" fontId="22" fillId="0" borderId="5" applyFill="0" applyProtection="0">
      <alignment horizontal="center"/>
    </xf>
    <xf numFmtId="10" fontId="75" fillId="0" borderId="5" applyFill="0" applyProtection="0">
      <alignment horizontal="center"/>
    </xf>
    <xf numFmtId="177" fontId="8" fillId="0" borderId="1" applyFill="0" applyBorder="0" applyAlignment="0" applyProtection="0"/>
    <xf numFmtId="0" fontId="25" fillId="4" borderId="0" applyNumberFormat="0" applyBorder="0" applyAlignment="0" applyProtection="0"/>
    <xf numFmtId="176" fontId="8" fillId="2" borderId="1" applyFill="0" applyBorder="0" applyAlignment="0" applyProtection="0">
      <alignment horizontal="center"/>
    </xf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43" fontId="8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2" fontId="12" fillId="0" borderId="0" applyFont="0" applyFill="0" applyBorder="0" applyAlignment="0" applyProtection="0"/>
    <xf numFmtId="175" fontId="8" fillId="2" borderId="1" applyFill="0" applyBorder="0" applyAlignment="0" applyProtection="0">
      <alignment horizontal="center"/>
    </xf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26" fillId="23" borderId="0" applyNumberFormat="0" applyBorder="0" applyAlignment="0" applyProtection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8" fillId="0" borderId="0"/>
    <xf numFmtId="0" fontId="12" fillId="0" borderId="0"/>
    <xf numFmtId="0" fontId="12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48" fillId="0" borderId="0"/>
    <xf numFmtId="0" fontId="9" fillId="0" borderId="0"/>
    <xf numFmtId="0" fontId="55" fillId="0" borderId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8" fillId="24" borderId="1"/>
    <xf numFmtId="0" fontId="29" fillId="5" borderId="0" applyNumberFormat="0" applyBorder="0" applyAlignment="0" applyProtection="0"/>
    <xf numFmtId="0" fontId="30" fillId="21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4" fillId="0" borderId="10" applyNumberFormat="0" applyFill="0" applyAlignment="0" applyProtection="0"/>
    <xf numFmtId="0" fontId="35" fillId="0" borderId="11" applyNumberFormat="0" applyFill="0" applyAlignment="0" applyProtection="0"/>
    <xf numFmtId="0" fontId="35" fillId="0" borderId="0" applyNumberFormat="0" applyFill="0" applyBorder="0" applyAlignment="0" applyProtection="0"/>
    <xf numFmtId="0" fontId="36" fillId="0" borderId="12" applyNumberFormat="0" applyFill="0" applyAlignment="0" applyProtection="0"/>
    <xf numFmtId="0" fontId="37" fillId="25" borderId="13" applyNumberFormat="0" applyAlignment="0" applyProtection="0"/>
    <xf numFmtId="0" fontId="74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0" fontId="19" fillId="0" borderId="0" applyNumberFormat="0" applyFill="0" applyBorder="0" applyAlignment="0" applyProtection="0">
      <alignment horizontal="right"/>
    </xf>
    <xf numFmtId="3" fontId="75" fillId="0" borderId="93" applyFill="0">
      <alignment horizontal="right"/>
    </xf>
    <xf numFmtId="2" fontId="75" fillId="0" borderId="93" applyFill="0" applyProtection="0">
      <alignment horizontal="right"/>
    </xf>
    <xf numFmtId="188" fontId="8" fillId="0" borderId="0" applyFill="0" applyBorder="0" applyAlignment="0" applyProtection="0"/>
    <xf numFmtId="0" fontId="75" fillId="0" borderId="6" applyNumberFormat="0" applyAlignment="0" applyProtection="0">
      <alignment horizontal="right"/>
    </xf>
    <xf numFmtId="3" fontId="75" fillId="0" borderId="6" applyProtection="0">
      <alignment horizontal="right"/>
    </xf>
    <xf numFmtId="10" fontId="75" fillId="0" borderId="93" applyFill="0" applyProtection="0">
      <alignment horizontal="center"/>
    </xf>
    <xf numFmtId="188" fontId="8" fillId="0" borderId="0" applyFill="0" applyBorder="0" applyAlignment="0" applyProtection="0"/>
    <xf numFmtId="166" fontId="8" fillId="0" borderId="0" applyFont="0" applyFill="0" applyBorder="0" applyAlignment="0" applyProtection="0"/>
    <xf numFmtId="189" fontId="8" fillId="0" borderId="0" applyFill="0" applyBorder="0" applyAlignment="0" applyProtection="0"/>
    <xf numFmtId="189" fontId="8" fillId="0" borderId="0" applyFill="0" applyBorder="0" applyAlignment="0" applyProtection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6" fillId="0" borderId="0" applyNumberFormat="0" applyFill="0" applyBorder="0" applyAlignment="0" applyProtection="0">
      <alignment vertical="top"/>
      <protection locked="0"/>
    </xf>
    <xf numFmtId="44" fontId="8" fillId="0" borderId="0" applyFont="0" applyFill="0" applyBorder="0" applyAlignment="0" applyProtection="0"/>
    <xf numFmtId="190" fontId="8" fillId="0" borderId="0" applyFont="0" applyFill="0" applyBorder="0" applyAlignment="0" applyProtection="0"/>
    <xf numFmtId="2" fontId="77" fillId="21" borderId="7">
      <alignment horizontal="center"/>
    </xf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</cellStyleXfs>
  <cellXfs count="658">
    <xf numFmtId="0" fontId="0" fillId="0" borderId="0" xfId="0"/>
    <xf numFmtId="0" fontId="8" fillId="0" borderId="0" xfId="0" applyFont="1" applyBorder="1" applyProtection="1">
      <protection locked="0"/>
    </xf>
    <xf numFmtId="3" fontId="39" fillId="0" borderId="0" xfId="211" applyNumberFormat="1" applyFont="1" applyFill="1" applyBorder="1" applyAlignment="1" applyProtection="1">
      <alignment horizontal="center" vertical="center"/>
    </xf>
    <xf numFmtId="3" fontId="56" fillId="0" borderId="17" xfId="211" applyNumberFormat="1" applyFont="1" applyBorder="1" applyAlignment="1" applyProtection="1">
      <alignment horizontal="center" vertical="center"/>
    </xf>
    <xf numFmtId="3" fontId="42" fillId="0" borderId="0" xfId="211" applyNumberFormat="1" applyFont="1" applyFill="1" applyBorder="1" applyAlignment="1" applyProtection="1">
      <alignment horizontal="center" vertical="center"/>
      <protection locked="0"/>
    </xf>
    <xf numFmtId="3" fontId="43" fillId="0" borderId="17" xfId="211" applyNumberFormat="1" applyFont="1" applyFill="1" applyBorder="1" applyAlignment="1" applyProtection="1"/>
    <xf numFmtId="3" fontId="43" fillId="0" borderId="17" xfId="211" applyNumberFormat="1" applyFont="1" applyBorder="1" applyAlignment="1" applyProtection="1">
      <alignment horizontal="centerContinuous"/>
    </xf>
    <xf numFmtId="3" fontId="43" fillId="0" borderId="17" xfId="211" applyNumberFormat="1" applyFont="1" applyFill="1" applyBorder="1" applyAlignment="1" applyProtection="1">
      <alignment horizontal="centerContinuous"/>
    </xf>
    <xf numFmtId="0" fontId="43" fillId="0" borderId="17" xfId="211" applyFont="1" applyBorder="1" applyAlignment="1" applyProtection="1">
      <protection locked="0"/>
    </xf>
    <xf numFmtId="0" fontId="43" fillId="0" borderId="66" xfId="211" applyFont="1" applyBorder="1" applyAlignment="1" applyProtection="1">
      <protection locked="0"/>
    </xf>
    <xf numFmtId="0" fontId="43" fillId="0" borderId="0" xfId="0" applyFont="1" applyProtection="1">
      <protection locked="0"/>
    </xf>
    <xf numFmtId="3" fontId="43" fillId="0" borderId="18" xfId="211" applyNumberFormat="1" applyFont="1" applyBorder="1" applyAlignment="1" applyProtection="1">
      <alignment vertical="center"/>
    </xf>
    <xf numFmtId="3" fontId="43" fillId="0" borderId="0" xfId="211" applyNumberFormat="1" applyFont="1" applyBorder="1" applyAlignment="1" applyProtection="1">
      <alignment horizontal="center" vertical="center"/>
    </xf>
    <xf numFmtId="3" fontId="43" fillId="0" borderId="0" xfId="211" applyNumberFormat="1" applyFont="1" applyFill="1" applyBorder="1" applyAlignment="1" applyProtection="1">
      <alignment horizontal="center" vertical="center"/>
    </xf>
    <xf numFmtId="0" fontId="43" fillId="0" borderId="0" xfId="0" applyFont="1" applyAlignment="1" applyProtection="1">
      <alignment vertical="center"/>
      <protection locked="0"/>
    </xf>
    <xf numFmtId="0" fontId="43" fillId="0" borderId="0" xfId="0" applyFont="1" applyBorder="1" applyAlignment="1" applyProtection="1">
      <alignment vertical="center"/>
      <protection locked="0"/>
    </xf>
    <xf numFmtId="3" fontId="43" fillId="0" borderId="0" xfId="211" applyNumberFormat="1" applyFont="1" applyFill="1" applyBorder="1" applyAlignment="1" applyProtection="1">
      <alignment vertical="center"/>
    </xf>
    <xf numFmtId="3" fontId="43" fillId="0" borderId="0" xfId="211" applyNumberFormat="1" applyFont="1" applyFill="1" applyBorder="1" applyAlignment="1" applyProtection="1">
      <alignment horizontal="center" vertical="justify"/>
    </xf>
    <xf numFmtId="3" fontId="43" fillId="0" borderId="0" xfId="211" applyNumberFormat="1" applyFont="1" applyFill="1" applyBorder="1" applyAlignment="1" applyProtection="1">
      <alignment horizontal="centerContinuous" vertical="center"/>
    </xf>
    <xf numFmtId="3" fontId="43" fillId="0" borderId="0" xfId="211" applyNumberFormat="1" applyFont="1" applyBorder="1" applyAlignment="1" applyProtection="1">
      <alignment vertical="center"/>
    </xf>
    <xf numFmtId="3" fontId="43" fillId="0" borderId="18" xfId="211" applyNumberFormat="1" applyFont="1" applyBorder="1" applyAlignment="1" applyProtection="1"/>
    <xf numFmtId="3" fontId="43" fillId="0" borderId="0" xfId="211" applyNumberFormat="1" applyFont="1" applyBorder="1" applyAlignment="1" applyProtection="1">
      <alignment horizontal="center"/>
    </xf>
    <xf numFmtId="3" fontId="43" fillId="0" borderId="0" xfId="211" applyNumberFormat="1" applyFont="1" applyBorder="1" applyAlignment="1" applyProtection="1"/>
    <xf numFmtId="3" fontId="43" fillId="0" borderId="0" xfId="211" applyNumberFormat="1" applyFont="1" applyFill="1" applyBorder="1" applyAlignment="1" applyProtection="1"/>
    <xf numFmtId="17" fontId="57" fillId="27" borderId="1" xfId="211" applyNumberFormat="1" applyFont="1" applyFill="1" applyBorder="1" applyAlignment="1" applyProtection="1">
      <alignment horizontal="center"/>
      <protection locked="0"/>
    </xf>
    <xf numFmtId="17" fontId="57" fillId="27" borderId="1" xfId="211" applyNumberFormat="1" applyFont="1" applyFill="1" applyBorder="1" applyAlignment="1" applyProtection="1">
      <protection locked="0"/>
    </xf>
    <xf numFmtId="3" fontId="42" fillId="28" borderId="18" xfId="211" applyNumberFormat="1" applyFont="1" applyFill="1" applyBorder="1" applyAlignment="1" applyProtection="1">
      <alignment vertical="center"/>
    </xf>
    <xf numFmtId="3" fontId="42" fillId="28" borderId="0" xfId="211" applyNumberFormat="1" applyFont="1" applyFill="1" applyBorder="1" applyAlignment="1" applyProtection="1">
      <alignment horizontal="center" vertical="center"/>
    </xf>
    <xf numFmtId="3" fontId="42" fillId="28" borderId="0" xfId="211" applyNumberFormat="1" applyFont="1" applyFill="1" applyBorder="1" applyAlignment="1" applyProtection="1">
      <alignment vertical="center"/>
    </xf>
    <xf numFmtId="3" fontId="42" fillId="0" borderId="0" xfId="211" applyNumberFormat="1" applyFont="1" applyFill="1" applyBorder="1" applyAlignment="1" applyProtection="1">
      <alignment horizontal="centerContinuous" vertical="center"/>
    </xf>
    <xf numFmtId="3" fontId="42" fillId="34" borderId="0" xfId="211" applyNumberFormat="1" applyFont="1" applyFill="1" applyBorder="1" applyAlignment="1" applyProtection="1">
      <alignment horizontal="center" vertical="center"/>
    </xf>
    <xf numFmtId="3" fontId="42" fillId="32" borderId="0" xfId="211" applyNumberFormat="1" applyFont="1" applyFill="1" applyBorder="1" applyAlignment="1" applyProtection="1">
      <alignment horizontal="center" vertical="center"/>
    </xf>
    <xf numFmtId="3" fontId="42" fillId="0" borderId="34" xfId="211" applyNumberFormat="1" applyFont="1" applyBorder="1" applyAlignment="1" applyProtection="1">
      <alignment horizontal="center" vertical="justify"/>
    </xf>
    <xf numFmtId="3" fontId="43" fillId="0" borderId="1" xfId="211" applyNumberFormat="1" applyFont="1" applyBorder="1" applyAlignment="1" applyProtection="1">
      <alignment horizontal="center" vertical="justify"/>
    </xf>
    <xf numFmtId="3" fontId="43" fillId="0" borderId="34" xfId="211" applyNumberFormat="1" applyFont="1" applyFill="1" applyBorder="1" applyAlignment="1" applyProtection="1">
      <alignment horizontal="center" vertical="justify"/>
    </xf>
    <xf numFmtId="3" fontId="43" fillId="0" borderId="1" xfId="211" applyNumberFormat="1" applyFont="1" applyFill="1" applyBorder="1" applyAlignment="1" applyProtection="1">
      <alignment horizontal="center" vertical="justify"/>
    </xf>
    <xf numFmtId="3" fontId="42" fillId="0" borderId="68" xfId="211" applyNumberFormat="1" applyFont="1" applyFill="1" applyBorder="1" applyAlignment="1" applyProtection="1">
      <alignment horizontal="center" vertical="justify"/>
    </xf>
    <xf numFmtId="3" fontId="43" fillId="27" borderId="1" xfId="211" applyNumberFormat="1" applyFont="1" applyFill="1" applyBorder="1" applyAlignment="1" applyProtection="1">
      <alignment horizontal="center" vertical="justify"/>
    </xf>
    <xf numFmtId="3" fontId="42" fillId="27" borderId="36" xfId="211" applyNumberFormat="1" applyFont="1" applyFill="1" applyBorder="1" applyAlignment="1" applyProtection="1">
      <alignment horizontal="center" vertical="justify"/>
    </xf>
    <xf numFmtId="3" fontId="43" fillId="27" borderId="68" xfId="211" applyNumberFormat="1" applyFont="1" applyFill="1" applyBorder="1" applyAlignment="1" applyProtection="1">
      <alignment horizontal="center" vertical="justify"/>
    </xf>
    <xf numFmtId="3" fontId="43" fillId="0" borderId="68" xfId="211" applyNumberFormat="1" applyFont="1" applyFill="1" applyBorder="1" applyAlignment="1" applyProtection="1">
      <alignment horizontal="center" vertical="justify"/>
    </xf>
    <xf numFmtId="3" fontId="42" fillId="0" borderId="65" xfId="211" applyNumberFormat="1" applyFont="1" applyBorder="1" applyAlignment="1" applyProtection="1">
      <alignment horizontal="center" vertical="justify"/>
    </xf>
    <xf numFmtId="3" fontId="43" fillId="0" borderId="34" xfId="211" applyNumberFormat="1" applyFont="1" applyBorder="1" applyAlignment="1" applyProtection="1">
      <alignment horizontal="center" vertical="justify"/>
    </xf>
    <xf numFmtId="3" fontId="43" fillId="0" borderId="52" xfId="211" applyNumberFormat="1" applyFont="1" applyBorder="1" applyAlignment="1" applyProtection="1">
      <alignment horizontal="center" vertical="justify"/>
    </xf>
    <xf numFmtId="3" fontId="42" fillId="0" borderId="28" xfId="211" applyNumberFormat="1" applyFont="1" applyBorder="1" applyAlignment="1" applyProtection="1">
      <alignment horizontal="center" vertical="justify"/>
    </xf>
    <xf numFmtId="3" fontId="43" fillId="0" borderId="52" xfId="211" applyNumberFormat="1" applyFont="1" applyFill="1" applyBorder="1" applyAlignment="1" applyProtection="1">
      <alignment horizontal="center" vertical="justify"/>
    </xf>
    <xf numFmtId="3" fontId="42" fillId="0" borderId="68" xfId="211" applyNumberFormat="1" applyFont="1" applyBorder="1" applyAlignment="1" applyProtection="1">
      <alignment horizontal="center" vertical="justify"/>
    </xf>
    <xf numFmtId="0" fontId="43" fillId="0" borderId="0" xfId="0" applyFont="1" applyAlignment="1" applyProtection="1">
      <alignment vertical="justify"/>
      <protection locked="0"/>
    </xf>
    <xf numFmtId="3" fontId="42" fillId="0" borderId="7" xfId="211" applyNumberFormat="1" applyFont="1" applyBorder="1" applyAlignment="1" applyProtection="1"/>
    <xf numFmtId="3" fontId="42" fillId="0" borderId="70" xfId="211" applyNumberFormat="1" applyFont="1" applyBorder="1" applyAlignment="1" applyProtection="1">
      <alignment horizontal="center"/>
    </xf>
    <xf numFmtId="3" fontId="43" fillId="0" borderId="0" xfId="211" applyNumberFormat="1" applyFont="1" applyFill="1" applyBorder="1" applyAlignment="1" applyProtection="1">
      <alignment horizontal="center"/>
    </xf>
    <xf numFmtId="3" fontId="42" fillId="0" borderId="35" xfId="211" applyNumberFormat="1" applyFont="1" applyBorder="1" applyAlignment="1" applyProtection="1">
      <alignment horizontal="center"/>
    </xf>
    <xf numFmtId="3" fontId="43" fillId="0" borderId="35" xfId="211" applyNumberFormat="1" applyFont="1" applyBorder="1" applyAlignment="1" applyProtection="1">
      <alignment horizontal="center"/>
    </xf>
    <xf numFmtId="3" fontId="57" fillId="0" borderId="7" xfId="211" applyNumberFormat="1" applyFont="1" applyFill="1" applyBorder="1" applyAlignment="1" applyProtection="1">
      <alignment horizontal="center"/>
    </xf>
    <xf numFmtId="3" fontId="43" fillId="0" borderId="35" xfId="211" applyNumberFormat="1" applyFont="1" applyFill="1" applyBorder="1" applyAlignment="1" applyProtection="1">
      <alignment horizontal="center"/>
    </xf>
    <xf numFmtId="3" fontId="43" fillId="0" borderId="30" xfId="211" applyNumberFormat="1" applyFont="1" applyFill="1" applyBorder="1" applyAlignment="1" applyProtection="1">
      <alignment horizontal="center"/>
    </xf>
    <xf numFmtId="2" fontId="43" fillId="26" borderId="0" xfId="211" applyNumberFormat="1" applyFont="1" applyFill="1" applyAlignment="1" applyProtection="1">
      <alignment horizontal="center"/>
      <protection locked="0"/>
    </xf>
    <xf numFmtId="0" fontId="43" fillId="26" borderId="20" xfId="211" applyFont="1" applyFill="1" applyBorder="1" applyAlignment="1" applyProtection="1">
      <alignment horizontal="center"/>
      <protection locked="0"/>
    </xf>
    <xf numFmtId="4" fontId="43" fillId="26" borderId="30" xfId="211" applyNumberFormat="1" applyFont="1" applyFill="1" applyBorder="1" applyAlignment="1" applyProtection="1">
      <alignment horizontal="center"/>
    </xf>
    <xf numFmtId="3" fontId="42" fillId="0" borderId="19" xfId="211" applyNumberFormat="1" applyFont="1" applyBorder="1" applyAlignment="1" applyProtection="1">
      <alignment horizontal="center"/>
    </xf>
    <xf numFmtId="4" fontId="43" fillId="26" borderId="48" xfId="211" applyNumberFormat="1" applyFont="1" applyFill="1" applyBorder="1" applyAlignment="1" applyProtection="1">
      <alignment horizontal="center"/>
    </xf>
    <xf numFmtId="3" fontId="42" fillId="0" borderId="31" xfId="211" applyNumberFormat="1" applyFont="1" applyBorder="1" applyAlignment="1" applyProtection="1">
      <alignment horizontal="center"/>
    </xf>
    <xf numFmtId="3" fontId="43" fillId="0" borderId="7" xfId="211" applyNumberFormat="1" applyFont="1" applyBorder="1" applyAlignment="1" applyProtection="1">
      <alignment horizontal="center"/>
    </xf>
    <xf numFmtId="3" fontId="43" fillId="0" borderId="48" xfId="211" applyNumberFormat="1" applyFont="1" applyFill="1" applyBorder="1" applyAlignment="1" applyProtection="1">
      <alignment horizontal="center"/>
    </xf>
    <xf numFmtId="3" fontId="43" fillId="0" borderId="30" xfId="211" applyNumberFormat="1" applyFont="1" applyBorder="1" applyAlignment="1" applyProtection="1">
      <alignment horizontal="center"/>
    </xf>
    <xf numFmtId="3" fontId="42" fillId="0" borderId="7" xfId="211" applyNumberFormat="1" applyFont="1" applyBorder="1" applyAlignment="1" applyProtection="1">
      <protection locked="0"/>
    </xf>
    <xf numFmtId="3" fontId="43" fillId="0" borderId="35" xfId="211" applyNumberFormat="1" applyFont="1" applyFill="1" applyBorder="1" applyAlignment="1" applyProtection="1">
      <alignment horizontal="center"/>
      <protection locked="0"/>
    </xf>
    <xf numFmtId="3" fontId="43" fillId="0" borderId="30" xfId="211" applyNumberFormat="1" applyFont="1" applyFill="1" applyBorder="1" applyAlignment="1" applyProtection="1">
      <alignment horizontal="center"/>
      <protection locked="0"/>
    </xf>
    <xf numFmtId="3" fontId="43" fillId="0" borderId="35" xfId="211" applyNumberFormat="1" applyFont="1" applyBorder="1" applyAlignment="1" applyProtection="1">
      <alignment horizontal="center"/>
      <protection locked="0"/>
    </xf>
    <xf numFmtId="3" fontId="43" fillId="0" borderId="35" xfId="211" applyNumberFormat="1" applyFont="1" applyBorder="1" applyAlignment="1" applyProtection="1">
      <protection locked="0"/>
    </xf>
    <xf numFmtId="4" fontId="43" fillId="0" borderId="35" xfId="211" applyNumberFormat="1" applyFont="1" applyBorder="1" applyAlignment="1" applyProtection="1">
      <protection locked="0"/>
    </xf>
    <xf numFmtId="4" fontId="43" fillId="29" borderId="18" xfId="211" applyNumberFormat="1" applyFont="1" applyFill="1" applyBorder="1" applyAlignment="1" applyProtection="1">
      <protection locked="0"/>
    </xf>
    <xf numFmtId="4" fontId="43" fillId="29" borderId="35" xfId="211" applyNumberFormat="1" applyFont="1" applyFill="1" applyBorder="1" applyAlignment="1" applyProtection="1">
      <protection locked="0"/>
    </xf>
    <xf numFmtId="4" fontId="42" fillId="0" borderId="30" xfId="211" applyNumberFormat="1" applyFont="1" applyFill="1" applyBorder="1" applyAlignment="1" applyProtection="1"/>
    <xf numFmtId="4" fontId="43" fillId="27" borderId="30" xfId="211" applyNumberFormat="1" applyFont="1" applyFill="1" applyBorder="1" applyAlignment="1" applyProtection="1">
      <protection locked="0"/>
    </xf>
    <xf numFmtId="4" fontId="43" fillId="27" borderId="20" xfId="211" applyNumberFormat="1" applyFont="1" applyFill="1" applyBorder="1" applyAlignment="1" applyProtection="1">
      <protection locked="0"/>
    </xf>
    <xf numFmtId="4" fontId="43" fillId="27" borderId="35" xfId="211" applyNumberFormat="1" applyFont="1" applyFill="1" applyBorder="1" applyAlignment="1" applyProtection="1">
      <protection locked="0"/>
    </xf>
    <xf numFmtId="4" fontId="43" fillId="27" borderId="0" xfId="211" applyNumberFormat="1" applyFont="1" applyFill="1" applyBorder="1" applyAlignment="1" applyProtection="1">
      <protection locked="0"/>
    </xf>
    <xf numFmtId="4" fontId="43" fillId="0" borderId="30" xfId="211" applyNumberFormat="1" applyFont="1" applyFill="1" applyBorder="1" applyAlignment="1" applyProtection="1"/>
    <xf numFmtId="4" fontId="42" fillId="0" borderId="19" xfId="211" applyNumberFormat="1" applyFont="1" applyBorder="1" applyAlignment="1" applyProtection="1"/>
    <xf numFmtId="4" fontId="43" fillId="0" borderId="7" xfId="211" applyNumberFormat="1" applyFont="1" applyBorder="1" applyAlignment="1" applyProtection="1"/>
    <xf numFmtId="4" fontId="43" fillId="0" borderId="48" xfId="211" applyNumberFormat="1" applyFont="1" applyBorder="1" applyAlignment="1" applyProtection="1"/>
    <xf numFmtId="4" fontId="42" fillId="0" borderId="31" xfId="211" applyNumberFormat="1" applyFont="1" applyBorder="1" applyAlignment="1" applyProtection="1"/>
    <xf numFmtId="3" fontId="59" fillId="29" borderId="7" xfId="211" applyNumberFormat="1" applyFont="1" applyFill="1" applyBorder="1" applyAlignment="1" applyProtection="1">
      <protection locked="0"/>
    </xf>
    <xf numFmtId="3" fontId="43" fillId="29" borderId="48" xfId="211" applyNumberFormat="1" applyFont="1" applyFill="1" applyBorder="1" applyAlignment="1" applyProtection="1"/>
    <xf numFmtId="3" fontId="43" fillId="0" borderId="30" xfId="211" applyNumberFormat="1" applyFont="1" applyFill="1" applyBorder="1" applyAlignment="1" applyProtection="1"/>
    <xf numFmtId="3" fontId="42" fillId="0" borderId="31" xfId="211" applyNumberFormat="1" applyFont="1" applyBorder="1" applyAlignment="1" applyProtection="1"/>
    <xf numFmtId="3" fontId="43" fillId="0" borderId="27" xfId="211" applyNumberFormat="1" applyFont="1" applyFill="1" applyBorder="1" applyAlignment="1" applyProtection="1">
      <alignment horizontal="center"/>
    </xf>
    <xf numFmtId="3" fontId="43" fillId="0" borderId="27" xfId="211" applyNumberFormat="1" applyFont="1" applyBorder="1" applyAlignment="1" applyProtection="1">
      <alignment horizontal="center"/>
    </xf>
    <xf numFmtId="3" fontId="43" fillId="0" borderId="27" xfId="211" applyNumberFormat="1" applyFont="1" applyBorder="1" applyAlignment="1" applyProtection="1"/>
    <xf numFmtId="3" fontId="43" fillId="0" borderId="27" xfId="211" applyNumberFormat="1" applyFont="1" applyFill="1" applyBorder="1" applyAlignment="1" applyProtection="1"/>
    <xf numFmtId="4" fontId="44" fillId="0" borderId="27" xfId="211" applyNumberFormat="1" applyFont="1" applyFill="1" applyBorder="1" applyAlignment="1" applyProtection="1">
      <alignment horizontal="right"/>
    </xf>
    <xf numFmtId="4" fontId="43" fillId="27" borderId="27" xfId="211" applyNumberFormat="1" applyFont="1" applyFill="1" applyBorder="1" applyAlignment="1" applyProtection="1">
      <protection locked="0"/>
    </xf>
    <xf numFmtId="4" fontId="44" fillId="0" borderId="27" xfId="211" applyNumberFormat="1" applyFont="1" applyFill="1" applyBorder="1" applyAlignment="1" applyProtection="1"/>
    <xf numFmtId="3" fontId="42" fillId="0" borderId="27" xfId="211" applyNumberFormat="1" applyFont="1" applyFill="1" applyBorder="1" applyAlignment="1" applyProtection="1">
      <alignment horizontal="centerContinuous"/>
    </xf>
    <xf numFmtId="3" fontId="42" fillId="0" borderId="71" xfId="211" applyNumberFormat="1" applyFont="1" applyFill="1" applyBorder="1" applyAlignment="1" applyProtection="1"/>
    <xf numFmtId="3" fontId="42" fillId="0" borderId="72" xfId="211" applyNumberFormat="1" applyFont="1" applyFill="1" applyBorder="1" applyAlignment="1" applyProtection="1"/>
    <xf numFmtId="4" fontId="43" fillId="0" borderId="73" xfId="211" applyNumberFormat="1" applyFont="1" applyFill="1" applyBorder="1" applyAlignment="1" applyProtection="1"/>
    <xf numFmtId="4" fontId="43" fillId="0" borderId="74" xfId="211" applyNumberFormat="1" applyFont="1" applyFill="1" applyBorder="1" applyAlignment="1" applyProtection="1"/>
    <xf numFmtId="4" fontId="42" fillId="0" borderId="72" xfId="211" applyNumberFormat="1" applyFont="1" applyFill="1" applyBorder="1" applyAlignment="1" applyProtection="1"/>
    <xf numFmtId="0" fontId="43" fillId="0" borderId="0" xfId="0" applyFont="1" applyBorder="1" applyProtection="1">
      <protection locked="0"/>
    </xf>
    <xf numFmtId="3" fontId="42" fillId="32" borderId="21" xfId="211" applyNumberFormat="1" applyFont="1" applyFill="1" applyBorder="1" applyAlignment="1" applyProtection="1"/>
    <xf numFmtId="3" fontId="42" fillId="32" borderId="75" xfId="211" applyNumberFormat="1" applyFont="1" applyFill="1" applyBorder="1" applyAlignment="1" applyProtection="1">
      <alignment horizontal="center"/>
    </xf>
    <xf numFmtId="3" fontId="43" fillId="32" borderId="24" xfId="211" applyNumberFormat="1" applyFont="1" applyFill="1" applyBorder="1" applyAlignment="1" applyProtection="1">
      <alignment horizontal="center"/>
    </xf>
    <xf numFmtId="3" fontId="43" fillId="32" borderId="24" xfId="211" applyNumberFormat="1" applyFont="1" applyFill="1" applyBorder="1" applyAlignment="1" applyProtection="1"/>
    <xf numFmtId="3" fontId="43" fillId="27" borderId="75" xfId="211" applyNumberFormat="1" applyFont="1" applyFill="1" applyBorder="1" applyAlignment="1" applyProtection="1"/>
    <xf numFmtId="3" fontId="42" fillId="32" borderId="24" xfId="211" applyNumberFormat="1" applyFont="1" applyFill="1" applyBorder="1" applyAlignment="1" applyProtection="1"/>
    <xf numFmtId="3" fontId="43" fillId="32" borderId="23" xfId="211" applyNumberFormat="1" applyFont="1" applyFill="1" applyBorder="1" applyAlignment="1" applyProtection="1"/>
    <xf numFmtId="3" fontId="43" fillId="32" borderId="49" xfId="211" applyNumberFormat="1" applyFont="1" applyFill="1" applyBorder="1" applyAlignment="1" applyProtection="1"/>
    <xf numFmtId="4" fontId="43" fillId="32" borderId="24" xfId="211" applyNumberFormat="1" applyFont="1" applyFill="1" applyBorder="1" applyAlignment="1" applyProtection="1"/>
    <xf numFmtId="4" fontId="40" fillId="32" borderId="44" xfId="211" applyNumberFormat="1" applyFont="1" applyFill="1" applyBorder="1" applyAlignment="1" applyProtection="1"/>
    <xf numFmtId="3" fontId="42" fillId="0" borderId="76" xfId="211" applyNumberFormat="1" applyFont="1" applyBorder="1" applyAlignment="1" applyProtection="1">
      <alignment horizontal="center"/>
    </xf>
    <xf numFmtId="0" fontId="43" fillId="26" borderId="15" xfId="211" applyFont="1" applyFill="1" applyBorder="1" applyAlignment="1" applyProtection="1">
      <alignment horizontal="center"/>
      <protection locked="0"/>
    </xf>
    <xf numFmtId="3" fontId="42" fillId="0" borderId="14" xfId="211" applyNumberFormat="1" applyFont="1" applyBorder="1" applyAlignment="1" applyProtection="1">
      <alignment horizontal="center"/>
    </xf>
    <xf numFmtId="3" fontId="43" fillId="0" borderId="77" xfId="211" applyNumberFormat="1" applyFont="1" applyBorder="1" applyAlignment="1" applyProtection="1">
      <alignment horizontal="center"/>
    </xf>
    <xf numFmtId="3" fontId="43" fillId="0" borderId="48" xfId="211" applyNumberFormat="1" applyFont="1" applyBorder="1" applyAlignment="1" applyProtection="1">
      <alignment horizontal="center"/>
    </xf>
    <xf numFmtId="3" fontId="43" fillId="27" borderId="24" xfId="211" applyNumberFormat="1" applyFont="1" applyFill="1" applyBorder="1" applyAlignment="1" applyProtection="1"/>
    <xf numFmtId="3" fontId="60" fillId="0" borderId="40" xfId="211" applyNumberFormat="1" applyFont="1" applyFill="1" applyBorder="1" applyAlignment="1" applyProtection="1">
      <alignment horizontal="center"/>
    </xf>
    <xf numFmtId="3" fontId="60" fillId="0" borderId="40" xfId="211" applyNumberFormat="1" applyFont="1" applyBorder="1" applyAlignment="1" applyProtection="1">
      <alignment horizontal="center"/>
    </xf>
    <xf numFmtId="3" fontId="60" fillId="0" borderId="40" xfId="211" applyNumberFormat="1" applyFont="1" applyBorder="1" applyAlignment="1" applyProtection="1"/>
    <xf numFmtId="3" fontId="60" fillId="0" borderId="40" xfId="211" applyNumberFormat="1" applyFont="1" applyFill="1" applyBorder="1" applyAlignment="1" applyProtection="1"/>
    <xf numFmtId="4" fontId="61" fillId="0" borderId="40" xfId="211" applyNumberFormat="1" applyFont="1" applyFill="1" applyBorder="1" applyAlignment="1" applyProtection="1">
      <alignment horizontal="right"/>
    </xf>
    <xf numFmtId="4" fontId="61" fillId="27" borderId="40" xfId="211" applyNumberFormat="1" applyFont="1" applyFill="1" applyBorder="1" applyAlignment="1" applyProtection="1">
      <alignment horizontal="right"/>
    </xf>
    <xf numFmtId="4" fontId="61" fillId="0" borderId="41" xfId="211" applyNumberFormat="1" applyFont="1" applyFill="1" applyBorder="1" applyAlignment="1" applyProtection="1">
      <alignment horizontal="right"/>
    </xf>
    <xf numFmtId="3" fontId="62" fillId="0" borderId="25" xfId="211" applyNumberFormat="1" applyFont="1" applyFill="1" applyBorder="1" applyAlignment="1" applyProtection="1"/>
    <xf numFmtId="3" fontId="42" fillId="0" borderId="18" xfId="211" applyNumberFormat="1" applyFont="1" applyBorder="1" applyAlignment="1" applyProtection="1">
      <protection locked="0"/>
    </xf>
    <xf numFmtId="3" fontId="42" fillId="0" borderId="0" xfId="211" applyNumberFormat="1" applyFont="1" applyBorder="1" applyAlignment="1" applyProtection="1">
      <alignment horizontal="center"/>
      <protection locked="0"/>
    </xf>
    <xf numFmtId="3" fontId="43" fillId="0" borderId="0" xfId="211" applyNumberFormat="1" applyFont="1" applyFill="1" applyBorder="1" applyAlignment="1" applyProtection="1">
      <alignment horizontal="center"/>
      <protection locked="0"/>
    </xf>
    <xf numFmtId="3" fontId="43" fillId="0" borderId="0" xfId="211" applyNumberFormat="1" applyFont="1" applyBorder="1" applyAlignment="1" applyProtection="1">
      <alignment horizontal="center"/>
      <protection locked="0"/>
    </xf>
    <xf numFmtId="3" fontId="43" fillId="0" borderId="0" xfId="211" applyNumberFormat="1" applyFont="1" applyBorder="1" applyAlignment="1" applyProtection="1">
      <protection locked="0"/>
    </xf>
    <xf numFmtId="3" fontId="43" fillId="0" borderId="0" xfId="211" applyNumberFormat="1" applyFont="1" applyFill="1" applyBorder="1" applyAlignment="1" applyProtection="1">
      <protection locked="0"/>
    </xf>
    <xf numFmtId="3" fontId="43" fillId="27" borderId="0" xfId="211" applyNumberFormat="1" applyFont="1" applyFill="1" applyBorder="1" applyAlignment="1" applyProtection="1">
      <protection locked="0"/>
    </xf>
    <xf numFmtId="3" fontId="42" fillId="0" borderId="0" xfId="211" applyNumberFormat="1" applyFont="1" applyFill="1" applyBorder="1" applyAlignment="1" applyProtection="1">
      <protection locked="0"/>
    </xf>
    <xf numFmtId="0" fontId="43" fillId="0" borderId="0" xfId="211" applyFont="1" applyAlignment="1" applyProtection="1">
      <protection locked="0"/>
    </xf>
    <xf numFmtId="3" fontId="43" fillId="0" borderId="0" xfId="211" applyNumberFormat="1" applyFont="1" applyFill="1" applyBorder="1" applyAlignment="1" applyProtection="1">
      <alignment horizontal="center" vertical="center"/>
      <protection locked="0"/>
    </xf>
    <xf numFmtId="3" fontId="43" fillId="0" borderId="78" xfId="211" applyNumberFormat="1" applyFont="1" applyFill="1" applyBorder="1" applyAlignment="1" applyProtection="1">
      <protection locked="0"/>
    </xf>
    <xf numFmtId="3" fontId="63" fillId="0" borderId="17" xfId="211" applyNumberFormat="1" applyFont="1" applyFill="1" applyBorder="1" applyAlignment="1" applyProtection="1">
      <alignment horizontal="center" vertical="center"/>
      <protection locked="0"/>
    </xf>
    <xf numFmtId="3" fontId="64" fillId="0" borderId="0" xfId="211" applyNumberFormat="1" applyFont="1" applyFill="1" applyBorder="1" applyAlignment="1" applyProtection="1">
      <alignment horizontal="center"/>
      <protection locked="0"/>
    </xf>
    <xf numFmtId="0" fontId="42" fillId="29" borderId="79" xfId="211" applyFont="1" applyFill="1" applyBorder="1" applyAlignment="1" applyProtection="1">
      <protection locked="0"/>
    </xf>
    <xf numFmtId="3" fontId="63" fillId="0" borderId="0" xfId="211" applyNumberFormat="1" applyFont="1" applyFill="1" applyBorder="1" applyAlignment="1" applyProtection="1">
      <alignment horizontal="center"/>
    </xf>
    <xf numFmtId="0" fontId="43" fillId="29" borderId="80" xfId="211" applyFont="1" applyFill="1" applyBorder="1" applyAlignment="1" applyProtection="1">
      <protection locked="0"/>
    </xf>
    <xf numFmtId="3" fontId="43" fillId="0" borderId="1" xfId="211" applyNumberFormat="1" applyFont="1" applyFill="1" applyBorder="1" applyAlignment="1" applyProtection="1">
      <protection locked="0"/>
    </xf>
    <xf numFmtId="3" fontId="63" fillId="0" borderId="0" xfId="211" applyNumberFormat="1" applyFont="1" applyFill="1" applyBorder="1" applyAlignment="1" applyProtection="1">
      <alignment vertical="center"/>
      <protection locked="0"/>
    </xf>
    <xf numFmtId="0" fontId="64" fillId="0" borderId="0" xfId="211" applyFont="1" applyAlignment="1" applyProtection="1">
      <alignment horizontal="center"/>
      <protection locked="0"/>
    </xf>
    <xf numFmtId="3" fontId="65" fillId="0" borderId="81" xfId="211" applyNumberFormat="1" applyFont="1" applyFill="1" applyBorder="1" applyAlignment="1" applyProtection="1">
      <protection locked="0"/>
    </xf>
    <xf numFmtId="3" fontId="63" fillId="0" borderId="0" xfId="211" applyNumberFormat="1" applyFont="1" applyBorder="1" applyAlignment="1" applyProtection="1">
      <alignment horizontal="center"/>
    </xf>
    <xf numFmtId="3" fontId="43" fillId="29" borderId="82" xfId="211" applyNumberFormat="1" applyFont="1" applyFill="1" applyBorder="1" applyAlignment="1" applyProtection="1">
      <protection locked="0"/>
    </xf>
    <xf numFmtId="3" fontId="42" fillId="28" borderId="0" xfId="211" applyNumberFormat="1" applyFont="1" applyFill="1" applyBorder="1" applyAlignment="1" applyProtection="1">
      <alignment horizontal="centerContinuous" vertical="center"/>
    </xf>
    <xf numFmtId="3" fontId="43" fillId="28" borderId="0" xfId="211" applyNumberFormat="1" applyFont="1" applyFill="1" applyBorder="1" applyAlignment="1" applyProtection="1">
      <alignment horizontal="centerContinuous" vertical="center"/>
    </xf>
    <xf numFmtId="3" fontId="42" fillId="28" borderId="0" xfId="211" applyNumberFormat="1" applyFont="1" applyFill="1" applyBorder="1" applyAlignment="1" applyProtection="1">
      <alignment horizontal="left" vertical="center"/>
    </xf>
    <xf numFmtId="3" fontId="42" fillId="28" borderId="31" xfId="211" applyNumberFormat="1" applyFont="1" applyFill="1" applyBorder="1" applyAlignment="1" applyProtection="1">
      <alignment vertical="center"/>
    </xf>
    <xf numFmtId="0" fontId="42" fillId="0" borderId="0" xfId="211" applyFont="1" applyAlignment="1" applyProtection="1">
      <alignment horizontal="center"/>
      <protection locked="0"/>
    </xf>
    <xf numFmtId="0" fontId="42" fillId="0" borderId="58" xfId="211" applyFont="1" applyFill="1" applyBorder="1" applyAlignment="1" applyProtection="1">
      <alignment horizontal="center"/>
      <protection locked="0"/>
    </xf>
    <xf numFmtId="0" fontId="43" fillId="0" borderId="0" xfId="211" applyFont="1" applyAlignment="1" applyProtection="1">
      <alignment horizontal="center"/>
      <protection locked="0"/>
    </xf>
    <xf numFmtId="3" fontId="43" fillId="0" borderId="0" xfId="0" applyNumberFormat="1" applyFont="1" applyBorder="1" applyAlignment="1" applyProtection="1">
      <alignment horizontal="center" vertical="center"/>
    </xf>
    <xf numFmtId="0" fontId="43" fillId="0" borderId="58" xfId="211" applyFont="1" applyBorder="1" applyAlignment="1" applyProtection="1">
      <alignment horizontal="center"/>
      <protection locked="0"/>
    </xf>
    <xf numFmtId="0" fontId="43" fillId="0" borderId="0" xfId="211" applyFont="1" applyFill="1" applyAlignment="1" applyProtection="1">
      <alignment horizontal="center"/>
      <protection locked="0"/>
    </xf>
    <xf numFmtId="3" fontId="43" fillId="27" borderId="0" xfId="211" applyNumberFormat="1" applyFont="1" applyFill="1" applyBorder="1" applyAlignment="1" applyProtection="1">
      <alignment horizontal="center"/>
    </xf>
    <xf numFmtId="0" fontId="43" fillId="0" borderId="58" xfId="211" applyFont="1" applyFill="1" applyBorder="1" applyAlignment="1" applyProtection="1">
      <alignment horizontal="center"/>
      <protection locked="0"/>
    </xf>
    <xf numFmtId="0" fontId="43" fillId="0" borderId="0" xfId="211" applyFont="1" applyAlignment="1" applyProtection="1">
      <alignment horizontal="center"/>
    </xf>
    <xf numFmtId="0" fontId="43" fillId="0" borderId="0" xfId="211" applyFont="1" applyFill="1" applyAlignment="1" applyProtection="1">
      <protection locked="0"/>
    </xf>
    <xf numFmtId="0" fontId="42" fillId="0" borderId="0" xfId="211" applyFont="1" applyFill="1" applyAlignment="1" applyProtection="1">
      <alignment horizontal="center"/>
      <protection locked="0"/>
    </xf>
    <xf numFmtId="3" fontId="43" fillId="0" borderId="31" xfId="211" applyNumberFormat="1" applyFont="1" applyBorder="1" applyAlignment="1" applyProtection="1"/>
    <xf numFmtId="181" fontId="66" fillId="0" borderId="1" xfId="211" applyNumberFormat="1" applyFont="1" applyBorder="1" applyAlignment="1" applyProtection="1">
      <alignment horizontal="center"/>
    </xf>
    <xf numFmtId="181" fontId="66" fillId="0" borderId="69" xfId="211" applyNumberFormat="1" applyFont="1" applyBorder="1" applyAlignment="1" applyProtection="1">
      <alignment horizontal="center"/>
    </xf>
    <xf numFmtId="181" fontId="66" fillId="0" borderId="68" xfId="211" applyNumberFormat="1" applyFont="1" applyBorder="1" applyAlignment="1" applyProtection="1">
      <alignment horizontal="center"/>
    </xf>
    <xf numFmtId="0" fontId="43" fillId="0" borderId="0" xfId="211" applyFont="1" applyFill="1" applyAlignment="1" applyProtection="1">
      <alignment horizontal="left"/>
      <protection locked="0"/>
    </xf>
    <xf numFmtId="180" fontId="57" fillId="0" borderId="1" xfId="211" applyNumberFormat="1" applyFont="1" applyBorder="1" applyAlignment="1" applyProtection="1">
      <alignment horizontal="right"/>
    </xf>
    <xf numFmtId="3" fontId="43" fillId="0" borderId="18" xfId="211" applyNumberFormat="1" applyFont="1" applyFill="1" applyBorder="1" applyAlignment="1" applyProtection="1"/>
    <xf numFmtId="0" fontId="43" fillId="0" borderId="31" xfId="211" applyNumberFormat="1" applyFont="1" applyFill="1" applyBorder="1" applyAlignment="1" applyProtection="1">
      <alignment horizontal="center"/>
      <protection locked="0"/>
    </xf>
    <xf numFmtId="181" fontId="67" fillId="0" borderId="1" xfId="211" applyNumberFormat="1" applyFont="1" applyBorder="1" applyAlignment="1" applyProtection="1">
      <alignment horizontal="center"/>
    </xf>
    <xf numFmtId="3" fontId="43" fillId="0" borderId="0" xfId="211" applyNumberFormat="1" applyFont="1" applyFill="1" applyBorder="1" applyAlignment="1" applyProtection="1">
      <alignment horizontal="left"/>
    </xf>
    <xf numFmtId="180" fontId="43" fillId="0" borderId="31" xfId="211" applyNumberFormat="1" applyFont="1" applyFill="1" applyBorder="1" applyAlignment="1" applyProtection="1">
      <alignment horizontal="center"/>
      <protection locked="0"/>
    </xf>
    <xf numFmtId="0" fontId="42" fillId="0" borderId="0" xfId="211" applyFont="1" applyAlignment="1" applyProtection="1">
      <protection locked="0"/>
    </xf>
    <xf numFmtId="185" fontId="42" fillId="26" borderId="0" xfId="211" applyNumberFormat="1" applyFont="1" applyFill="1" applyAlignment="1" applyProtection="1">
      <alignment horizontal="center"/>
      <protection locked="0"/>
    </xf>
    <xf numFmtId="0" fontId="42" fillId="0" borderId="1" xfId="211" applyFont="1" applyBorder="1" applyAlignment="1" applyProtection="1">
      <alignment horizontal="center"/>
      <protection locked="0"/>
    </xf>
    <xf numFmtId="9" fontId="68" fillId="36" borderId="1" xfId="212" applyFont="1" applyFill="1" applyBorder="1" applyAlignment="1" applyProtection="1">
      <alignment horizontal="center"/>
    </xf>
    <xf numFmtId="9" fontId="43" fillId="0" borderId="0" xfId="212" applyFont="1" applyFill="1" applyBorder="1" applyAlignment="1" applyProtection="1">
      <alignment horizontal="left" vertical="center"/>
    </xf>
    <xf numFmtId="3" fontId="43" fillId="0" borderId="0" xfId="211" applyNumberFormat="1" applyFont="1" applyFill="1" applyBorder="1" applyAlignment="1" applyProtection="1">
      <alignment horizontal="left" vertical="center"/>
    </xf>
    <xf numFmtId="0" fontId="57" fillId="0" borderId="0" xfId="211" applyFont="1" applyAlignment="1" applyProtection="1">
      <alignment horizontal="center"/>
      <protection locked="0"/>
    </xf>
    <xf numFmtId="3" fontId="43" fillId="0" borderId="0" xfId="0" applyNumberFormat="1" applyFont="1" applyBorder="1" applyAlignment="1" applyProtection="1"/>
    <xf numFmtId="0" fontId="43" fillId="0" borderId="0" xfId="0" applyFont="1" applyAlignment="1" applyProtection="1">
      <alignment horizontal="left"/>
      <protection locked="0"/>
    </xf>
    <xf numFmtId="0" fontId="43" fillId="0" borderId="1" xfId="0" applyFont="1" applyBorder="1" applyProtection="1">
      <protection locked="0"/>
    </xf>
    <xf numFmtId="14" fontId="8" fillId="0" borderId="1" xfId="0" applyNumberFormat="1" applyFont="1" applyBorder="1" applyAlignment="1">
      <alignment horizontal="center"/>
    </xf>
    <xf numFmtId="3" fontId="42" fillId="0" borderId="58" xfId="211" applyNumberFormat="1" applyFont="1" applyBorder="1" applyAlignment="1" applyProtection="1">
      <alignment horizontal="center"/>
    </xf>
    <xf numFmtId="180" fontId="42" fillId="0" borderId="1" xfId="0" applyNumberFormat="1" applyFont="1" applyBorder="1" applyProtection="1">
      <protection locked="0"/>
    </xf>
    <xf numFmtId="181" fontId="62" fillId="31" borderId="69" xfId="211" applyNumberFormat="1" applyFont="1" applyFill="1" applyBorder="1" applyAlignment="1" applyProtection="1">
      <alignment horizontal="centerContinuous"/>
    </xf>
    <xf numFmtId="181" fontId="62" fillId="31" borderId="69" xfId="211" applyNumberFormat="1" applyFont="1" applyFill="1" applyBorder="1" applyAlignment="1" applyProtection="1">
      <alignment horizontal="center"/>
    </xf>
    <xf numFmtId="181" fontId="62" fillId="0" borderId="1" xfId="211" applyNumberFormat="1" applyFont="1" applyFill="1" applyBorder="1" applyAlignment="1" applyProtection="1">
      <alignment horizontal="centerContinuous"/>
    </xf>
    <xf numFmtId="3" fontId="43" fillId="27" borderId="0" xfId="211" applyNumberFormat="1" applyFont="1" applyFill="1" applyBorder="1" applyAlignment="1" applyProtection="1"/>
    <xf numFmtId="0" fontId="43" fillId="0" borderId="0" xfId="0" applyFont="1" applyBorder="1" applyAlignment="1" applyProtection="1"/>
    <xf numFmtId="9" fontId="42" fillId="37" borderId="78" xfId="212" applyNumberFormat="1" applyFont="1" applyFill="1" applyBorder="1" applyAlignment="1" applyProtection="1">
      <alignment horizontal="center"/>
    </xf>
    <xf numFmtId="10" fontId="42" fillId="37" borderId="78" xfId="212" applyNumberFormat="1" applyFont="1" applyFill="1" applyBorder="1" applyAlignment="1" applyProtection="1">
      <alignment horizontal="center"/>
    </xf>
    <xf numFmtId="10" fontId="42" fillId="37" borderId="0" xfId="212" applyNumberFormat="1" applyFont="1" applyFill="1" applyBorder="1" applyAlignment="1" applyProtection="1">
      <alignment horizontal="center"/>
    </xf>
    <xf numFmtId="0" fontId="0" fillId="0" borderId="31" xfId="0" applyBorder="1"/>
    <xf numFmtId="3" fontId="43" fillId="0" borderId="18" xfId="0" applyNumberFormat="1" applyFont="1" applyBorder="1" applyAlignment="1" applyProtection="1"/>
    <xf numFmtId="182" fontId="44" fillId="26" borderId="0" xfId="211" applyNumberFormat="1" applyFont="1" applyFill="1" applyAlignment="1" applyProtection="1">
      <alignment horizontal="center"/>
      <protection locked="0"/>
    </xf>
    <xf numFmtId="180" fontId="43" fillId="0" borderId="1" xfId="211" applyNumberFormat="1" applyFont="1" applyBorder="1" applyAlignment="1" applyProtection="1">
      <alignment horizontal="centerContinuous"/>
    </xf>
    <xf numFmtId="180" fontId="43" fillId="0" borderId="1" xfId="211" applyNumberFormat="1" applyFont="1" applyBorder="1" applyAlignment="1" applyProtection="1">
      <alignment horizontal="center"/>
    </xf>
    <xf numFmtId="181" fontId="43" fillId="27" borderId="0" xfId="211" applyNumberFormat="1" applyFont="1" applyFill="1" applyBorder="1" applyAlignment="1" applyProtection="1"/>
    <xf numFmtId="186" fontId="43" fillId="0" borderId="0" xfId="211" applyNumberFormat="1" applyFont="1" applyBorder="1" applyAlignment="1" applyProtection="1"/>
    <xf numFmtId="3" fontId="42" fillId="0" borderId="0" xfId="211" applyNumberFormat="1" applyFont="1" applyFill="1" applyBorder="1" applyAlignment="1" applyProtection="1">
      <alignment horizontal="centerContinuous"/>
    </xf>
    <xf numFmtId="180" fontId="62" fillId="0" borderId="1" xfId="211" applyNumberFormat="1" applyFont="1" applyFill="1" applyBorder="1" applyAlignment="1" applyProtection="1">
      <alignment horizontal="right"/>
    </xf>
    <xf numFmtId="181" fontId="62" fillId="0" borderId="1" xfId="211" applyNumberFormat="1" applyFont="1" applyFill="1" applyBorder="1" applyAlignment="1" applyProtection="1">
      <alignment horizontal="center"/>
    </xf>
    <xf numFmtId="0" fontId="43" fillId="0" borderId="0" xfId="0" applyFont="1" applyAlignment="1" applyProtection="1">
      <alignment horizontal="center"/>
      <protection locked="0"/>
    </xf>
    <xf numFmtId="3" fontId="43" fillId="27" borderId="0" xfId="0" applyNumberFormat="1" applyFont="1" applyFill="1" applyBorder="1" applyAlignment="1" applyProtection="1"/>
    <xf numFmtId="0" fontId="43" fillId="0" borderId="83" xfId="211" applyFont="1" applyFill="1" applyBorder="1" applyAlignment="1" applyProtection="1">
      <protection locked="0"/>
    </xf>
    <xf numFmtId="0" fontId="43" fillId="0" borderId="30" xfId="211" applyFont="1" applyFill="1" applyBorder="1" applyAlignment="1" applyProtection="1">
      <protection locked="0"/>
    </xf>
    <xf numFmtId="0" fontId="43" fillId="0" borderId="30" xfId="211" applyFont="1" applyBorder="1" applyAlignment="1" applyProtection="1">
      <protection locked="0"/>
    </xf>
    <xf numFmtId="3" fontId="44" fillId="0" borderId="31" xfId="0" applyNumberFormat="1" applyFont="1" applyFill="1" applyBorder="1" applyAlignment="1" applyProtection="1">
      <alignment horizontal="center"/>
    </xf>
    <xf numFmtId="0" fontId="43" fillId="0" borderId="0" xfId="211" applyFont="1" applyFill="1" applyBorder="1" applyAlignment="1" applyProtection="1">
      <alignment horizontal="center"/>
      <protection locked="0"/>
    </xf>
    <xf numFmtId="179" fontId="43" fillId="27" borderId="0" xfId="211" applyNumberFormat="1" applyFont="1" applyFill="1" applyBorder="1" applyAlignment="1" applyProtection="1">
      <protection locked="0"/>
    </xf>
    <xf numFmtId="3" fontId="43" fillId="0" borderId="31" xfId="211" applyNumberFormat="1" applyFont="1" applyFill="1" applyBorder="1" applyAlignment="1" applyProtection="1">
      <protection locked="0"/>
    </xf>
    <xf numFmtId="180" fontId="57" fillId="0" borderId="0" xfId="211" applyNumberFormat="1" applyFont="1" applyBorder="1" applyAlignment="1" applyProtection="1"/>
    <xf numFmtId="3" fontId="38" fillId="28" borderId="18" xfId="211" applyNumberFormat="1" applyFont="1" applyFill="1" applyBorder="1" applyAlignment="1" applyProtection="1">
      <alignment horizontal="center" vertical="center"/>
    </xf>
    <xf numFmtId="3" fontId="38" fillId="28" borderId="85" xfId="211" applyNumberFormat="1" applyFont="1" applyFill="1" applyBorder="1" applyAlignment="1" applyProtection="1">
      <alignment vertical="center"/>
    </xf>
    <xf numFmtId="3" fontId="38" fillId="28" borderId="0" xfId="211" applyNumberFormat="1" applyFont="1" applyFill="1" applyBorder="1" applyAlignment="1" applyProtection="1">
      <alignment horizontal="centerContinuous" vertical="center"/>
    </xf>
    <xf numFmtId="3" fontId="38" fillId="28" borderId="84" xfId="211" applyNumberFormat="1" applyFont="1" applyFill="1" applyBorder="1" applyAlignment="1" applyProtection="1">
      <alignment horizontal="centerContinuous" vertical="center"/>
    </xf>
    <xf numFmtId="3" fontId="38" fillId="28" borderId="85" xfId="211" applyNumberFormat="1" applyFont="1" applyFill="1" applyBorder="1" applyAlignment="1" applyProtection="1">
      <alignment horizontal="centerContinuous" vertical="center"/>
    </xf>
    <xf numFmtId="14" fontId="38" fillId="28" borderId="84" xfId="211" applyNumberFormat="1" applyFont="1" applyFill="1" applyBorder="1" applyAlignment="1" applyProtection="1">
      <alignment horizontal="center" vertical="center"/>
    </xf>
    <xf numFmtId="0" fontId="8" fillId="0" borderId="0" xfId="0" applyFont="1"/>
    <xf numFmtId="3" fontId="42" fillId="0" borderId="18" xfId="211" applyNumberFormat="1" applyFont="1" applyBorder="1" applyAlignment="1" applyProtection="1"/>
    <xf numFmtId="0" fontId="42" fillId="0" borderId="0" xfId="0" applyFont="1" applyBorder="1" applyAlignment="1" applyProtection="1">
      <alignment horizontal="center"/>
      <protection locked="0"/>
    </xf>
    <xf numFmtId="4" fontId="42" fillId="29" borderId="24" xfId="211" applyNumberFormat="1" applyFont="1" applyFill="1" applyBorder="1" applyAlignment="1" applyProtection="1">
      <alignment horizontal="center"/>
      <protection locked="0"/>
    </xf>
    <xf numFmtId="0" fontId="43" fillId="0" borderId="0" xfId="0" applyFont="1" applyBorder="1" applyAlignment="1" applyProtection="1">
      <alignment horizontal="center"/>
      <protection locked="0"/>
    </xf>
    <xf numFmtId="0" fontId="40" fillId="0" borderId="0" xfId="0" applyFont="1" applyAlignment="1">
      <alignment horizontal="center"/>
    </xf>
    <xf numFmtId="14" fontId="70" fillId="0" borderId="0" xfId="0" applyNumberFormat="1" applyFont="1" applyAlignment="1">
      <alignment horizontal="center"/>
    </xf>
    <xf numFmtId="183" fontId="43" fillId="27" borderId="0" xfId="211" applyNumberFormat="1" applyFont="1" applyFill="1" applyBorder="1" applyAlignment="1" applyProtection="1">
      <alignment horizontal="center"/>
      <protection locked="0"/>
    </xf>
    <xf numFmtId="169" fontId="43" fillId="0" borderId="0" xfId="211" applyNumberFormat="1" applyFont="1" applyBorder="1" applyAlignment="1" applyProtection="1">
      <alignment horizontal="center"/>
      <protection locked="0"/>
    </xf>
    <xf numFmtId="14" fontId="70" fillId="0" borderId="0" xfId="0" applyNumberFormat="1" applyFont="1"/>
    <xf numFmtId="4" fontId="42" fillId="29" borderId="0" xfId="211" applyNumberFormat="1" applyFont="1" applyFill="1" applyBorder="1" applyAlignment="1" applyProtection="1">
      <alignment horizontal="center"/>
      <protection locked="0"/>
    </xf>
    <xf numFmtId="0" fontId="43" fillId="0" borderId="0" xfId="0" applyFont="1" applyFill="1" applyBorder="1" applyProtection="1">
      <protection locked="0"/>
    </xf>
    <xf numFmtId="4" fontId="44" fillId="0" borderId="0" xfId="211" applyNumberFormat="1" applyFont="1" applyFill="1" applyBorder="1" applyAlignment="1" applyProtection="1">
      <alignment horizontal="center"/>
      <protection locked="0"/>
    </xf>
    <xf numFmtId="3" fontId="42" fillId="0" borderId="22" xfId="211" applyNumberFormat="1" applyFont="1" applyBorder="1" applyAlignment="1" applyProtection="1">
      <alignment horizontal="center"/>
    </xf>
    <xf numFmtId="3" fontId="42" fillId="0" borderId="77" xfId="211" applyNumberFormat="1" applyFont="1" applyBorder="1" applyAlignment="1" applyProtection="1">
      <alignment horizontal="center"/>
    </xf>
    <xf numFmtId="3" fontId="42" fillId="0" borderId="47" xfId="211" applyNumberFormat="1" applyFont="1" applyFill="1" applyBorder="1" applyAlignment="1" applyProtection="1">
      <alignment horizontal="center"/>
    </xf>
    <xf numFmtId="3" fontId="43" fillId="27" borderId="77" xfId="211" applyNumberFormat="1" applyFont="1" applyFill="1" applyBorder="1" applyAlignment="1" applyProtection="1">
      <alignment horizontal="left"/>
    </xf>
    <xf numFmtId="3" fontId="43" fillId="27" borderId="76" xfId="211" applyNumberFormat="1" applyFont="1" applyFill="1" applyBorder="1" applyAlignment="1" applyProtection="1">
      <alignment horizontal="centerContinuous"/>
    </xf>
    <xf numFmtId="3" fontId="43" fillId="27" borderId="47" xfId="211" applyNumberFormat="1" applyFont="1" applyFill="1" applyBorder="1" applyAlignment="1" applyProtection="1">
      <alignment horizontal="centerContinuous"/>
    </xf>
    <xf numFmtId="0" fontId="42" fillId="0" borderId="77" xfId="211" applyFont="1" applyBorder="1" applyAlignment="1" applyProtection="1">
      <alignment horizontal="center"/>
      <protection locked="0"/>
    </xf>
    <xf numFmtId="0" fontId="38" fillId="0" borderId="86" xfId="0" applyFont="1" applyBorder="1" applyAlignment="1">
      <alignment horizontal="center"/>
    </xf>
    <xf numFmtId="3" fontId="42" fillId="0" borderId="21" xfId="211" applyNumberFormat="1" applyFont="1" applyBorder="1" applyAlignment="1" applyProtection="1">
      <alignment horizontal="center"/>
    </xf>
    <xf numFmtId="3" fontId="42" fillId="0" borderId="43" xfId="211" applyNumberFormat="1" applyFont="1" applyBorder="1" applyAlignment="1" applyProtection="1">
      <alignment horizontal="center"/>
    </xf>
    <xf numFmtId="3" fontId="42" fillId="0" borderId="88" xfId="211" applyNumberFormat="1" applyFont="1" applyFill="1" applyBorder="1" applyAlignment="1" applyProtection="1">
      <alignment horizontal="center"/>
    </xf>
    <xf numFmtId="0" fontId="43" fillId="0" borderId="30" xfId="211" applyFont="1" applyBorder="1" applyAlignment="1" applyProtection="1">
      <alignment horizontal="center"/>
      <protection locked="0"/>
    </xf>
    <xf numFmtId="0" fontId="43" fillId="0" borderId="35" xfId="211" applyFont="1" applyBorder="1" applyAlignment="1" applyProtection="1">
      <alignment horizontal="center"/>
      <protection locked="0"/>
    </xf>
    <xf numFmtId="3" fontId="43" fillId="0" borderId="49" xfId="211" applyNumberFormat="1" applyFont="1" applyBorder="1" applyAlignment="1" applyProtection="1">
      <alignment horizontal="center"/>
    </xf>
    <xf numFmtId="3" fontId="44" fillId="27" borderId="43" xfId="211" applyNumberFormat="1" applyFont="1" applyFill="1" applyBorder="1" applyAlignment="1" applyProtection="1">
      <alignment horizontal="center"/>
    </xf>
    <xf numFmtId="3" fontId="44" fillId="27" borderId="37" xfId="211" applyNumberFormat="1" applyFont="1" applyFill="1" applyBorder="1" applyAlignment="1" applyProtection="1">
      <alignment horizontal="center"/>
    </xf>
    <xf numFmtId="3" fontId="43" fillId="27" borderId="43" xfId="211" applyNumberFormat="1" applyFont="1" applyFill="1" applyBorder="1" applyAlignment="1" applyProtection="1">
      <alignment horizontal="center"/>
    </xf>
    <xf numFmtId="3" fontId="43" fillId="27" borderId="37" xfId="211" applyNumberFormat="1" applyFont="1" applyFill="1" applyBorder="1" applyAlignment="1" applyProtection="1">
      <alignment horizontal="center"/>
    </xf>
    <xf numFmtId="3" fontId="43" fillId="27" borderId="49" xfId="211" applyNumberFormat="1" applyFont="1" applyFill="1" applyBorder="1" applyAlignment="1" applyProtection="1">
      <alignment horizontal="center"/>
    </xf>
    <xf numFmtId="3" fontId="42" fillId="0" borderId="43" xfId="211" applyNumberFormat="1" applyFont="1" applyFill="1" applyBorder="1" applyAlignment="1" applyProtection="1">
      <alignment horizontal="center"/>
    </xf>
    <xf numFmtId="0" fontId="43" fillId="0" borderId="56" xfId="211" applyFont="1" applyBorder="1" applyAlignment="1" applyProtection="1">
      <alignment horizontal="center"/>
      <protection locked="0"/>
    </xf>
    <xf numFmtId="3" fontId="42" fillId="0" borderId="45" xfId="211" applyNumberFormat="1" applyFont="1" applyFill="1" applyBorder="1" applyAlignment="1" applyProtection="1">
      <alignment horizontal="center"/>
    </xf>
    <xf numFmtId="0" fontId="43" fillId="0" borderId="0" xfId="211" applyFont="1" applyBorder="1" applyAlignment="1" applyProtection="1">
      <alignment horizontal="center"/>
      <protection locked="0"/>
    </xf>
    <xf numFmtId="0" fontId="42" fillId="0" borderId="43" xfId="211" applyFont="1" applyBorder="1" applyAlignment="1" applyProtection="1">
      <alignment horizontal="center"/>
      <protection locked="0"/>
    </xf>
    <xf numFmtId="0" fontId="38" fillId="0" borderId="61" xfId="0" applyFont="1" applyBorder="1" applyAlignment="1">
      <alignment horizontal="center"/>
    </xf>
    <xf numFmtId="3" fontId="71" fillId="0" borderId="7" xfId="211" applyNumberFormat="1" applyFont="1" applyBorder="1" applyAlignment="1" applyProtection="1">
      <alignment horizontal="center"/>
    </xf>
    <xf numFmtId="0" fontId="43" fillId="0" borderId="30" xfId="211" applyFont="1" applyFill="1" applyBorder="1" applyAlignment="1" applyProtection="1">
      <alignment horizontal="center"/>
      <protection locked="0"/>
    </xf>
    <xf numFmtId="3" fontId="71" fillId="0" borderId="17" xfId="211" applyNumberFormat="1" applyFont="1" applyBorder="1" applyAlignment="1" applyProtection="1">
      <alignment horizontal="center"/>
    </xf>
    <xf numFmtId="0" fontId="43" fillId="0" borderId="32" xfId="211" applyFont="1" applyBorder="1" applyAlignment="1" applyProtection="1">
      <protection locked="0"/>
    </xf>
    <xf numFmtId="184" fontId="42" fillId="26" borderId="89" xfId="0" applyNumberFormat="1" applyFont="1" applyFill="1" applyBorder="1" applyAlignment="1" applyProtection="1">
      <alignment horizontal="center"/>
      <protection locked="0"/>
    </xf>
    <xf numFmtId="0" fontId="43" fillId="0" borderId="76" xfId="211" applyFont="1" applyFill="1" applyBorder="1" applyAlignment="1" applyProtection="1">
      <protection locked="0"/>
    </xf>
    <xf numFmtId="0" fontId="43" fillId="0" borderId="89" xfId="211" applyFont="1" applyBorder="1" applyAlignment="1" applyProtection="1">
      <protection locked="0"/>
    </xf>
    <xf numFmtId="9" fontId="38" fillId="30" borderId="47" xfId="212" applyFont="1" applyFill="1" applyBorder="1" applyAlignment="1" applyProtection="1">
      <alignment horizontal="center"/>
    </xf>
    <xf numFmtId="3" fontId="72" fillId="27" borderId="7" xfId="211" applyNumberFormat="1" applyFont="1" applyFill="1" applyBorder="1" applyAlignment="1" applyProtection="1">
      <alignment horizontal="center"/>
    </xf>
    <xf numFmtId="3" fontId="72" fillId="27" borderId="35" xfId="211" applyNumberFormat="1" applyFont="1" applyFill="1" applyBorder="1" applyAlignment="1" applyProtection="1">
      <alignment horizontal="center"/>
    </xf>
    <xf numFmtId="3" fontId="73" fillId="27" borderId="7" xfId="211" applyNumberFormat="1" applyFont="1" applyFill="1" applyBorder="1" applyAlignment="1" applyProtection="1"/>
    <xf numFmtId="3" fontId="73" fillId="27" borderId="35" xfId="211" applyNumberFormat="1" applyFont="1" applyFill="1" applyBorder="1" applyAlignment="1" applyProtection="1"/>
    <xf numFmtId="3" fontId="73" fillId="27" borderId="48" xfId="211" applyNumberFormat="1" applyFont="1" applyFill="1" applyBorder="1" applyAlignment="1" applyProtection="1"/>
    <xf numFmtId="0" fontId="43" fillId="0" borderId="7" xfId="211" applyFont="1" applyBorder="1" applyAlignment="1" applyProtection="1">
      <protection locked="0"/>
    </xf>
    <xf numFmtId="0" fontId="0" fillId="0" borderId="29" xfId="0" applyBorder="1"/>
    <xf numFmtId="0" fontId="43" fillId="0" borderId="42" xfId="211" applyFont="1" applyBorder="1" applyAlignment="1" applyProtection="1">
      <protection locked="0"/>
    </xf>
    <xf numFmtId="2" fontId="42" fillId="0" borderId="89" xfId="0" applyNumberFormat="1" applyFont="1" applyFill="1" applyBorder="1" applyAlignment="1" applyProtection="1">
      <alignment horizontal="center"/>
      <protection locked="0"/>
    </xf>
    <xf numFmtId="184" fontId="42" fillId="26" borderId="7" xfId="211" applyNumberFormat="1" applyFont="1" applyFill="1" applyBorder="1" applyAlignment="1" applyProtection="1">
      <alignment horizontal="center"/>
      <protection locked="0"/>
    </xf>
    <xf numFmtId="0" fontId="0" fillId="0" borderId="56" xfId="0" applyBorder="1"/>
    <xf numFmtId="0" fontId="0" fillId="0" borderId="87" xfId="0" applyBorder="1"/>
    <xf numFmtId="0" fontId="0" fillId="0" borderId="47" xfId="0" applyBorder="1"/>
    <xf numFmtId="3" fontId="42" fillId="0" borderId="7" xfId="211" applyNumberFormat="1" applyFont="1" applyBorder="1" applyAlignment="1" applyProtection="1">
      <alignment horizontal="center"/>
    </xf>
    <xf numFmtId="3" fontId="42" fillId="0" borderId="30" xfId="211" applyNumberFormat="1" applyFont="1" applyBorder="1" applyAlignment="1" applyProtection="1"/>
    <xf numFmtId="2" fontId="43" fillId="0" borderId="0" xfId="0" applyNumberFormat="1" applyFont="1" applyBorder="1" applyAlignment="1" applyProtection="1">
      <alignment horizontal="center"/>
      <protection locked="0"/>
    </xf>
    <xf numFmtId="180" fontId="42" fillId="0" borderId="32" xfId="211" applyNumberFormat="1" applyFont="1" applyBorder="1" applyAlignment="1" applyProtection="1"/>
    <xf numFmtId="2" fontId="43" fillId="0" borderId="30" xfId="211" applyNumberFormat="1" applyFont="1" applyBorder="1" applyAlignment="1" applyProtection="1">
      <alignment horizontal="center"/>
      <protection locked="0"/>
    </xf>
    <xf numFmtId="2" fontId="43" fillId="0" borderId="35" xfId="211" applyNumberFormat="1" applyFont="1" applyBorder="1" applyAlignment="1" applyProtection="1">
      <protection locked="0"/>
    </xf>
    <xf numFmtId="2" fontId="43" fillId="0" borderId="30" xfId="211" applyNumberFormat="1" applyFont="1" applyBorder="1" applyAlignment="1" applyProtection="1">
      <protection locked="0"/>
    </xf>
    <xf numFmtId="181" fontId="43" fillId="0" borderId="48" xfId="211" applyNumberFormat="1" applyFont="1" applyBorder="1" applyAlignment="1" applyProtection="1"/>
    <xf numFmtId="3" fontId="44" fillId="27" borderId="7" xfId="211" applyNumberFormat="1" applyFont="1" applyFill="1" applyBorder="1" applyAlignment="1" applyProtection="1"/>
    <xf numFmtId="3" fontId="44" fillId="27" borderId="35" xfId="211" applyNumberFormat="1" applyFont="1" applyFill="1" applyBorder="1" applyAlignment="1" applyProtection="1"/>
    <xf numFmtId="181" fontId="43" fillId="27" borderId="7" xfId="211" applyNumberFormat="1" applyFont="1" applyFill="1" applyBorder="1" applyAlignment="1" applyProtection="1"/>
    <xf numFmtId="181" fontId="43" fillId="27" borderId="35" xfId="211" applyNumberFormat="1" applyFont="1" applyFill="1" applyBorder="1" applyAlignment="1" applyProtection="1"/>
    <xf numFmtId="181" fontId="43" fillId="27" borderId="48" xfId="211" applyNumberFormat="1" applyFont="1" applyFill="1" applyBorder="1" applyAlignment="1" applyProtection="1"/>
    <xf numFmtId="180" fontId="42" fillId="0" borderId="7" xfId="211" applyNumberFormat="1" applyFont="1" applyBorder="1" applyAlignment="1" applyProtection="1"/>
    <xf numFmtId="2" fontId="43" fillId="0" borderId="0" xfId="211" applyNumberFormat="1" applyFont="1" applyBorder="1" applyAlignment="1" applyProtection="1">
      <alignment horizontal="center"/>
      <protection locked="0"/>
    </xf>
    <xf numFmtId="180" fontId="42" fillId="32" borderId="42" xfId="211" applyNumberFormat="1" applyFont="1" applyFill="1" applyBorder="1" applyAlignment="1" applyProtection="1"/>
    <xf numFmtId="184" fontId="43" fillId="0" borderId="7" xfId="211" applyNumberFormat="1" applyFont="1" applyBorder="1" applyAlignment="1" applyProtection="1">
      <alignment horizontal="center"/>
      <protection locked="0"/>
    </xf>
    <xf numFmtId="180" fontId="42" fillId="0" borderId="56" xfId="0" applyNumberFormat="1" applyFont="1" applyBorder="1" applyAlignment="1">
      <alignment horizontal="center"/>
    </xf>
    <xf numFmtId="0" fontId="0" fillId="0" borderId="32" xfId="0" applyBorder="1"/>
    <xf numFmtId="0" fontId="0" fillId="0" borderId="48" xfId="0" applyBorder="1"/>
    <xf numFmtId="3" fontId="42" fillId="0" borderId="26" xfId="211" applyNumberFormat="1" applyFont="1" applyBorder="1" applyAlignment="1" applyProtection="1">
      <alignment horizontal="center"/>
    </xf>
    <xf numFmtId="3" fontId="42" fillId="0" borderId="34" xfId="211" applyNumberFormat="1" applyFont="1" applyBorder="1" applyAlignment="1" applyProtection="1">
      <alignment horizontal="center"/>
    </xf>
    <xf numFmtId="3" fontId="42" fillId="0" borderId="68" xfId="211" applyNumberFormat="1" applyFont="1" applyBorder="1" applyAlignment="1" applyProtection="1"/>
    <xf numFmtId="2" fontId="43" fillId="0" borderId="57" xfId="0" applyNumberFormat="1" applyFont="1" applyBorder="1" applyAlignment="1" applyProtection="1">
      <alignment horizontal="center"/>
      <protection locked="0"/>
    </xf>
    <xf numFmtId="180" fontId="44" fillId="0" borderId="33" xfId="211" applyNumberFormat="1" applyFont="1" applyBorder="1" applyAlignment="1" applyProtection="1"/>
    <xf numFmtId="184" fontId="44" fillId="0" borderId="68" xfId="211" applyNumberFormat="1" applyFont="1" applyBorder="1" applyAlignment="1" applyProtection="1">
      <alignment horizontal="center"/>
      <protection locked="0"/>
    </xf>
    <xf numFmtId="184" fontId="57" fillId="0" borderId="1" xfId="211" applyNumberFormat="1" applyFont="1" applyBorder="1" applyAlignment="1" applyProtection="1">
      <alignment horizontal="center"/>
      <protection locked="0"/>
    </xf>
    <xf numFmtId="184" fontId="57" fillId="0" borderId="68" xfId="211" applyNumberFormat="1" applyFont="1" applyBorder="1" applyAlignment="1" applyProtection="1">
      <alignment horizontal="center"/>
      <protection locked="0"/>
    </xf>
    <xf numFmtId="181" fontId="43" fillId="0" borderId="52" xfId="211" applyNumberFormat="1" applyFont="1" applyBorder="1" applyAlignment="1" applyProtection="1"/>
    <xf numFmtId="3" fontId="44" fillId="27" borderId="34" xfId="211" applyNumberFormat="1" applyFont="1" applyFill="1" applyBorder="1" applyAlignment="1" applyProtection="1">
      <alignment horizontal="right"/>
    </xf>
    <xf numFmtId="3" fontId="44" fillId="27" borderId="1" xfId="211" applyNumberFormat="1" applyFont="1" applyFill="1" applyBorder="1" applyAlignment="1" applyProtection="1">
      <alignment horizontal="right"/>
    </xf>
    <xf numFmtId="3" fontId="44" fillId="27" borderId="1" xfId="211" applyNumberFormat="1" applyFont="1" applyFill="1" applyBorder="1" applyAlignment="1" applyProtection="1"/>
    <xf numFmtId="181" fontId="43" fillId="27" borderId="34" xfId="211" applyNumberFormat="1" applyFont="1" applyFill="1" applyBorder="1" applyAlignment="1" applyProtection="1"/>
    <xf numFmtId="181" fontId="43" fillId="27" borderId="1" xfId="211" applyNumberFormat="1" applyFont="1" applyFill="1" applyBorder="1" applyAlignment="1" applyProtection="1"/>
    <xf numFmtId="181" fontId="43" fillId="27" borderId="52" xfId="211" applyNumberFormat="1" applyFont="1" applyFill="1" applyBorder="1" applyAlignment="1" applyProtection="1"/>
    <xf numFmtId="180" fontId="44" fillId="0" borderId="34" xfId="211" applyNumberFormat="1" applyFont="1" applyBorder="1" applyAlignment="1" applyProtection="1"/>
    <xf numFmtId="184" fontId="57" fillId="0" borderId="27" xfId="211" applyNumberFormat="1" applyFont="1" applyBorder="1" applyAlignment="1" applyProtection="1">
      <alignment horizontal="center"/>
      <protection locked="0"/>
    </xf>
    <xf numFmtId="180" fontId="44" fillId="0" borderId="59" xfId="211" applyNumberFormat="1" applyFont="1" applyBorder="1" applyAlignment="1" applyProtection="1"/>
    <xf numFmtId="184" fontId="57" fillId="0" borderId="34" xfId="211" applyNumberFormat="1" applyFont="1" applyBorder="1" applyAlignment="1" applyProtection="1">
      <alignment horizontal="center"/>
      <protection locked="0"/>
    </xf>
    <xf numFmtId="180" fontId="44" fillId="0" borderId="51" xfId="0" applyNumberFormat="1" applyFont="1" applyBorder="1" applyAlignment="1">
      <alignment horizontal="center"/>
    </xf>
    <xf numFmtId="0" fontId="0" fillId="0" borderId="33" xfId="0" applyBorder="1"/>
    <xf numFmtId="0" fontId="0" fillId="0" borderId="52" xfId="0" applyBorder="1"/>
    <xf numFmtId="3" fontId="42" fillId="32" borderId="64" xfId="211" applyNumberFormat="1" applyFont="1" applyFill="1" applyBorder="1" applyAlignment="1" applyProtection="1">
      <alignment horizontal="center"/>
    </xf>
    <xf numFmtId="2" fontId="69" fillId="32" borderId="0" xfId="211" applyNumberFormat="1" applyFont="1" applyFill="1" applyBorder="1" applyAlignment="1" applyProtection="1">
      <alignment horizontal="right"/>
    </xf>
    <xf numFmtId="3" fontId="42" fillId="32" borderId="53" xfId="211" applyNumberFormat="1" applyFont="1" applyFill="1" applyBorder="1" applyAlignment="1" applyProtection="1"/>
    <xf numFmtId="181" fontId="42" fillId="32" borderId="53" xfId="211" applyNumberFormat="1" applyFont="1" applyFill="1" applyBorder="1" applyAlignment="1" applyProtection="1">
      <alignment horizontal="right"/>
    </xf>
    <xf numFmtId="3" fontId="42" fillId="32" borderId="53" xfId="211" applyNumberFormat="1" applyFont="1" applyFill="1" applyBorder="1" applyAlignment="1" applyProtection="1">
      <alignment horizontal="center"/>
    </xf>
    <xf numFmtId="3" fontId="42" fillId="27" borderId="53" xfId="211" applyNumberFormat="1" applyFont="1" applyFill="1" applyBorder="1" applyAlignment="1" applyProtection="1">
      <alignment horizontal="center"/>
    </xf>
    <xf numFmtId="179" fontId="42" fillId="27" borderId="75" xfId="211" applyNumberFormat="1" applyFont="1" applyFill="1" applyBorder="1" applyAlignment="1" applyProtection="1"/>
    <xf numFmtId="0" fontId="0" fillId="32" borderId="0" xfId="0" applyFill="1"/>
    <xf numFmtId="0" fontId="43" fillId="32" borderId="0" xfId="211" applyFont="1" applyFill="1" applyAlignment="1" applyProtection="1">
      <protection locked="0"/>
    </xf>
    <xf numFmtId="3" fontId="42" fillId="30" borderId="22" xfId="211" applyNumberFormat="1" applyFont="1" applyFill="1" applyBorder="1" applyAlignment="1" applyProtection="1">
      <alignment horizontal="center"/>
    </xf>
    <xf numFmtId="0" fontId="43" fillId="0" borderId="76" xfId="211" applyFont="1" applyFill="1" applyBorder="1" applyAlignment="1" applyProtection="1">
      <alignment horizontal="center"/>
      <protection locked="0"/>
    </xf>
    <xf numFmtId="3" fontId="71" fillId="0" borderId="90" xfId="211" applyNumberFormat="1" applyFont="1" applyBorder="1" applyAlignment="1" applyProtection="1">
      <alignment horizontal="center"/>
    </xf>
    <xf numFmtId="0" fontId="43" fillId="0" borderId="87" xfId="211" applyFont="1" applyBorder="1" applyAlignment="1" applyProtection="1">
      <protection locked="0"/>
    </xf>
    <xf numFmtId="3" fontId="72" fillId="27" borderId="77" xfId="211" applyNumberFormat="1" applyFont="1" applyFill="1" applyBorder="1" applyAlignment="1" applyProtection="1">
      <alignment horizontal="center"/>
    </xf>
    <xf numFmtId="3" fontId="72" fillId="27" borderId="76" xfId="211" applyNumberFormat="1" applyFont="1" applyFill="1" applyBorder="1" applyAlignment="1" applyProtection="1">
      <alignment horizontal="center"/>
    </xf>
    <xf numFmtId="0" fontId="43" fillId="0" borderId="77" xfId="211" applyFont="1" applyBorder="1" applyAlignment="1" applyProtection="1">
      <protection locked="0"/>
    </xf>
    <xf numFmtId="0" fontId="43" fillId="0" borderId="90" xfId="211" applyFont="1" applyBorder="1" applyAlignment="1" applyProtection="1">
      <protection locked="0"/>
    </xf>
    <xf numFmtId="0" fontId="43" fillId="0" borderId="67" xfId="211" applyFont="1" applyBorder="1" applyAlignment="1" applyProtection="1">
      <protection locked="0"/>
    </xf>
    <xf numFmtId="184" fontId="42" fillId="26" borderId="77" xfId="211" applyNumberFormat="1" applyFont="1" applyFill="1" applyBorder="1" applyAlignment="1" applyProtection="1">
      <alignment horizontal="center"/>
      <protection locked="0"/>
    </xf>
    <xf numFmtId="0" fontId="0" fillId="0" borderId="86" xfId="0" applyBorder="1"/>
    <xf numFmtId="3" fontId="42" fillId="0" borderId="35" xfId="211" applyNumberFormat="1" applyFont="1" applyBorder="1" applyAlignment="1" applyProtection="1"/>
    <xf numFmtId="2" fontId="43" fillId="0" borderId="54" xfId="0" applyNumberFormat="1" applyFont="1" applyBorder="1" applyAlignment="1" applyProtection="1">
      <alignment horizontal="center"/>
      <protection locked="0"/>
    </xf>
    <xf numFmtId="4" fontId="44" fillId="27" borderId="7" xfId="211" applyNumberFormat="1" applyFont="1" applyFill="1" applyBorder="1" applyAlignment="1" applyProtection="1"/>
    <xf numFmtId="4" fontId="44" fillId="27" borderId="35" xfId="211" applyNumberFormat="1" applyFont="1" applyFill="1" applyBorder="1" applyAlignment="1" applyProtection="1"/>
    <xf numFmtId="2" fontId="43" fillId="0" borderId="35" xfId="211" applyNumberFormat="1" applyFont="1" applyBorder="1" applyAlignment="1" applyProtection="1">
      <alignment horizontal="center"/>
      <protection locked="0"/>
    </xf>
    <xf numFmtId="2" fontId="43" fillId="0" borderId="54" xfId="211" applyNumberFormat="1" applyFont="1" applyBorder="1" applyAlignment="1" applyProtection="1">
      <alignment horizontal="center"/>
      <protection locked="0"/>
    </xf>
    <xf numFmtId="2" fontId="43" fillId="0" borderId="55" xfId="0" applyNumberFormat="1" applyFont="1" applyBorder="1" applyAlignment="1" applyProtection="1">
      <alignment horizontal="center"/>
      <protection locked="0"/>
    </xf>
    <xf numFmtId="3" fontId="42" fillId="0" borderId="1" xfId="211" applyNumberFormat="1" applyFont="1" applyBorder="1" applyAlignment="1" applyProtection="1"/>
    <xf numFmtId="4" fontId="44" fillId="27" borderId="34" xfId="211" applyNumberFormat="1" applyFont="1" applyFill="1" applyBorder="1" applyAlignment="1" applyProtection="1">
      <alignment horizontal="right"/>
    </xf>
    <xf numFmtId="4" fontId="44" fillId="27" borderId="1" xfId="211" applyNumberFormat="1" applyFont="1" applyFill="1" applyBorder="1" applyAlignment="1" applyProtection="1">
      <alignment horizontal="right"/>
    </xf>
    <xf numFmtId="4" fontId="44" fillId="27" borderId="1" xfId="211" applyNumberFormat="1" applyFont="1" applyFill="1" applyBorder="1" applyAlignment="1" applyProtection="1"/>
    <xf numFmtId="0" fontId="0" fillId="0" borderId="29" xfId="0" applyFill="1" applyBorder="1"/>
    <xf numFmtId="181" fontId="42" fillId="32" borderId="75" xfId="211" applyNumberFormat="1" applyFont="1" applyFill="1" applyBorder="1" applyAlignment="1" applyProtection="1">
      <alignment horizontal="right"/>
    </xf>
    <xf numFmtId="3" fontId="42" fillId="27" borderId="75" xfId="211" applyNumberFormat="1" applyFont="1" applyFill="1" applyBorder="1" applyAlignment="1" applyProtection="1">
      <alignment horizontal="center"/>
    </xf>
    <xf numFmtId="181" fontId="42" fillId="32" borderId="91" xfId="211" applyNumberFormat="1" applyFont="1" applyFill="1" applyBorder="1" applyAlignment="1" applyProtection="1">
      <alignment horizontal="right"/>
    </xf>
    <xf numFmtId="2" fontId="43" fillId="0" borderId="55" xfId="211" applyNumberFormat="1" applyFont="1" applyBorder="1" applyAlignment="1" applyProtection="1">
      <alignment horizontal="center"/>
      <protection locked="0"/>
    </xf>
    <xf numFmtId="3" fontId="42" fillId="32" borderId="21" xfId="211" applyNumberFormat="1" applyFont="1" applyFill="1" applyBorder="1" applyAlignment="1" applyProtection="1">
      <alignment horizontal="center"/>
    </xf>
    <xf numFmtId="3" fontId="42" fillId="32" borderId="24" xfId="211" applyNumberFormat="1" applyFont="1" applyFill="1" applyBorder="1" applyAlignment="1" applyProtection="1">
      <alignment horizontal="center"/>
    </xf>
    <xf numFmtId="181" fontId="42" fillId="32" borderId="24" xfId="211" applyNumberFormat="1" applyFont="1" applyFill="1" applyBorder="1" applyAlignment="1" applyProtection="1">
      <alignment horizontal="right"/>
    </xf>
    <xf numFmtId="181" fontId="42" fillId="32" borderId="0" xfId="211" applyNumberFormat="1" applyFont="1" applyFill="1" applyBorder="1" applyAlignment="1" applyProtection="1">
      <alignment horizontal="right"/>
    </xf>
    <xf numFmtId="3" fontId="42" fillId="27" borderId="0" xfId="211" applyNumberFormat="1" applyFont="1" applyFill="1" applyBorder="1" applyAlignment="1" applyProtection="1">
      <alignment horizontal="center"/>
    </xf>
    <xf numFmtId="179" fontId="42" fillId="27" borderId="24" xfId="211" applyNumberFormat="1" applyFont="1" applyFill="1" applyBorder="1" applyAlignment="1" applyProtection="1"/>
    <xf numFmtId="181" fontId="42" fillId="32" borderId="44" xfId="211" applyNumberFormat="1" applyFont="1" applyFill="1" applyBorder="1" applyAlignment="1" applyProtection="1">
      <alignment horizontal="right"/>
    </xf>
    <xf numFmtId="3" fontId="63" fillId="0" borderId="39" xfId="211" applyNumberFormat="1" applyFont="1" applyBorder="1" applyAlignment="1" applyProtection="1">
      <alignment horizontal="center"/>
    </xf>
    <xf numFmtId="3" fontId="63" fillId="0" borderId="38" xfId="211" applyNumberFormat="1" applyFont="1" applyBorder="1" applyAlignment="1" applyProtection="1">
      <alignment horizontal="center"/>
    </xf>
    <xf numFmtId="3" fontId="42" fillId="0" borderId="92" xfId="211" applyNumberFormat="1" applyFont="1" applyFill="1" applyBorder="1" applyAlignment="1" applyProtection="1">
      <alignment horizontal="right"/>
      <protection locked="0"/>
    </xf>
    <xf numFmtId="4" fontId="64" fillId="0" borderId="62" xfId="211" applyNumberFormat="1" applyFont="1" applyBorder="1" applyAlignment="1" applyProtection="1">
      <alignment horizontal="center"/>
    </xf>
    <xf numFmtId="180" fontId="61" fillId="0" borderId="60" xfId="211" applyNumberFormat="1" applyFont="1" applyBorder="1" applyAlignment="1" applyProtection="1"/>
    <xf numFmtId="180" fontId="61" fillId="0" borderId="92" xfId="211" applyNumberFormat="1" applyFont="1" applyFill="1" applyBorder="1" applyAlignment="1" applyProtection="1">
      <alignment horizontal="center"/>
    </xf>
    <xf numFmtId="180" fontId="65" fillId="0" borderId="25" xfId="211" applyNumberFormat="1" applyFont="1" applyFill="1" applyBorder="1" applyAlignment="1" applyProtection="1">
      <alignment horizontal="center"/>
    </xf>
    <xf numFmtId="180" fontId="65" fillId="0" borderId="92" xfId="211" applyNumberFormat="1" applyFont="1" applyFill="1" applyBorder="1" applyAlignment="1" applyProtection="1">
      <alignment horizontal="center"/>
    </xf>
    <xf numFmtId="181" fontId="63" fillId="0" borderId="41" xfId="211" applyNumberFormat="1" applyFont="1" applyBorder="1" applyAlignment="1" applyProtection="1">
      <alignment horizontal="right"/>
    </xf>
    <xf numFmtId="3" fontId="61" fillId="27" borderId="38" xfId="211" applyNumberFormat="1" applyFont="1" applyFill="1" applyBorder="1" applyAlignment="1" applyProtection="1"/>
    <xf numFmtId="3" fontId="61" fillId="27" borderId="92" xfId="211" applyNumberFormat="1" applyFont="1" applyFill="1" applyBorder="1" applyAlignment="1" applyProtection="1"/>
    <xf numFmtId="174" fontId="63" fillId="27" borderId="39" xfId="211" applyNumberFormat="1" applyFont="1" applyFill="1" applyBorder="1" applyAlignment="1" applyProtection="1">
      <alignment horizontal="right"/>
    </xf>
    <xf numFmtId="174" fontId="63" fillId="27" borderId="92" xfId="211" applyNumberFormat="1" applyFont="1" applyFill="1" applyBorder="1" applyAlignment="1" applyProtection="1">
      <alignment horizontal="right"/>
    </xf>
    <xf numFmtId="174" fontId="63" fillId="27" borderId="25" xfId="211" applyNumberFormat="1" applyFont="1" applyFill="1" applyBorder="1" applyAlignment="1" applyProtection="1">
      <alignment horizontal="right"/>
    </xf>
    <xf numFmtId="180" fontId="61" fillId="0" borderId="38" xfId="211" applyNumberFormat="1" applyFont="1" applyBorder="1" applyAlignment="1" applyProtection="1"/>
    <xf numFmtId="180" fontId="61" fillId="0" borderId="25" xfId="211" applyNumberFormat="1" applyFont="1" applyFill="1" applyBorder="1" applyAlignment="1" applyProtection="1">
      <alignment horizontal="center"/>
    </xf>
    <xf numFmtId="180" fontId="61" fillId="0" borderId="62" xfId="211" applyNumberFormat="1" applyFont="1" applyFill="1" applyBorder="1" applyAlignment="1" applyProtection="1">
      <alignment horizontal="center"/>
    </xf>
    <xf numFmtId="180" fontId="61" fillId="0" borderId="46" xfId="211" applyNumberFormat="1" applyFont="1" applyBorder="1" applyAlignment="1" applyProtection="1"/>
    <xf numFmtId="180" fontId="61" fillId="0" borderId="38" xfId="211" applyNumberFormat="1" applyFont="1" applyFill="1" applyBorder="1" applyAlignment="1" applyProtection="1">
      <alignment horizontal="center"/>
    </xf>
    <xf numFmtId="180" fontId="65" fillId="0" borderId="50" xfId="211" applyNumberFormat="1" applyFont="1" applyFill="1" applyBorder="1" applyAlignment="1" applyProtection="1">
      <alignment horizontal="center"/>
    </xf>
    <xf numFmtId="180" fontId="61" fillId="0" borderId="40" xfId="211" applyNumberFormat="1" applyFont="1" applyFill="1" applyBorder="1" applyAlignment="1" applyProtection="1">
      <alignment horizontal="center"/>
    </xf>
    <xf numFmtId="180" fontId="61" fillId="0" borderId="46" xfId="211" applyNumberFormat="1" applyFont="1" applyFill="1" applyBorder="1" applyAlignment="1" applyProtection="1">
      <alignment horizontal="center"/>
    </xf>
    <xf numFmtId="180" fontId="61" fillId="0" borderId="41" xfId="211" applyNumberFormat="1" applyFont="1" applyFill="1" applyBorder="1" applyAlignment="1" applyProtection="1">
      <alignment horizontal="center"/>
    </xf>
    <xf numFmtId="3" fontId="57" fillId="0" borderId="18" xfId="211" applyNumberFormat="1" applyFont="1" applyBorder="1" applyAlignment="1" applyProtection="1"/>
    <xf numFmtId="2" fontId="69" fillId="0" borderId="17" xfId="211" applyNumberFormat="1" applyFont="1" applyFill="1" applyBorder="1" applyAlignment="1" applyProtection="1">
      <alignment horizontal="center"/>
    </xf>
    <xf numFmtId="2" fontId="69" fillId="0" borderId="17" xfId="211" applyNumberFormat="1" applyFont="1" applyFill="1" applyBorder="1" applyAlignment="1" applyProtection="1">
      <alignment horizontal="right"/>
    </xf>
    <xf numFmtId="4" fontId="69" fillId="0" borderId="17" xfId="211" applyNumberFormat="1" applyFont="1" applyFill="1" applyBorder="1" applyAlignment="1" applyProtection="1">
      <alignment horizontal="right"/>
    </xf>
    <xf numFmtId="2" fontId="57" fillId="0" borderId="17" xfId="211" applyNumberFormat="1" applyFont="1" applyFill="1" applyBorder="1" applyAlignment="1" applyProtection="1"/>
    <xf numFmtId="2" fontId="42" fillId="0" borderId="17" xfId="211" applyNumberFormat="1" applyFont="1" applyFill="1" applyBorder="1" applyAlignment="1" applyProtection="1">
      <alignment horizontal="right"/>
    </xf>
    <xf numFmtId="181" fontId="42" fillId="0" borderId="0" xfId="211" applyNumberFormat="1" applyFont="1" applyFill="1" applyBorder="1" applyAlignment="1" applyProtection="1"/>
    <xf numFmtId="0" fontId="0" fillId="27" borderId="0" xfId="0" applyFill="1"/>
    <xf numFmtId="181" fontId="41" fillId="0" borderId="17" xfId="211" applyNumberFormat="1" applyFont="1" applyFill="1" applyBorder="1" applyAlignment="1" applyProtection="1">
      <alignment horizontal="right"/>
    </xf>
    <xf numFmtId="181" fontId="43" fillId="0" borderId="0" xfId="211" applyNumberFormat="1" applyFont="1" applyBorder="1" applyAlignment="1" applyProtection="1"/>
    <xf numFmtId="179" fontId="43" fillId="0" borderId="0" xfId="211" applyNumberFormat="1" applyFont="1" applyFill="1" applyBorder="1" applyAlignment="1" applyProtection="1">
      <protection locked="0"/>
    </xf>
    <xf numFmtId="179" fontId="43" fillId="0" borderId="0" xfId="211" applyNumberFormat="1" applyFont="1" applyBorder="1" applyAlignment="1" applyProtection="1">
      <protection locked="0"/>
    </xf>
    <xf numFmtId="179" fontId="42" fillId="0" borderId="0" xfId="211" applyNumberFormat="1" applyFont="1" applyFill="1" applyBorder="1" applyAlignment="1" applyProtection="1">
      <protection locked="0"/>
    </xf>
    <xf numFmtId="181" fontId="43" fillId="0" borderId="0" xfId="211" applyNumberFormat="1" applyFont="1" applyBorder="1" applyAlignment="1" applyProtection="1">
      <protection locked="0"/>
    </xf>
    <xf numFmtId="180" fontId="69" fillId="0" borderId="0" xfId="211" applyNumberFormat="1" applyFont="1" applyFill="1" applyBorder="1" applyAlignment="1" applyProtection="1">
      <alignment horizontal="right"/>
    </xf>
    <xf numFmtId="179" fontId="57" fillId="0" borderId="0" xfId="211" applyNumberFormat="1" applyFont="1" applyFill="1" applyBorder="1" applyAlignment="1" applyProtection="1">
      <protection locked="0"/>
    </xf>
    <xf numFmtId="168" fontId="57" fillId="0" borderId="0" xfId="212" applyNumberFormat="1" applyFont="1" applyBorder="1" applyAlignment="1" applyProtection="1">
      <protection locked="0"/>
    </xf>
    <xf numFmtId="179" fontId="57" fillId="0" borderId="0" xfId="211" applyNumberFormat="1" applyFont="1" applyBorder="1" applyAlignment="1" applyProtection="1">
      <protection locked="0"/>
    </xf>
    <xf numFmtId="179" fontId="57" fillId="0" borderId="31" xfId="211" applyNumberFormat="1" applyFont="1" applyBorder="1" applyAlignment="1" applyProtection="1">
      <protection locked="0"/>
    </xf>
    <xf numFmtId="3" fontId="42" fillId="28" borderId="21" xfId="211" applyNumberFormat="1" applyFont="1" applyFill="1" applyBorder="1" applyAlignment="1" applyProtection="1">
      <alignment vertical="center"/>
    </xf>
    <xf numFmtId="3" fontId="42" fillId="28" borderId="24" xfId="211" applyNumberFormat="1" applyFont="1" applyFill="1" applyBorder="1" applyAlignment="1" applyProtection="1">
      <alignment horizontal="center" vertical="center"/>
    </xf>
    <xf numFmtId="3" fontId="42" fillId="28" borderId="24" xfId="211" applyNumberFormat="1" applyFont="1" applyFill="1" applyBorder="1" applyAlignment="1" applyProtection="1">
      <alignment vertical="center"/>
    </xf>
    <xf numFmtId="3" fontId="42" fillId="28" borderId="24" xfId="211" applyNumberFormat="1" applyFont="1" applyFill="1" applyBorder="1" applyAlignment="1" applyProtection="1">
      <alignment horizontal="centerContinuous" vertical="center"/>
    </xf>
    <xf numFmtId="3" fontId="42" fillId="28" borderId="44" xfId="211" applyNumberFormat="1" applyFont="1" applyFill="1" applyBorder="1" applyAlignment="1" applyProtection="1">
      <alignment horizontal="centerContinuous" vertical="center"/>
    </xf>
    <xf numFmtId="4" fontId="43" fillId="31" borderId="18" xfId="211" applyNumberFormat="1" applyFont="1" applyFill="1" applyBorder="1" applyAlignment="1" applyProtection="1">
      <protection locked="0"/>
    </xf>
    <xf numFmtId="14" fontId="6" fillId="0" borderId="1" xfId="0" applyNumberFormat="1" applyFont="1" applyBorder="1" applyAlignment="1">
      <alignment horizontal="center"/>
    </xf>
    <xf numFmtId="0" fontId="43" fillId="0" borderId="1" xfId="210" applyFont="1" applyBorder="1" applyAlignment="1" applyProtection="1">
      <alignment horizontal="center"/>
      <protection locked="0"/>
    </xf>
    <xf numFmtId="4" fontId="42" fillId="0" borderId="1" xfId="210" applyNumberFormat="1" applyFont="1" applyFill="1" applyBorder="1" applyAlignment="1" applyProtection="1">
      <alignment horizontal="center"/>
    </xf>
    <xf numFmtId="0" fontId="42" fillId="0" borderId="0" xfId="210" applyFont="1" applyAlignment="1" applyProtection="1">
      <alignment horizontal="center"/>
      <protection locked="0"/>
    </xf>
    <xf numFmtId="4" fontId="42" fillId="0" borderId="1" xfId="210" applyNumberFormat="1" applyFont="1" applyBorder="1" applyAlignment="1" applyProtection="1">
      <alignment horizontal="center"/>
    </xf>
    <xf numFmtId="181" fontId="66" fillId="0" borderId="1" xfId="210" applyNumberFormat="1" applyFont="1" applyBorder="1" applyAlignment="1" applyProtection="1">
      <alignment horizontal="center"/>
    </xf>
    <xf numFmtId="181" fontId="67" fillId="0" borderId="1" xfId="210" applyNumberFormat="1" applyFont="1" applyBorder="1" applyAlignment="1" applyProtection="1">
      <alignment horizontal="center"/>
    </xf>
    <xf numFmtId="4" fontId="62" fillId="0" borderId="50" xfId="211" applyNumberFormat="1" applyFont="1" applyFill="1" applyBorder="1" applyAlignment="1" applyProtection="1"/>
    <xf numFmtId="3" fontId="42" fillId="0" borderId="7" xfId="210" applyNumberFormat="1" applyFont="1" applyBorder="1" applyAlignment="1" applyProtection="1">
      <protection locked="0"/>
    </xf>
    <xf numFmtId="3" fontId="43" fillId="0" borderId="35" xfId="210" applyNumberFormat="1" applyFont="1" applyFill="1" applyBorder="1" applyAlignment="1" applyProtection="1">
      <alignment horizontal="center"/>
      <protection locked="0"/>
    </xf>
    <xf numFmtId="3" fontId="43" fillId="0" borderId="30" xfId="210" applyNumberFormat="1" applyFont="1" applyFill="1" applyBorder="1" applyAlignment="1" applyProtection="1">
      <alignment horizontal="center"/>
      <protection locked="0"/>
    </xf>
    <xf numFmtId="3" fontId="43" fillId="0" borderId="35" xfId="210" applyNumberFormat="1" applyFont="1" applyBorder="1" applyAlignment="1" applyProtection="1">
      <alignment horizontal="center"/>
      <protection locked="0"/>
    </xf>
    <xf numFmtId="0" fontId="43" fillId="0" borderId="0" xfId="210" applyFont="1" applyAlignment="1" applyProtection="1">
      <alignment horizontal="center"/>
      <protection locked="0"/>
    </xf>
    <xf numFmtId="3" fontId="42" fillId="0" borderId="0" xfId="211" applyNumberFormat="1" applyFont="1" applyBorder="1" applyAlignment="1" applyProtection="1">
      <alignment horizontal="center"/>
    </xf>
    <xf numFmtId="4" fontId="43" fillId="0" borderId="0" xfId="211" applyNumberFormat="1" applyFont="1" applyBorder="1" applyAlignment="1" applyProtection="1">
      <protection locked="0"/>
    </xf>
    <xf numFmtId="3" fontId="43" fillId="32" borderId="95" xfId="211" applyNumberFormat="1" applyFont="1" applyFill="1" applyBorder="1" applyAlignment="1" applyProtection="1">
      <alignment horizontal="center"/>
    </xf>
    <xf numFmtId="3" fontId="43" fillId="0" borderId="68" xfId="211" applyNumberFormat="1" applyFont="1" applyBorder="1" applyAlignment="1" applyProtection="1">
      <alignment horizontal="center" vertical="justify" wrapText="1"/>
    </xf>
    <xf numFmtId="181" fontId="66" fillId="0" borderId="0" xfId="211" applyNumberFormat="1" applyFont="1" applyBorder="1" applyAlignment="1" applyProtection="1">
      <alignment horizontal="center"/>
    </xf>
    <xf numFmtId="181" fontId="67" fillId="0" borderId="0" xfId="211" applyNumberFormat="1" applyFont="1" applyBorder="1" applyAlignment="1" applyProtection="1">
      <alignment horizontal="center"/>
    </xf>
    <xf numFmtId="181" fontId="62" fillId="0" borderId="0" xfId="211" applyNumberFormat="1" applyFont="1" applyFill="1" applyBorder="1" applyAlignment="1" applyProtection="1">
      <alignment horizontal="centerContinuous"/>
    </xf>
    <xf numFmtId="180" fontId="43" fillId="0" borderId="0" xfId="211" applyNumberFormat="1" applyFont="1" applyBorder="1" applyAlignment="1" applyProtection="1">
      <alignment horizontal="centerContinuous"/>
    </xf>
    <xf numFmtId="3" fontId="43" fillId="0" borderId="95" xfId="211" applyNumberFormat="1" applyFont="1" applyBorder="1" applyAlignment="1" applyProtection="1">
      <alignment horizontal="center"/>
    </xf>
    <xf numFmtId="9" fontId="38" fillId="30" borderId="0" xfId="212" applyFont="1" applyFill="1" applyBorder="1" applyAlignment="1" applyProtection="1">
      <alignment horizontal="center"/>
    </xf>
    <xf numFmtId="181" fontId="43" fillId="0" borderId="27" xfId="211" applyNumberFormat="1" applyFont="1" applyBorder="1" applyAlignment="1" applyProtection="1"/>
    <xf numFmtId="181" fontId="42" fillId="32" borderId="94" xfId="211" applyNumberFormat="1" applyFont="1" applyFill="1" applyBorder="1" applyAlignment="1" applyProtection="1">
      <alignment horizontal="right"/>
    </xf>
    <xf numFmtId="9" fontId="38" fillId="30" borderId="17" xfId="212" applyFont="1" applyFill="1" applyBorder="1" applyAlignment="1" applyProtection="1">
      <alignment horizontal="center"/>
    </xf>
    <xf numFmtId="181" fontId="42" fillId="32" borderId="95" xfId="211" applyNumberFormat="1" applyFont="1" applyFill="1" applyBorder="1" applyAlignment="1" applyProtection="1">
      <alignment horizontal="right"/>
    </xf>
    <xf numFmtId="181" fontId="63" fillId="0" borderId="40" xfId="211" applyNumberFormat="1" applyFont="1" applyBorder="1" applyAlignment="1" applyProtection="1">
      <alignment horizontal="right"/>
    </xf>
    <xf numFmtId="3" fontId="42" fillId="28" borderId="95" xfId="211" applyNumberFormat="1" applyFont="1" applyFill="1" applyBorder="1" applyAlignment="1" applyProtection="1">
      <alignment vertical="center"/>
    </xf>
    <xf numFmtId="184" fontId="42" fillId="40" borderId="1" xfId="210" applyNumberFormat="1" applyFont="1" applyFill="1" applyBorder="1" applyAlignment="1" applyProtection="1">
      <alignment horizontal="center"/>
    </xf>
    <xf numFmtId="2" fontId="39" fillId="35" borderId="1" xfId="211" applyNumberFormat="1" applyFont="1" applyFill="1" applyBorder="1" applyAlignment="1" applyProtection="1">
      <alignment horizontal="center" vertical="center"/>
      <protection locked="0"/>
    </xf>
    <xf numFmtId="3" fontId="42" fillId="41" borderId="7" xfId="210" applyNumberFormat="1" applyFont="1" applyFill="1" applyBorder="1" applyAlignment="1" applyProtection="1">
      <protection locked="0"/>
    </xf>
    <xf numFmtId="3" fontId="43" fillId="41" borderId="35" xfId="210" applyNumberFormat="1" applyFont="1" applyFill="1" applyBorder="1" applyAlignment="1" applyProtection="1">
      <alignment horizontal="center"/>
      <protection locked="0"/>
    </xf>
    <xf numFmtId="3" fontId="43" fillId="41" borderId="30" xfId="210" applyNumberFormat="1" applyFont="1" applyFill="1" applyBorder="1" applyAlignment="1" applyProtection="1">
      <alignment horizontal="center"/>
      <protection locked="0"/>
    </xf>
    <xf numFmtId="3" fontId="43" fillId="41" borderId="35" xfId="211" applyNumberFormat="1" applyFont="1" applyFill="1" applyBorder="1" applyAlignment="1" applyProtection="1">
      <protection locked="0"/>
    </xf>
    <xf numFmtId="4" fontId="43" fillId="41" borderId="35" xfId="211" applyNumberFormat="1" applyFont="1" applyFill="1" applyBorder="1" applyAlignment="1" applyProtection="1">
      <protection locked="0"/>
    </xf>
    <xf numFmtId="4" fontId="43" fillId="41" borderId="0" xfId="211" applyNumberFormat="1" applyFont="1" applyFill="1" applyBorder="1" applyAlignment="1" applyProtection="1">
      <protection locked="0"/>
    </xf>
    <xf numFmtId="4" fontId="42" fillId="41" borderId="30" xfId="211" applyNumberFormat="1" applyFont="1" applyFill="1" applyBorder="1" applyAlignment="1" applyProtection="1"/>
    <xf numFmtId="4" fontId="43" fillId="41" borderId="30" xfId="211" applyNumberFormat="1" applyFont="1" applyFill="1" applyBorder="1" applyAlignment="1" applyProtection="1">
      <protection locked="0"/>
    </xf>
    <xf numFmtId="4" fontId="43" fillId="41" borderId="20" xfId="211" applyNumberFormat="1" applyFont="1" applyFill="1" applyBorder="1" applyAlignment="1" applyProtection="1">
      <protection locked="0"/>
    </xf>
    <xf numFmtId="4" fontId="43" fillId="41" borderId="30" xfId="211" applyNumberFormat="1" applyFont="1" applyFill="1" applyBorder="1" applyAlignment="1" applyProtection="1"/>
    <xf numFmtId="4" fontId="42" fillId="41" borderId="19" xfId="211" applyNumberFormat="1" applyFont="1" applyFill="1" applyBorder="1" applyAlignment="1" applyProtection="1"/>
    <xf numFmtId="4" fontId="43" fillId="41" borderId="7" xfId="211" applyNumberFormat="1" applyFont="1" applyFill="1" applyBorder="1" applyAlignment="1" applyProtection="1"/>
    <xf numFmtId="4" fontId="43" fillId="41" borderId="48" xfId="211" applyNumberFormat="1" applyFont="1" applyFill="1" applyBorder="1" applyAlignment="1" applyProtection="1"/>
    <xf numFmtId="4" fontId="42" fillId="41" borderId="31" xfId="211" applyNumberFormat="1" applyFont="1" applyFill="1" applyBorder="1" applyAlignment="1" applyProtection="1"/>
    <xf numFmtId="3" fontId="43" fillId="41" borderId="30" xfId="211" applyNumberFormat="1" applyFont="1" applyFill="1" applyBorder="1" applyAlignment="1" applyProtection="1"/>
    <xf numFmtId="3" fontId="42" fillId="41" borderId="31" xfId="211" applyNumberFormat="1" applyFont="1" applyFill="1" applyBorder="1" applyAlignment="1" applyProtection="1"/>
    <xf numFmtId="4" fontId="43" fillId="41" borderId="18" xfId="211" applyNumberFormat="1" applyFont="1" applyFill="1" applyBorder="1" applyAlignment="1" applyProtection="1">
      <protection locked="0"/>
    </xf>
    <xf numFmtId="3" fontId="59" fillId="41" borderId="18" xfId="211" applyNumberFormat="1" applyFont="1" applyFill="1" applyBorder="1" applyAlignment="1" applyProtection="1">
      <protection locked="0"/>
    </xf>
    <xf numFmtId="3" fontId="78" fillId="41" borderId="48" xfId="211" applyNumberFormat="1" applyFont="1" applyFill="1" applyBorder="1" applyAlignment="1" applyProtection="1">
      <protection locked="0"/>
    </xf>
    <xf numFmtId="3" fontId="42" fillId="42" borderId="7" xfId="210" applyNumberFormat="1" applyFont="1" applyFill="1" applyBorder="1" applyAlignment="1" applyProtection="1">
      <protection locked="0"/>
    </xf>
    <xf numFmtId="3" fontId="43" fillId="42" borderId="35" xfId="210" applyNumberFormat="1" applyFont="1" applyFill="1" applyBorder="1" applyAlignment="1" applyProtection="1">
      <alignment horizontal="center"/>
      <protection locked="0"/>
    </xf>
    <xf numFmtId="3" fontId="43" fillId="42" borderId="30" xfId="210" applyNumberFormat="1" applyFont="1" applyFill="1" applyBorder="1" applyAlignment="1" applyProtection="1">
      <alignment horizontal="center"/>
      <protection locked="0"/>
    </xf>
    <xf numFmtId="3" fontId="43" fillId="42" borderId="35" xfId="211" applyNumberFormat="1" applyFont="1" applyFill="1" applyBorder="1" applyAlignment="1" applyProtection="1">
      <protection locked="0"/>
    </xf>
    <xf numFmtId="4" fontId="43" fillId="42" borderId="35" xfId="211" applyNumberFormat="1" applyFont="1" applyFill="1" applyBorder="1" applyAlignment="1" applyProtection="1">
      <protection locked="0"/>
    </xf>
    <xf numFmtId="4" fontId="43" fillId="42" borderId="0" xfId="211" applyNumberFormat="1" applyFont="1" applyFill="1" applyBorder="1" applyAlignment="1" applyProtection="1">
      <protection locked="0"/>
    </xf>
    <xf numFmtId="4" fontId="42" fillId="42" borderId="30" xfId="211" applyNumberFormat="1" applyFont="1" applyFill="1" applyBorder="1" applyAlignment="1" applyProtection="1"/>
    <xf numFmtId="4" fontId="43" fillId="42" borderId="30" xfId="211" applyNumberFormat="1" applyFont="1" applyFill="1" applyBorder="1" applyAlignment="1" applyProtection="1">
      <protection locked="0"/>
    </xf>
    <xf numFmtId="4" fontId="43" fillId="42" borderId="20" xfId="211" applyNumberFormat="1" applyFont="1" applyFill="1" applyBorder="1" applyAlignment="1" applyProtection="1">
      <protection locked="0"/>
    </xf>
    <xf numFmtId="4" fontId="43" fillId="42" borderId="30" xfId="211" applyNumberFormat="1" applyFont="1" applyFill="1" applyBorder="1" applyAlignment="1" applyProtection="1"/>
    <xf numFmtId="4" fontId="42" fillId="42" borderId="19" xfId="211" applyNumberFormat="1" applyFont="1" applyFill="1" applyBorder="1" applyAlignment="1" applyProtection="1"/>
    <xf numFmtId="4" fontId="43" fillId="42" borderId="7" xfId="211" applyNumberFormat="1" applyFont="1" applyFill="1" applyBorder="1" applyAlignment="1" applyProtection="1"/>
    <xf numFmtId="4" fontId="43" fillId="42" borderId="48" xfId="211" applyNumberFormat="1" applyFont="1" applyFill="1" applyBorder="1" applyAlignment="1" applyProtection="1"/>
    <xf numFmtId="4" fontId="42" fillId="42" borderId="31" xfId="211" applyNumberFormat="1" applyFont="1" applyFill="1" applyBorder="1" applyAlignment="1" applyProtection="1"/>
    <xf numFmtId="3" fontId="43" fillId="42" borderId="30" xfId="211" applyNumberFormat="1" applyFont="1" applyFill="1" applyBorder="1" applyAlignment="1" applyProtection="1"/>
    <xf numFmtId="3" fontId="42" fillId="42" borderId="31" xfId="211" applyNumberFormat="1" applyFont="1" applyFill="1" applyBorder="1" applyAlignment="1" applyProtection="1"/>
    <xf numFmtId="3" fontId="42" fillId="38" borderId="7" xfId="210" applyNumberFormat="1" applyFont="1" applyFill="1" applyBorder="1" applyAlignment="1" applyProtection="1">
      <protection locked="0"/>
    </xf>
    <xf numFmtId="3" fontId="43" fillId="38" borderId="35" xfId="210" applyNumberFormat="1" applyFont="1" applyFill="1" applyBorder="1" applyAlignment="1" applyProtection="1">
      <alignment horizontal="center"/>
      <protection locked="0"/>
    </xf>
    <xf numFmtId="3" fontId="43" fillId="38" borderId="30" xfId="210" applyNumberFormat="1" applyFont="1" applyFill="1" applyBorder="1" applyAlignment="1" applyProtection="1">
      <alignment horizontal="center"/>
      <protection locked="0"/>
    </xf>
    <xf numFmtId="3" fontId="43" fillId="38" borderId="35" xfId="211" applyNumberFormat="1" applyFont="1" applyFill="1" applyBorder="1" applyAlignment="1" applyProtection="1">
      <protection locked="0"/>
    </xf>
    <xf numFmtId="4" fontId="43" fillId="38" borderId="35" xfId="211" applyNumberFormat="1" applyFont="1" applyFill="1" applyBorder="1" applyAlignment="1" applyProtection="1">
      <protection locked="0"/>
    </xf>
    <xf numFmtId="4" fontId="43" fillId="38" borderId="0" xfId="211" applyNumberFormat="1" applyFont="1" applyFill="1" applyBorder="1" applyAlignment="1" applyProtection="1">
      <protection locked="0"/>
    </xf>
    <xf numFmtId="4" fontId="42" fillId="38" borderId="30" xfId="211" applyNumberFormat="1" applyFont="1" applyFill="1" applyBorder="1" applyAlignment="1" applyProtection="1"/>
    <xf numFmtId="4" fontId="43" fillId="38" borderId="30" xfId="211" applyNumberFormat="1" applyFont="1" applyFill="1" applyBorder="1" applyAlignment="1" applyProtection="1">
      <protection locked="0"/>
    </xf>
    <xf numFmtId="4" fontId="43" fillId="38" borderId="20" xfId="211" applyNumberFormat="1" applyFont="1" applyFill="1" applyBorder="1" applyAlignment="1" applyProtection="1">
      <protection locked="0"/>
    </xf>
    <xf numFmtId="4" fontId="43" fillId="38" borderId="30" xfId="211" applyNumberFormat="1" applyFont="1" applyFill="1" applyBorder="1" applyAlignment="1" applyProtection="1"/>
    <xf numFmtId="4" fontId="42" fillId="38" borderId="19" xfId="211" applyNumberFormat="1" applyFont="1" applyFill="1" applyBorder="1" applyAlignment="1" applyProtection="1"/>
    <xf numFmtId="4" fontId="43" fillId="38" borderId="7" xfId="211" applyNumberFormat="1" applyFont="1" applyFill="1" applyBorder="1" applyAlignment="1" applyProtection="1"/>
    <xf numFmtId="4" fontId="43" fillId="38" borderId="48" xfId="211" applyNumberFormat="1" applyFont="1" applyFill="1" applyBorder="1" applyAlignment="1" applyProtection="1"/>
    <xf numFmtId="4" fontId="42" fillId="38" borderId="31" xfId="211" applyNumberFormat="1" applyFont="1" applyFill="1" applyBorder="1" applyAlignment="1" applyProtection="1"/>
    <xf numFmtId="3" fontId="43" fillId="38" borderId="30" xfId="211" applyNumberFormat="1" applyFont="1" applyFill="1" applyBorder="1" applyAlignment="1" applyProtection="1"/>
    <xf numFmtId="3" fontId="42" fillId="38" borderId="31" xfId="211" applyNumberFormat="1" applyFont="1" applyFill="1" applyBorder="1" applyAlignment="1" applyProtection="1"/>
    <xf numFmtId="4" fontId="43" fillId="38" borderId="18" xfId="211" applyNumberFormat="1" applyFont="1" applyFill="1" applyBorder="1" applyAlignment="1" applyProtection="1">
      <protection locked="0"/>
    </xf>
    <xf numFmtId="3" fontId="78" fillId="38" borderId="48" xfId="211" applyNumberFormat="1" applyFont="1" applyFill="1" applyBorder="1" applyAlignment="1" applyProtection="1">
      <protection locked="0"/>
    </xf>
    <xf numFmtId="3" fontId="42" fillId="43" borderId="7" xfId="210" applyNumberFormat="1" applyFont="1" applyFill="1" applyBorder="1" applyAlignment="1" applyProtection="1">
      <protection locked="0"/>
    </xf>
    <xf numFmtId="3" fontId="43" fillId="43" borderId="35" xfId="210" applyNumberFormat="1" applyFont="1" applyFill="1" applyBorder="1" applyAlignment="1" applyProtection="1">
      <alignment horizontal="center"/>
      <protection locked="0"/>
    </xf>
    <xf numFmtId="3" fontId="43" fillId="43" borderId="30" xfId="210" applyNumberFormat="1" applyFont="1" applyFill="1" applyBorder="1" applyAlignment="1" applyProtection="1">
      <alignment horizontal="center"/>
      <protection locked="0"/>
    </xf>
    <xf numFmtId="3" fontId="43" fillId="43" borderId="35" xfId="211" applyNumberFormat="1" applyFont="1" applyFill="1" applyBorder="1" applyAlignment="1" applyProtection="1">
      <protection locked="0"/>
    </xf>
    <xf numFmtId="4" fontId="43" fillId="43" borderId="35" xfId="211" applyNumberFormat="1" applyFont="1" applyFill="1" applyBorder="1" applyAlignment="1" applyProtection="1">
      <protection locked="0"/>
    </xf>
    <xf numFmtId="4" fontId="43" fillId="43" borderId="0" xfId="211" applyNumberFormat="1" applyFont="1" applyFill="1" applyBorder="1" applyAlignment="1" applyProtection="1">
      <protection locked="0"/>
    </xf>
    <xf numFmtId="4" fontId="42" fillId="43" borderId="30" xfId="211" applyNumberFormat="1" applyFont="1" applyFill="1" applyBorder="1" applyAlignment="1" applyProtection="1"/>
    <xf numFmtId="4" fontId="43" fillId="43" borderId="30" xfId="211" applyNumberFormat="1" applyFont="1" applyFill="1" applyBorder="1" applyAlignment="1" applyProtection="1">
      <protection locked="0"/>
    </xf>
    <xf numFmtId="4" fontId="43" fillId="43" borderId="20" xfId="211" applyNumberFormat="1" applyFont="1" applyFill="1" applyBorder="1" applyAlignment="1" applyProtection="1">
      <protection locked="0"/>
    </xf>
    <xf numFmtId="4" fontId="43" fillId="43" borderId="30" xfId="211" applyNumberFormat="1" applyFont="1" applyFill="1" applyBorder="1" applyAlignment="1" applyProtection="1"/>
    <xf numFmtId="4" fontId="42" fillId="43" borderId="19" xfId="211" applyNumberFormat="1" applyFont="1" applyFill="1" applyBorder="1" applyAlignment="1" applyProtection="1"/>
    <xf numFmtId="4" fontId="43" fillId="43" borderId="7" xfId="211" applyNumberFormat="1" applyFont="1" applyFill="1" applyBorder="1" applyAlignment="1" applyProtection="1"/>
    <xf numFmtId="4" fontId="43" fillId="43" borderId="48" xfId="211" applyNumberFormat="1" applyFont="1" applyFill="1" applyBorder="1" applyAlignment="1" applyProtection="1"/>
    <xf numFmtId="4" fontId="42" fillId="43" borderId="31" xfId="211" applyNumberFormat="1" applyFont="1" applyFill="1" applyBorder="1" applyAlignment="1" applyProtection="1"/>
    <xf numFmtId="3" fontId="43" fillId="43" borderId="30" xfId="211" applyNumberFormat="1" applyFont="1" applyFill="1" applyBorder="1" applyAlignment="1" applyProtection="1"/>
    <xf numFmtId="3" fontId="42" fillId="43" borderId="31" xfId="211" applyNumberFormat="1" applyFont="1" applyFill="1" applyBorder="1" applyAlignment="1" applyProtection="1"/>
    <xf numFmtId="4" fontId="43" fillId="43" borderId="18" xfId="211" applyNumberFormat="1" applyFont="1" applyFill="1" applyBorder="1" applyAlignment="1" applyProtection="1">
      <protection locked="0"/>
    </xf>
    <xf numFmtId="3" fontId="78" fillId="43" borderId="48" xfId="211" applyNumberFormat="1" applyFont="1" applyFill="1" applyBorder="1" applyAlignment="1" applyProtection="1">
      <protection locked="0"/>
    </xf>
    <xf numFmtId="3" fontId="42" fillId="39" borderId="7" xfId="210" applyNumberFormat="1" applyFont="1" applyFill="1" applyBorder="1" applyAlignment="1" applyProtection="1">
      <protection locked="0"/>
    </xf>
    <xf numFmtId="3" fontId="43" fillId="39" borderId="35" xfId="210" applyNumberFormat="1" applyFont="1" applyFill="1" applyBorder="1" applyAlignment="1" applyProtection="1">
      <alignment horizontal="center"/>
      <protection locked="0"/>
    </xf>
    <xf numFmtId="3" fontId="43" fillId="39" borderId="30" xfId="210" applyNumberFormat="1" applyFont="1" applyFill="1" applyBorder="1" applyAlignment="1" applyProtection="1">
      <alignment horizontal="center"/>
      <protection locked="0"/>
    </xf>
    <xf numFmtId="4" fontId="42" fillId="39" borderId="30" xfId="211" applyNumberFormat="1" applyFont="1" applyFill="1" applyBorder="1" applyAlignment="1" applyProtection="1"/>
    <xf numFmtId="4" fontId="43" fillId="39" borderId="30" xfId="211" applyNumberFormat="1" applyFont="1" applyFill="1" applyBorder="1" applyAlignment="1" applyProtection="1">
      <protection locked="0"/>
    </xf>
    <xf numFmtId="4" fontId="43" fillId="39" borderId="20" xfId="211" applyNumberFormat="1" applyFont="1" applyFill="1" applyBorder="1" applyAlignment="1" applyProtection="1">
      <protection locked="0"/>
    </xf>
    <xf numFmtId="4" fontId="43" fillId="39" borderId="35" xfId="211" applyNumberFormat="1" applyFont="1" applyFill="1" applyBorder="1" applyAlignment="1" applyProtection="1">
      <protection locked="0"/>
    </xf>
    <xf numFmtId="4" fontId="43" fillId="39" borderId="0" xfId="211" applyNumberFormat="1" applyFont="1" applyFill="1" applyBorder="1" applyAlignment="1" applyProtection="1">
      <protection locked="0"/>
    </xf>
    <xf numFmtId="4" fontId="43" fillId="39" borderId="30" xfId="211" applyNumberFormat="1" applyFont="1" applyFill="1" applyBorder="1" applyAlignment="1" applyProtection="1"/>
    <xf numFmtId="4" fontId="42" fillId="39" borderId="19" xfId="211" applyNumberFormat="1" applyFont="1" applyFill="1" applyBorder="1" applyAlignment="1" applyProtection="1"/>
    <xf numFmtId="4" fontId="43" fillId="39" borderId="7" xfId="211" applyNumberFormat="1" applyFont="1" applyFill="1" applyBorder="1" applyAlignment="1" applyProtection="1"/>
    <xf numFmtId="4" fontId="43" fillId="39" borderId="48" xfId="211" applyNumberFormat="1" applyFont="1" applyFill="1" applyBorder="1" applyAlignment="1" applyProtection="1"/>
    <xf numFmtId="4" fontId="42" fillId="39" borderId="31" xfId="211" applyNumberFormat="1" applyFont="1" applyFill="1" applyBorder="1" applyAlignment="1" applyProtection="1"/>
    <xf numFmtId="3" fontId="43" fillId="39" borderId="30" xfId="211" applyNumberFormat="1" applyFont="1" applyFill="1" applyBorder="1" applyAlignment="1" applyProtection="1"/>
    <xf numFmtId="3" fontId="42" fillId="39" borderId="31" xfId="211" applyNumberFormat="1" applyFont="1" applyFill="1" applyBorder="1" applyAlignment="1" applyProtection="1"/>
    <xf numFmtId="3" fontId="43" fillId="39" borderId="35" xfId="211" applyNumberFormat="1" applyFont="1" applyFill="1" applyBorder="1" applyAlignment="1" applyProtection="1">
      <protection locked="0"/>
    </xf>
    <xf numFmtId="4" fontId="43" fillId="39" borderId="18" xfId="211" applyNumberFormat="1" applyFont="1" applyFill="1" applyBorder="1" applyAlignment="1" applyProtection="1">
      <protection locked="0"/>
    </xf>
    <xf numFmtId="4" fontId="43" fillId="42" borderId="18" xfId="211" applyNumberFormat="1" applyFont="1" applyFill="1" applyBorder="1" applyAlignment="1" applyProtection="1">
      <protection locked="0"/>
    </xf>
    <xf numFmtId="3" fontId="43" fillId="33" borderId="27" xfId="211" applyNumberFormat="1" applyFont="1" applyFill="1" applyBorder="1" applyAlignment="1" applyProtection="1"/>
    <xf numFmtId="3" fontId="57" fillId="33" borderId="7" xfId="211" applyNumberFormat="1" applyFont="1" applyFill="1" applyBorder="1" applyAlignment="1" applyProtection="1">
      <alignment horizontal="center"/>
    </xf>
    <xf numFmtId="3" fontId="43" fillId="33" borderId="35" xfId="211" applyNumberFormat="1" applyFont="1" applyFill="1" applyBorder="1" applyAlignment="1" applyProtection="1">
      <alignment horizontal="center"/>
    </xf>
    <xf numFmtId="3" fontId="42" fillId="42" borderId="7" xfId="211" applyNumberFormat="1" applyFont="1" applyFill="1" applyBorder="1" applyAlignment="1" applyProtection="1">
      <protection locked="0"/>
    </xf>
    <xf numFmtId="3" fontId="43" fillId="42" borderId="48" xfId="211" applyNumberFormat="1" applyFont="1" applyFill="1" applyBorder="1" applyAlignment="1" applyProtection="1"/>
    <xf numFmtId="3" fontId="42" fillId="38" borderId="7" xfId="211" applyNumberFormat="1" applyFont="1" applyFill="1" applyBorder="1" applyAlignment="1" applyProtection="1">
      <protection locked="0"/>
    </xf>
    <xf numFmtId="3" fontId="43" fillId="38" borderId="48" xfId="211" applyNumberFormat="1" applyFont="1" applyFill="1" applyBorder="1" applyAlignment="1" applyProtection="1"/>
    <xf numFmtId="3" fontId="42" fillId="43" borderId="7" xfId="211" applyNumberFormat="1" applyFont="1" applyFill="1" applyBorder="1" applyAlignment="1" applyProtection="1">
      <protection locked="0"/>
    </xf>
    <xf numFmtId="3" fontId="43" fillId="43" borderId="48" xfId="211" applyNumberFormat="1" applyFont="1" applyFill="1" applyBorder="1" applyAlignment="1" applyProtection="1"/>
    <xf numFmtId="3" fontId="42" fillId="33" borderId="71" xfId="211" applyNumberFormat="1" applyFont="1" applyFill="1" applyBorder="1" applyAlignment="1" applyProtection="1"/>
    <xf numFmtId="3" fontId="42" fillId="33" borderId="72" xfId="211" applyNumberFormat="1" applyFont="1" applyFill="1" applyBorder="1" applyAlignment="1" applyProtection="1"/>
    <xf numFmtId="3" fontId="43" fillId="33" borderId="7" xfId="211" applyNumberFormat="1" applyFont="1" applyFill="1" applyBorder="1" applyAlignment="1" applyProtection="1">
      <alignment horizontal="center"/>
    </xf>
    <xf numFmtId="3" fontId="43" fillId="33" borderId="48" xfId="211" applyNumberFormat="1" applyFont="1" applyFill="1" applyBorder="1" applyAlignment="1" applyProtection="1">
      <alignment horizontal="center"/>
    </xf>
    <xf numFmtId="3" fontId="78" fillId="42" borderId="48" xfId="211" applyNumberFormat="1" applyFont="1" applyFill="1" applyBorder="1" applyAlignment="1" applyProtection="1">
      <protection locked="0"/>
    </xf>
    <xf numFmtId="184" fontId="44" fillId="43" borderId="68" xfId="211" applyNumberFormat="1" applyFont="1" applyFill="1" applyBorder="1" applyAlignment="1" applyProtection="1">
      <alignment horizontal="center"/>
      <protection locked="0"/>
    </xf>
    <xf numFmtId="2" fontId="43" fillId="0" borderId="0" xfId="212" applyNumberFormat="1" applyFont="1" applyFill="1" applyBorder="1" applyAlignment="1" applyProtection="1"/>
    <xf numFmtId="2" fontId="6" fillId="0" borderId="0" xfId="0" applyNumberFormat="1" applyFont="1"/>
    <xf numFmtId="4" fontId="43" fillId="42" borderId="35" xfId="211" applyNumberFormat="1" applyFont="1" applyFill="1" applyBorder="1" applyAlignment="1" applyProtection="1">
      <alignment horizontal="left"/>
      <protection locked="0"/>
    </xf>
    <xf numFmtId="4" fontId="43" fillId="38" borderId="35" xfId="211" applyNumberFormat="1" applyFont="1" applyFill="1" applyBorder="1" applyAlignment="1" applyProtection="1">
      <alignment horizontal="left"/>
      <protection locked="0"/>
    </xf>
    <xf numFmtId="3" fontId="43" fillId="43" borderId="35" xfId="211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  <xf numFmtId="4" fontId="43" fillId="44" borderId="35" xfId="211" applyNumberFormat="1" applyFont="1" applyFill="1" applyBorder="1" applyAlignment="1" applyProtection="1">
      <protection locked="0"/>
    </xf>
    <xf numFmtId="3" fontId="42" fillId="45" borderId="7" xfId="210" applyNumberFormat="1" applyFont="1" applyFill="1" applyBorder="1" applyAlignment="1" applyProtection="1">
      <protection locked="0"/>
    </xf>
    <xf numFmtId="3" fontId="43" fillId="45" borderId="35" xfId="210" applyNumberFormat="1" applyFont="1" applyFill="1" applyBorder="1" applyAlignment="1" applyProtection="1">
      <alignment horizontal="center"/>
      <protection locked="0"/>
    </xf>
    <xf numFmtId="3" fontId="43" fillId="45" borderId="30" xfId="210" applyNumberFormat="1" applyFont="1" applyFill="1" applyBorder="1" applyAlignment="1" applyProtection="1">
      <alignment horizontal="center"/>
      <protection locked="0"/>
    </xf>
    <xf numFmtId="3" fontId="43" fillId="45" borderId="35" xfId="211" applyNumberFormat="1" applyFont="1" applyFill="1" applyBorder="1" applyAlignment="1" applyProtection="1">
      <protection locked="0"/>
    </xf>
    <xf numFmtId="4" fontId="43" fillId="45" borderId="35" xfId="211" applyNumberFormat="1" applyFont="1" applyFill="1" applyBorder="1" applyAlignment="1" applyProtection="1">
      <protection locked="0"/>
    </xf>
    <xf numFmtId="4" fontId="43" fillId="45" borderId="0" xfId="211" applyNumberFormat="1" applyFont="1" applyFill="1" applyBorder="1" applyAlignment="1" applyProtection="1">
      <protection locked="0"/>
    </xf>
    <xf numFmtId="4" fontId="43" fillId="46" borderId="18" xfId="211" applyNumberFormat="1" applyFont="1" applyFill="1" applyBorder="1" applyAlignment="1" applyProtection="1">
      <protection locked="0"/>
    </xf>
    <xf numFmtId="4" fontId="43" fillId="46" borderId="35" xfId="211" applyNumberFormat="1" applyFont="1" applyFill="1" applyBorder="1" applyAlignment="1" applyProtection="1">
      <protection locked="0"/>
    </xf>
    <xf numFmtId="4" fontId="42" fillId="46" borderId="30" xfId="211" applyNumberFormat="1" applyFont="1" applyFill="1" applyBorder="1" applyAlignment="1" applyProtection="1"/>
    <xf numFmtId="4" fontId="43" fillId="46" borderId="30" xfId="211" applyNumberFormat="1" applyFont="1" applyFill="1" applyBorder="1" applyAlignment="1" applyProtection="1">
      <protection locked="0"/>
    </xf>
    <xf numFmtId="4" fontId="43" fillId="46" borderId="20" xfId="211" applyNumberFormat="1" applyFont="1" applyFill="1" applyBorder="1" applyAlignment="1" applyProtection="1">
      <protection locked="0"/>
    </xf>
    <xf numFmtId="4" fontId="43" fillId="45" borderId="20" xfId="211" applyNumberFormat="1" applyFont="1" applyFill="1" applyBorder="1" applyAlignment="1" applyProtection="1">
      <protection locked="0"/>
    </xf>
    <xf numFmtId="4" fontId="43" fillId="46" borderId="30" xfId="211" applyNumberFormat="1" applyFont="1" applyFill="1" applyBorder="1" applyAlignment="1" applyProtection="1"/>
    <xf numFmtId="4" fontId="42" fillId="46" borderId="19" xfId="211" applyNumberFormat="1" applyFont="1" applyFill="1" applyBorder="1" applyAlignment="1" applyProtection="1"/>
    <xf numFmtId="4" fontId="43" fillId="45" borderId="7" xfId="211" applyNumberFormat="1" applyFont="1" applyFill="1" applyBorder="1" applyAlignment="1" applyProtection="1"/>
    <xf numFmtId="4" fontId="43" fillId="45" borderId="48" xfId="211" applyNumberFormat="1" applyFont="1" applyFill="1" applyBorder="1" applyAlignment="1" applyProtection="1"/>
    <xf numFmtId="4" fontId="42" fillId="45" borderId="31" xfId="211" applyNumberFormat="1" applyFont="1" applyFill="1" applyBorder="1" applyAlignment="1" applyProtection="1"/>
    <xf numFmtId="3" fontId="59" fillId="45" borderId="18" xfId="211" applyNumberFormat="1" applyFont="1" applyFill="1" applyBorder="1" applyAlignment="1" applyProtection="1">
      <protection locked="0"/>
    </xf>
    <xf numFmtId="3" fontId="78" fillId="45" borderId="48" xfId="211" applyNumberFormat="1" applyFont="1" applyFill="1" applyBorder="1" applyAlignment="1" applyProtection="1">
      <protection locked="0"/>
    </xf>
    <xf numFmtId="3" fontId="43" fillId="46" borderId="30" xfId="211" applyNumberFormat="1" applyFont="1" applyFill="1" applyBorder="1" applyAlignment="1" applyProtection="1"/>
    <xf numFmtId="3" fontId="43" fillId="45" borderId="30" xfId="211" applyNumberFormat="1" applyFont="1" applyFill="1" applyBorder="1" applyAlignment="1" applyProtection="1"/>
    <xf numFmtId="3" fontId="42" fillId="45" borderId="31" xfId="211" applyNumberFormat="1" applyFont="1" applyFill="1" applyBorder="1" applyAlignment="1" applyProtection="1"/>
    <xf numFmtId="3" fontId="43" fillId="0" borderId="69" xfId="211" applyNumberFormat="1" applyFont="1" applyBorder="1" applyAlignment="1" applyProtection="1">
      <alignment horizontal="center" vertical="justify" wrapText="1"/>
    </xf>
    <xf numFmtId="4" fontId="43" fillId="47" borderId="35" xfId="211" applyNumberFormat="1" applyFont="1" applyFill="1" applyBorder="1" applyAlignment="1" applyProtection="1">
      <protection locked="0"/>
    </xf>
    <xf numFmtId="4" fontId="43" fillId="47" borderId="0" xfId="211" applyNumberFormat="1" applyFont="1" applyFill="1" applyBorder="1" applyAlignment="1" applyProtection="1">
      <protection locked="0"/>
    </xf>
    <xf numFmtId="4" fontId="43" fillId="48" borderId="35" xfId="211" applyNumberFormat="1" applyFont="1" applyFill="1" applyBorder="1" applyAlignment="1" applyProtection="1">
      <protection locked="0"/>
    </xf>
    <xf numFmtId="4" fontId="43" fillId="48" borderId="0" xfId="211" applyNumberFormat="1" applyFont="1" applyFill="1" applyBorder="1" applyAlignment="1" applyProtection="1">
      <protection locked="0"/>
    </xf>
    <xf numFmtId="4" fontId="43" fillId="49" borderId="35" xfId="211" applyNumberFormat="1" applyFont="1" applyFill="1" applyBorder="1" applyAlignment="1" applyProtection="1">
      <protection locked="0"/>
    </xf>
    <xf numFmtId="4" fontId="43" fillId="49" borderId="0" xfId="211" applyNumberFormat="1" applyFont="1" applyFill="1" applyBorder="1" applyAlignment="1" applyProtection="1">
      <protection locked="0"/>
    </xf>
    <xf numFmtId="4" fontId="43" fillId="50" borderId="35" xfId="211" applyNumberFormat="1" applyFont="1" applyFill="1" applyBorder="1" applyAlignment="1" applyProtection="1">
      <protection locked="0"/>
    </xf>
    <xf numFmtId="4" fontId="43" fillId="50" borderId="0" xfId="211" applyNumberFormat="1" applyFont="1" applyFill="1" applyBorder="1" applyAlignment="1" applyProtection="1">
      <protection locked="0"/>
    </xf>
    <xf numFmtId="4" fontId="43" fillId="51" borderId="35" xfId="211" applyNumberFormat="1" applyFont="1" applyFill="1" applyBorder="1" applyAlignment="1" applyProtection="1">
      <protection locked="0"/>
    </xf>
    <xf numFmtId="4" fontId="43" fillId="51" borderId="0" xfId="211" applyNumberFormat="1" applyFont="1" applyFill="1" applyBorder="1" applyAlignment="1" applyProtection="1">
      <protection locked="0"/>
    </xf>
    <xf numFmtId="4" fontId="43" fillId="44" borderId="0" xfId="211" applyNumberFormat="1" applyFont="1" applyFill="1" applyBorder="1" applyAlignment="1" applyProtection="1">
      <protection locked="0"/>
    </xf>
    <xf numFmtId="3" fontId="38" fillId="28" borderId="84" xfId="211" applyNumberFormat="1" applyFont="1" applyFill="1" applyBorder="1" applyAlignment="1" applyProtection="1">
      <alignment horizontal="center" vertical="center"/>
    </xf>
    <xf numFmtId="3" fontId="42" fillId="0" borderId="17" xfId="211" applyNumberFormat="1" applyFont="1" applyFill="1" applyBorder="1" applyAlignment="1" applyProtection="1">
      <alignment horizontal="center"/>
    </xf>
    <xf numFmtId="3" fontId="42" fillId="27" borderId="24" xfId="211" applyNumberFormat="1" applyFont="1" applyFill="1" applyBorder="1" applyAlignment="1" applyProtection="1">
      <alignment horizontal="center"/>
    </xf>
    <xf numFmtId="3" fontId="38" fillId="28" borderId="0" xfId="211" applyNumberFormat="1" applyFont="1" applyFill="1" applyBorder="1" applyAlignment="1" applyProtection="1">
      <alignment horizontal="center" vertical="center"/>
    </xf>
    <xf numFmtId="3" fontId="42" fillId="28" borderId="58" xfId="211" applyNumberFormat="1" applyFont="1" applyFill="1" applyBorder="1" applyAlignment="1" applyProtection="1">
      <alignment horizontal="center" vertical="center"/>
    </xf>
    <xf numFmtId="3" fontId="42" fillId="30" borderId="18" xfId="211" applyNumberFormat="1" applyFont="1" applyFill="1" applyBorder="1" applyAlignment="1" applyProtection="1">
      <alignment horizontal="left"/>
    </xf>
    <xf numFmtId="3" fontId="42" fillId="30" borderId="22" xfId="211" applyNumberFormat="1" applyFont="1" applyFill="1" applyBorder="1" applyAlignment="1" applyProtection="1">
      <alignment horizontal="left"/>
    </xf>
    <xf numFmtId="0" fontId="8" fillId="52" borderId="87" xfId="0" applyFont="1" applyFill="1" applyBorder="1" applyAlignment="1">
      <alignment horizontal="center"/>
    </xf>
    <xf numFmtId="0" fontId="0" fillId="52" borderId="47" xfId="0" applyFill="1" applyBorder="1" applyAlignment="1">
      <alignment horizontal="center"/>
    </xf>
    <xf numFmtId="0" fontId="8" fillId="52" borderId="0" xfId="0" applyFont="1" applyFill="1"/>
    <xf numFmtId="0" fontId="8" fillId="52" borderId="88" xfId="0" applyFont="1" applyFill="1" applyBorder="1" applyAlignment="1">
      <alignment horizontal="center"/>
    </xf>
    <xf numFmtId="0" fontId="8" fillId="52" borderId="49" xfId="0" applyFont="1" applyFill="1" applyBorder="1" applyAlignment="1">
      <alignment horizontal="center"/>
    </xf>
    <xf numFmtId="0" fontId="0" fillId="52" borderId="87" xfId="0" applyFill="1" applyBorder="1"/>
    <xf numFmtId="0" fontId="0" fillId="52" borderId="47" xfId="0" applyFill="1" applyBorder="1"/>
    <xf numFmtId="0" fontId="0" fillId="52" borderId="0" xfId="0" applyFill="1"/>
    <xf numFmtId="184" fontId="0" fillId="52" borderId="32" xfId="0" applyNumberFormat="1" applyFill="1" applyBorder="1"/>
    <xf numFmtId="184" fontId="0" fillId="52" borderId="48" xfId="0" applyNumberFormat="1" applyFill="1" applyBorder="1"/>
    <xf numFmtId="184" fontId="0" fillId="52" borderId="0" xfId="0" applyNumberFormat="1" applyFill="1"/>
    <xf numFmtId="0" fontId="0" fillId="52" borderId="33" xfId="0" applyFill="1" applyBorder="1"/>
    <xf numFmtId="184" fontId="0" fillId="52" borderId="52" xfId="0" applyNumberFormat="1" applyFill="1" applyBorder="1"/>
    <xf numFmtId="184" fontId="0" fillId="52" borderId="47" xfId="0" applyNumberFormat="1" applyFill="1" applyBorder="1"/>
    <xf numFmtId="0" fontId="0" fillId="52" borderId="52" xfId="0" applyFill="1" applyBorder="1"/>
    <xf numFmtId="184" fontId="6" fillId="52" borderId="0" xfId="0" applyNumberFormat="1" applyFont="1" applyFill="1"/>
    <xf numFmtId="10" fontId="0" fillId="0" borderId="0" xfId="212" applyNumberFormat="1" applyFont="1"/>
    <xf numFmtId="181" fontId="0" fillId="52" borderId="0" xfId="0" applyNumberFormat="1" applyFill="1"/>
    <xf numFmtId="0" fontId="8" fillId="52" borderId="0" xfId="0" applyFont="1" applyFill="1" applyAlignment="1">
      <alignment horizontal="center"/>
    </xf>
    <xf numFmtId="10" fontId="6" fillId="52" borderId="0" xfId="212" applyNumberFormat="1" applyFont="1" applyFill="1"/>
    <xf numFmtId="4" fontId="79" fillId="32" borderId="53" xfId="211" applyNumberFormat="1" applyFont="1" applyFill="1" applyBorder="1" applyAlignment="1" applyProtection="1">
      <alignment horizontal="center"/>
    </xf>
    <xf numFmtId="3" fontId="43" fillId="39" borderId="35" xfId="211" applyNumberFormat="1" applyFont="1" applyFill="1" applyBorder="1" applyAlignment="1" applyProtection="1">
      <alignment horizontal="left"/>
      <protection locked="0"/>
    </xf>
    <xf numFmtId="3" fontId="42" fillId="39" borderId="7" xfId="211" applyNumberFormat="1" applyFont="1" applyFill="1" applyBorder="1" applyAlignment="1" applyProtection="1">
      <protection locked="0"/>
    </xf>
    <xf numFmtId="3" fontId="43" fillId="39" borderId="48" xfId="211" applyNumberFormat="1" applyFont="1" applyFill="1" applyBorder="1" applyAlignment="1" applyProtection="1"/>
    <xf numFmtId="9" fontId="43" fillId="0" borderId="0" xfId="212" applyFont="1" applyFill="1" applyBorder="1" applyAlignment="1" applyProtection="1"/>
    <xf numFmtId="3" fontId="38" fillId="0" borderId="26" xfId="211" applyNumberFormat="1" applyFont="1" applyBorder="1" applyAlignment="1" applyProtection="1">
      <alignment horizontal="center"/>
    </xf>
    <xf numFmtId="3" fontId="38" fillId="0" borderId="27" xfId="211" applyNumberFormat="1" applyFont="1" applyBorder="1" applyAlignment="1" applyProtection="1">
      <alignment horizontal="center"/>
    </xf>
    <xf numFmtId="3" fontId="39" fillId="29" borderId="83" xfId="211" applyNumberFormat="1" applyFont="1" applyFill="1" applyBorder="1" applyAlignment="1" applyProtection="1">
      <alignment horizontal="center" vertical="center"/>
    </xf>
    <xf numFmtId="3" fontId="39" fillId="29" borderId="0" xfId="211" applyNumberFormat="1" applyFont="1" applyFill="1" applyBorder="1" applyAlignment="1" applyProtection="1">
      <alignment horizontal="center" vertical="center"/>
    </xf>
    <xf numFmtId="3" fontId="42" fillId="0" borderId="0" xfId="211" applyNumberFormat="1" applyFont="1" applyBorder="1" applyAlignment="1" applyProtection="1">
      <alignment horizontal="center" vertical="center"/>
    </xf>
    <xf numFmtId="3" fontId="42" fillId="0" borderId="58" xfId="211" applyNumberFormat="1" applyFont="1" applyFill="1" applyBorder="1" applyAlignment="1" applyProtection="1">
      <alignment horizontal="center" vertical="center"/>
    </xf>
    <xf numFmtId="3" fontId="42" fillId="28" borderId="58" xfId="211" applyNumberFormat="1" applyFont="1" applyFill="1" applyBorder="1" applyAlignment="1" applyProtection="1">
      <alignment horizontal="center" vertical="center"/>
    </xf>
    <xf numFmtId="3" fontId="42" fillId="28" borderId="63" xfId="211" applyNumberFormat="1" applyFont="1" applyFill="1" applyBorder="1" applyAlignment="1" applyProtection="1">
      <alignment horizontal="center" vertical="center"/>
    </xf>
    <xf numFmtId="3" fontId="38" fillId="28" borderId="84" xfId="211" applyNumberFormat="1" applyFont="1" applyFill="1" applyBorder="1" applyAlignment="1" applyProtection="1">
      <alignment horizontal="center" vertical="center"/>
    </xf>
    <xf numFmtId="3" fontId="38" fillId="28" borderId="31" xfId="211" applyNumberFormat="1" applyFont="1" applyFill="1" applyBorder="1" applyAlignment="1" applyProtection="1">
      <alignment horizontal="center" vertical="center"/>
    </xf>
    <xf numFmtId="3" fontId="45" fillId="0" borderId="39" xfId="211" applyNumberFormat="1" applyFont="1" applyBorder="1" applyAlignment="1" applyProtection="1">
      <alignment horizontal="center"/>
    </xf>
    <xf numFmtId="3" fontId="45" fillId="0" borderId="40" xfId="211" applyNumberFormat="1" applyFont="1" applyBorder="1" applyAlignment="1" applyProtection="1">
      <alignment horizontal="center"/>
    </xf>
    <xf numFmtId="3" fontId="43" fillId="32" borderId="17" xfId="211" applyNumberFormat="1" applyFont="1" applyFill="1" applyBorder="1" applyAlignment="1" applyProtection="1">
      <alignment horizontal="center" vertical="center"/>
      <protection locked="0"/>
    </xf>
    <xf numFmtId="3" fontId="43" fillId="32" borderId="0" xfId="211" applyNumberFormat="1" applyFont="1" applyFill="1" applyBorder="1" applyAlignment="1" applyProtection="1">
      <alignment horizontal="center" vertical="center"/>
      <protection locked="0"/>
    </xf>
    <xf numFmtId="3" fontId="42" fillId="0" borderId="70" xfId="0" applyNumberFormat="1" applyFont="1" applyBorder="1" applyAlignment="1" applyProtection="1">
      <alignment horizontal="center" vertical="center"/>
    </xf>
    <xf numFmtId="3" fontId="42" fillId="0" borderId="35" xfId="0" applyNumberFormat="1" applyFont="1" applyBorder="1" applyAlignment="1" applyProtection="1">
      <alignment horizontal="center" vertical="center"/>
    </xf>
    <xf numFmtId="3" fontId="42" fillId="0" borderId="78" xfId="0" applyNumberFormat="1" applyFont="1" applyBorder="1" applyAlignment="1" applyProtection="1">
      <alignment horizontal="center" vertical="center"/>
    </xf>
    <xf numFmtId="0" fontId="42" fillId="0" borderId="0" xfId="0" applyFont="1" applyAlignment="1" applyProtection="1">
      <alignment horizontal="center"/>
      <protection locked="0"/>
    </xf>
    <xf numFmtId="0" fontId="42" fillId="0" borderId="30" xfId="0" applyFont="1" applyBorder="1" applyAlignment="1" applyProtection="1">
      <alignment horizontal="center"/>
      <protection locked="0"/>
    </xf>
    <xf numFmtId="3" fontId="43" fillId="0" borderId="0" xfId="0" applyNumberFormat="1" applyFont="1" applyBorder="1" applyAlignment="1" applyProtection="1">
      <alignment horizontal="center"/>
    </xf>
    <xf numFmtId="3" fontId="43" fillId="0" borderId="30" xfId="0" applyNumberFormat="1" applyFont="1" applyBorder="1" applyAlignment="1" applyProtection="1">
      <alignment horizontal="center"/>
    </xf>
    <xf numFmtId="3" fontId="38" fillId="28" borderId="0" xfId="211" applyNumberFormat="1" applyFont="1" applyFill="1" applyBorder="1" applyAlignment="1" applyProtection="1">
      <alignment horizontal="center" vertical="center"/>
    </xf>
    <xf numFmtId="3" fontId="38" fillId="28" borderId="85" xfId="211" applyNumberFormat="1" applyFont="1" applyFill="1" applyBorder="1" applyAlignment="1" applyProtection="1">
      <alignment horizontal="center" vertical="center"/>
    </xf>
    <xf numFmtId="3" fontId="42" fillId="0" borderId="16" xfId="211" applyNumberFormat="1" applyFont="1" applyFill="1" applyBorder="1" applyAlignment="1" applyProtection="1">
      <alignment horizontal="center"/>
    </xf>
    <xf numFmtId="3" fontId="42" fillId="0" borderId="17" xfId="211" applyNumberFormat="1" applyFont="1" applyFill="1" applyBorder="1" applyAlignment="1" applyProtection="1">
      <alignment horizontal="center"/>
    </xf>
    <xf numFmtId="3" fontId="42" fillId="27" borderId="24" xfId="211" applyNumberFormat="1" applyFont="1" applyFill="1" applyBorder="1" applyAlignment="1" applyProtection="1">
      <alignment horizontal="center"/>
    </xf>
    <xf numFmtId="3" fontId="42" fillId="0" borderId="89" xfId="211" applyNumberFormat="1" applyFont="1" applyBorder="1" applyAlignment="1" applyProtection="1">
      <alignment horizontal="center" vertical="center"/>
    </xf>
    <xf numFmtId="3" fontId="42" fillId="0" borderId="23" xfId="211" applyNumberFormat="1" applyFont="1" applyBorder="1" applyAlignment="1" applyProtection="1">
      <alignment horizontal="center" vertical="center"/>
    </xf>
    <xf numFmtId="3" fontId="42" fillId="0" borderId="17" xfId="211" applyNumberFormat="1" applyFont="1" applyBorder="1" applyAlignment="1" applyProtection="1">
      <alignment horizontal="center" vertical="center"/>
    </xf>
    <xf numFmtId="3" fontId="42" fillId="0" borderId="24" xfId="211" applyNumberFormat="1" applyFont="1" applyBorder="1" applyAlignment="1" applyProtection="1">
      <alignment horizontal="center" vertical="center"/>
    </xf>
    <xf numFmtId="3" fontId="42" fillId="0" borderId="89" xfId="211" applyNumberFormat="1" applyFont="1" applyFill="1" applyBorder="1" applyAlignment="1" applyProtection="1">
      <alignment horizontal="center"/>
    </xf>
    <xf numFmtId="3" fontId="44" fillId="27" borderId="22" xfId="211" applyNumberFormat="1" applyFont="1" applyFill="1" applyBorder="1" applyAlignment="1" applyProtection="1">
      <alignment horizontal="center"/>
    </xf>
    <xf numFmtId="3" fontId="44" fillId="27" borderId="17" xfId="211" applyNumberFormat="1" applyFont="1" applyFill="1" applyBorder="1" applyAlignment="1" applyProtection="1">
      <alignment horizontal="center"/>
    </xf>
    <xf numFmtId="3" fontId="44" fillId="27" borderId="66" xfId="211" applyNumberFormat="1" applyFont="1" applyFill="1" applyBorder="1" applyAlignment="1" applyProtection="1">
      <alignment horizontal="center"/>
    </xf>
    <xf numFmtId="3" fontId="42" fillId="0" borderId="22" xfId="211" applyNumberFormat="1" applyFont="1" applyFill="1" applyBorder="1" applyAlignment="1" applyProtection="1">
      <alignment horizontal="center"/>
    </xf>
    <xf numFmtId="3" fontId="42" fillId="0" borderId="86" xfId="211" applyNumberFormat="1" applyFont="1" applyFill="1" applyBorder="1" applyAlignment="1" applyProtection="1">
      <alignment horizontal="center"/>
    </xf>
    <xf numFmtId="0" fontId="42" fillId="0" borderId="0" xfId="211" applyFont="1" applyAlignment="1" applyProtection="1">
      <alignment horizontal="center"/>
      <protection locked="0"/>
    </xf>
  </cellXfs>
  <cellStyles count="265">
    <cellStyle name="/h" xfId="1"/>
    <cellStyle name="/jour" xfId="2"/>
    <cellStyle name="/mois" xfId="3"/>
    <cellStyle name="20 % - Accent1" xfId="4" builtinId="30" customBuiltin="1"/>
    <cellStyle name="20 % - Accent2" xfId="5" builtinId="34" customBuiltin="1"/>
    <cellStyle name="20 % - Accent3" xfId="6" builtinId="38" customBuiltin="1"/>
    <cellStyle name="20 % - Accent4" xfId="7" builtinId="42" customBuiltin="1"/>
    <cellStyle name="20 % - Accent5" xfId="8" builtinId="46" customBuiltin="1"/>
    <cellStyle name="20 % - Accent6" xfId="9" builtinId="50" customBuiltin="1"/>
    <cellStyle name="40 % - Accent1" xfId="10" builtinId="31" customBuiltin="1"/>
    <cellStyle name="40 % - Accent2" xfId="11" builtinId="35" customBuiltin="1"/>
    <cellStyle name="40 % - Accent3" xfId="12" builtinId="39" customBuiltin="1"/>
    <cellStyle name="40 % - Accent4" xfId="13" builtinId="43" customBuiltin="1"/>
    <cellStyle name="40 % - Accent5" xfId="14" builtinId="47" customBuiltin="1"/>
    <cellStyle name="40 % - Accent6" xfId="15" builtinId="51" customBuiltin="1"/>
    <cellStyle name="60 % - Accent1" xfId="16" builtinId="32" customBuiltin="1"/>
    <cellStyle name="60 % - Accent2" xfId="17" builtinId="36" customBuiltin="1"/>
    <cellStyle name="60 % - Accent3" xfId="18" builtinId="40" customBuiltin="1"/>
    <cellStyle name="60 % - Accent4" xfId="19" builtinId="44" customBuiltin="1"/>
    <cellStyle name="60 % - Accent5" xfId="20" builtinId="48" customBuiltin="1"/>
    <cellStyle name="60 % - Accent6" xfId="21" builtinId="52" customBuiltin="1"/>
    <cellStyle name="A" xfId="22"/>
    <cellStyle name="A_Les Rivages" xfId="23"/>
    <cellStyle name="A_VITTORI LLS" xfId="24"/>
    <cellStyle name="A_VITTORI LLTS+com" xfId="228"/>
    <cellStyle name="AA" xfId="25"/>
    <cellStyle name="Accent1" xfId="26" builtinId="29" customBuiltin="1"/>
    <cellStyle name="Accent2" xfId="27" builtinId="33" customBuiltin="1"/>
    <cellStyle name="Accent3" xfId="28" builtinId="37" customBuiltin="1"/>
    <cellStyle name="Accent4" xfId="29" builtinId="41" customBuiltin="1"/>
    <cellStyle name="Accent5" xfId="30" builtinId="45" customBuiltin="1"/>
    <cellStyle name="Accent6" xfId="31" builtinId="49" customBuiltin="1"/>
    <cellStyle name="Avertissement" xfId="32" builtinId="11" customBuiltin="1"/>
    <cellStyle name="B" xfId="33"/>
    <cellStyle name="B_3.1 Prix de revient P'tit Canal" xfId="34"/>
    <cellStyle name="B_Bdgt APD mars12 déposé DEAL-LLS" xfId="35"/>
    <cellStyle name="B_Bdgt Lavoir PRO" xfId="36"/>
    <cellStyle name="B_Bdgt Lavoir PRO_3.3 Devis total" xfId="37"/>
    <cellStyle name="B_Bdgt Lavoir PRO_Bdg  DCE" xfId="38"/>
    <cellStyle name="B_Bdgt Lavoir PRO_Bdg  DCE inserts marchés" xfId="39"/>
    <cellStyle name="B_Bdgt Lavoir PRO_Bdgt APD mars12 déposé DEAL-LLS" xfId="40"/>
    <cellStyle name="B_Bdgt Lavoir PRO_Bdgt GOURDE" xfId="41"/>
    <cellStyle name="B_Bdgt Lavoir PRO_Bdgt PRO estim MOE" xfId="42"/>
    <cellStyle name="B_Bdgt Lavoir PRO_Budget APD Défisc avec portage" xfId="43"/>
    <cellStyle name="B_Bdgt Lavoir PRO_Budget APD Défisc ratios modifiés" xfId="44"/>
    <cellStyle name="B_Bdgt Lavoir PRO_Budget faisa Bethanie" xfId="45"/>
    <cellStyle name="B_Bdgt Lavoir PRO_Classeur1" xfId="46"/>
    <cellStyle name="B_Bdgt Lavoir PRO_INGEPAR Bdgt APD mars12-LLS" xfId="47"/>
    <cellStyle name="B_Bdgt Lavoir PRO_LLTS+Com" xfId="229"/>
    <cellStyle name="B_Bdgt Lavoir PRO_Matrice Bdgt Défisc" xfId="48"/>
    <cellStyle name="B_Bdgt Lavoir PRO_VITTORI LLS" xfId="49"/>
    <cellStyle name="B_Bdgt Lavoir PRO_VITTORI LLTS+com" xfId="230"/>
    <cellStyle name="B_Bilan FRAFU" xfId="50"/>
    <cellStyle name="B_Bilan FRAFU_3.3 Devis total" xfId="51"/>
    <cellStyle name="B_Bilan FRAFU_Bdg  DCE" xfId="52"/>
    <cellStyle name="B_Bilan FRAFU_Bdg  DCE inserts marchés" xfId="53"/>
    <cellStyle name="B_Bilan FRAFU_Bdgt APD mars12 déposé DEAL-LLS" xfId="54"/>
    <cellStyle name="B_Bilan FRAFU_Bdgt GOURDE" xfId="55"/>
    <cellStyle name="B_Bilan FRAFU_Bdgt PRO estim MOE" xfId="56"/>
    <cellStyle name="B_Bilan FRAFU_Budget APD" xfId="57"/>
    <cellStyle name="B_Bilan FRAFU_Budget APD Défisc avec portage" xfId="58"/>
    <cellStyle name="B_Bilan FRAFU_Budget APD Défisc ratios modifiés" xfId="59"/>
    <cellStyle name="B_Bilan FRAFU_Budget faisa Bethanie" xfId="60"/>
    <cellStyle name="B_Bilan FRAFU_Classeur1" xfId="61"/>
    <cellStyle name="B_Bilan FRAFU_INGEPAR Bdgt APD mars12-LLS" xfId="62"/>
    <cellStyle name="B_Bilan FRAFU_Les Rivages" xfId="63"/>
    <cellStyle name="B_Bilan FRAFU_LLTS+Com" xfId="231"/>
    <cellStyle name="B_Bilan FRAFU_Matrice Bdgt Défisc" xfId="64"/>
    <cellStyle name="B_Bilan FRAFU_VITTORI LLS" xfId="65"/>
    <cellStyle name="B_Bilan FRAFU_VITTORI LLTS+com" xfId="232"/>
    <cellStyle name="B_Budget FB défisc" xfId="66"/>
    <cellStyle name="B_INGEPAR Bdgt APD mars12-LLS" xfId="67"/>
    <cellStyle name="B_Pgr Palissandre APS" xfId="68"/>
    <cellStyle name="B_Pgr SCI Letchis" xfId="69"/>
    <cellStyle name="B_PRLC 0090 Poker d'As APS" xfId="70"/>
    <cellStyle name="B_Tableau comparatif" xfId="71"/>
    <cellStyle name="B_Tableau comparatif APS" xfId="72"/>
    <cellStyle name="B_Tableau comparatif_3.3 Devis total" xfId="73"/>
    <cellStyle name="B_Tableau comparatif_Bdg  DCE" xfId="74"/>
    <cellStyle name="B_Tableau comparatif_Bdg  DCE inserts marchés" xfId="75"/>
    <cellStyle name="B_Tableau comparatif_Bdgt APD mars12 déposé DEAL-LLS" xfId="76"/>
    <cellStyle name="B_Tableau comparatif_Bdgt GOURDE" xfId="77"/>
    <cellStyle name="B_Tableau comparatif_Bdgt PRO estim MOE" xfId="78"/>
    <cellStyle name="B_Tableau comparatif_Budget APD" xfId="79"/>
    <cellStyle name="B_Tableau comparatif_Budget APD Défisc avec portage" xfId="80"/>
    <cellStyle name="B_Tableau comparatif_Budget APD Défisc ratios modifiés" xfId="81"/>
    <cellStyle name="B_Tableau comparatif_Budget faisa Bethanie" xfId="82"/>
    <cellStyle name="B_Tableau comparatif_Classeur1" xfId="83"/>
    <cellStyle name="B_Tableau comparatif_INGEPAR Bdgt APD mars12-LLS" xfId="84"/>
    <cellStyle name="B_Tableau comparatif_Les Rivages" xfId="85"/>
    <cellStyle name="B_Tableau comparatif_LLTS+Com" xfId="233"/>
    <cellStyle name="B_Tableau comparatif_Matrice Bdgt Défisc" xfId="86"/>
    <cellStyle name="B_Tableau comparatif_VITTORI LLS" xfId="87"/>
    <cellStyle name="B_Tableau comparatif_VITTORI LLTS+com" xfId="234"/>
    <cellStyle name="C" xfId="88"/>
    <cellStyle name="C_3.1 Prix de revient P'tit Canal" xfId="89"/>
    <cellStyle name="C_Bdgt APD mars12 déposé DEAL-LLS" xfId="90"/>
    <cellStyle name="C_Bdgt Lavoir PRO" xfId="91"/>
    <cellStyle name="C_Bdgt Lavoir PRO_3.3 Devis total" xfId="92"/>
    <cellStyle name="C_Bdgt Lavoir PRO_Bdg  DCE" xfId="93"/>
    <cellStyle name="C_Bdgt Lavoir PRO_Bdg  DCE inserts marchés" xfId="94"/>
    <cellStyle name="C_Bdgt Lavoir PRO_Bdgt APD mars12 déposé DEAL-LLS" xfId="95"/>
    <cellStyle name="C_Bdgt Lavoir PRO_Bdgt GOURDE" xfId="96"/>
    <cellStyle name="C_Bdgt Lavoir PRO_Bdgt PRO estim MOE" xfId="97"/>
    <cellStyle name="C_Bdgt Lavoir PRO_Budget APD Défisc avec portage" xfId="98"/>
    <cellStyle name="C_Bdgt Lavoir PRO_Budget APD Défisc ratios modifiés" xfId="99"/>
    <cellStyle name="C_Bdgt Lavoir PRO_Budget faisa Bethanie" xfId="100"/>
    <cellStyle name="C_Bdgt Lavoir PRO_Classeur1" xfId="101"/>
    <cellStyle name="C_Bdgt Lavoir PRO_INGEPAR Bdgt APD mars12-LLS" xfId="102"/>
    <cellStyle name="C_Bdgt Lavoir PRO_LLTS+Com" xfId="235"/>
    <cellStyle name="C_Bdgt Lavoir PRO_Matrice Bdgt Défisc" xfId="103"/>
    <cellStyle name="C_Bdgt Lavoir PRO_VITTORI LLS" xfId="104"/>
    <cellStyle name="C_Bdgt Lavoir PRO_VITTORI LLTS+com" xfId="236"/>
    <cellStyle name="C_Bilan FRAFU" xfId="105"/>
    <cellStyle name="C_Bilan FRAFU_3.3 Devis total" xfId="106"/>
    <cellStyle name="C_Bilan FRAFU_Bdg  DCE" xfId="107"/>
    <cellStyle name="C_Bilan FRAFU_Bdg  DCE inserts marchés" xfId="108"/>
    <cellStyle name="C_Bilan FRAFU_Bdgt APD mars12 déposé DEAL-LLS" xfId="109"/>
    <cellStyle name="C_Bilan FRAFU_Bdgt GOURDE" xfId="110"/>
    <cellStyle name="C_Bilan FRAFU_Bdgt PRO estim MOE" xfId="111"/>
    <cellStyle name="C_Bilan FRAFU_Budget APD" xfId="112"/>
    <cellStyle name="C_Bilan FRAFU_Budget APD Défisc avec portage" xfId="113"/>
    <cellStyle name="C_Bilan FRAFU_Budget APD Défisc ratios modifiés" xfId="114"/>
    <cellStyle name="C_Bilan FRAFU_Budget faisa Bethanie" xfId="115"/>
    <cellStyle name="C_Bilan FRAFU_Classeur1" xfId="116"/>
    <cellStyle name="C_Bilan FRAFU_INGEPAR Bdgt APD mars12-LLS" xfId="117"/>
    <cellStyle name="C_Bilan FRAFU_Les Rivages" xfId="118"/>
    <cellStyle name="C_Bilan FRAFU_LLTS+Com" xfId="237"/>
    <cellStyle name="C_Bilan FRAFU_Matrice Bdgt Défisc" xfId="119"/>
    <cellStyle name="C_Bilan FRAFU_VITTORI LLS" xfId="120"/>
    <cellStyle name="C_Bilan FRAFU_VITTORI LLTS+com" xfId="238"/>
    <cellStyle name="C_Budget FB défisc" xfId="121"/>
    <cellStyle name="C_INGEPAR Bdgt APD mars12-LLS" xfId="122"/>
    <cellStyle name="C_Pgr Palissandre APS" xfId="123"/>
    <cellStyle name="C_Pgr SCI Letchis" xfId="124"/>
    <cellStyle name="C_PRLC 0090 Poker d'As APS" xfId="125"/>
    <cellStyle name="C_Tableau comparatif" xfId="126"/>
    <cellStyle name="C_Tableau comparatif APS" xfId="127"/>
    <cellStyle name="C_Tableau comparatif_3.3 Devis total" xfId="128"/>
    <cellStyle name="C_Tableau comparatif_Bdg  DCE" xfId="129"/>
    <cellStyle name="C_Tableau comparatif_Bdg  DCE inserts marchés" xfId="130"/>
    <cellStyle name="C_Tableau comparatif_Bdgt APD mars12 déposé DEAL-LLS" xfId="131"/>
    <cellStyle name="C_Tableau comparatif_Bdgt GOURDE" xfId="132"/>
    <cellStyle name="C_Tableau comparatif_Bdgt PRO estim MOE" xfId="133"/>
    <cellStyle name="C_Tableau comparatif_Budget APD" xfId="134"/>
    <cellStyle name="C_Tableau comparatif_Budget APD Défisc avec portage" xfId="135"/>
    <cellStyle name="C_Tableau comparatif_Budget APD Défisc ratios modifiés" xfId="136"/>
    <cellStyle name="C_Tableau comparatif_Budget faisa Bethanie" xfId="137"/>
    <cellStyle name="C_Tableau comparatif_Classeur1" xfId="138"/>
    <cellStyle name="C_Tableau comparatif_INGEPAR Bdgt APD mars12-LLS" xfId="139"/>
    <cellStyle name="C_Tableau comparatif_Les Rivages" xfId="140"/>
    <cellStyle name="C_Tableau comparatif_LLTS+Com" xfId="239"/>
    <cellStyle name="C_Tableau comparatif_Matrice Bdgt Défisc" xfId="141"/>
    <cellStyle name="C_Tableau comparatif_VITTORI LLS" xfId="142"/>
    <cellStyle name="C_Tableau comparatif_VITTORI LLTS+com" xfId="240"/>
    <cellStyle name="Calcul" xfId="143" builtinId="22" customBuiltin="1"/>
    <cellStyle name="Cellule liée" xfId="144" builtinId="24" customBuiltin="1"/>
    <cellStyle name="Comma [0]_Erection.lot5" xfId="145"/>
    <cellStyle name="Comma_Erection.lot5" xfId="146"/>
    <cellStyle name="Commentaire" xfId="147" builtinId="10" customBuiltin="1"/>
    <cellStyle name="Currency [0]_Erection.lot5" xfId="148"/>
    <cellStyle name="Currency_Erection.lot5" xfId="149"/>
    <cellStyle name="D" xfId="150"/>
    <cellStyle name="D_Les Rivages" xfId="151"/>
    <cellStyle name="D_VITTORI LLS" xfId="152"/>
    <cellStyle name="D_VITTORI LLTS+com" xfId="241"/>
    <cellStyle name="données" xfId="153"/>
    <cellStyle name="E" xfId="154"/>
    <cellStyle name="E_Les Rivages" xfId="155"/>
    <cellStyle name="E_VITTORI LLS" xfId="156"/>
    <cellStyle name="E_VITTORI LLTS+com" xfId="242"/>
    <cellStyle name="Entrée" xfId="157" builtinId="20" customBuiltin="1"/>
    <cellStyle name="Euro" xfId="158"/>
    <cellStyle name="Euro 2" xfId="159"/>
    <cellStyle name="Euro 3" xfId="243"/>
    <cellStyle name="Euro 4" xfId="249"/>
    <cellStyle name="Euro 5" xfId="257"/>
    <cellStyle name="Euro_3.1 Prix de revient P'tit Canal" xfId="160"/>
    <cellStyle name="F" xfId="161"/>
    <cellStyle name="F_Les Rivages" xfId="162"/>
    <cellStyle name="F_VITTORI LLS" xfId="163"/>
    <cellStyle name="F_VITTORI LLTS+com" xfId="244"/>
    <cellStyle name="G" xfId="164"/>
    <cellStyle name="G_Les Rivages" xfId="165"/>
    <cellStyle name="G_VITTORI LLS" xfId="166"/>
    <cellStyle name="G_VITTORI LLTS+com" xfId="245"/>
    <cellStyle name="gris" xfId="167"/>
    <cellStyle name="gris 2" xfId="259"/>
    <cellStyle name="H" xfId="168"/>
    <cellStyle name="h/mois" xfId="169"/>
    <cellStyle name="H_Les Rivages" xfId="170"/>
    <cellStyle name="H_VITTORI LLS" xfId="171"/>
    <cellStyle name="H_VITTORI LLTS+com" xfId="246"/>
    <cellStyle name="heures" xfId="172"/>
    <cellStyle name="Insatisfaisant" xfId="173" builtinId="27" customBuiltin="1"/>
    <cellStyle name="jours" xfId="174"/>
    <cellStyle name="Lien hypertexte 2" xfId="256"/>
    <cellStyle name="Milliers 10" xfId="175"/>
    <cellStyle name="Milliers 11" xfId="176"/>
    <cellStyle name="Milliers 12" xfId="177"/>
    <cellStyle name="Milliers 13" xfId="260"/>
    <cellStyle name="Milliers 13 2" xfId="258"/>
    <cellStyle name="Milliers 14" xfId="261"/>
    <cellStyle name="Milliers 2" xfId="178"/>
    <cellStyle name="Milliers 3" xfId="179"/>
    <cellStyle name="Milliers 4" xfId="180"/>
    <cellStyle name="Milliers 5" xfId="181"/>
    <cellStyle name="Milliers 6" xfId="182"/>
    <cellStyle name="Milliers 7" xfId="183"/>
    <cellStyle name="Milliers 8" xfId="184"/>
    <cellStyle name="Milliers 9" xfId="185"/>
    <cellStyle name="mois" xfId="186"/>
    <cellStyle name="Monétaire 10" xfId="250"/>
    <cellStyle name="Monétaire 2" xfId="187"/>
    <cellStyle name="Monétaire 3" xfId="188"/>
    <cellStyle name="Monétaire 4" xfId="189"/>
    <cellStyle name="Monétaire 5" xfId="190"/>
    <cellStyle name="Monétaire 6" xfId="191"/>
    <cellStyle name="Monétaire 7" xfId="192"/>
    <cellStyle name="Monétaire 8" xfId="247"/>
    <cellStyle name="Monétaire 9" xfId="248"/>
    <cellStyle name="Neutre" xfId="193" builtinId="28" customBuiltin="1"/>
    <cellStyle name="Normal" xfId="0" builtinId="0"/>
    <cellStyle name="Normal - Style1" xfId="194"/>
    <cellStyle name="Normal - Style2" xfId="195"/>
    <cellStyle name="Normal - Style3" xfId="196"/>
    <cellStyle name="Normal - Style4" xfId="197"/>
    <cellStyle name="Normal - Style5" xfId="198"/>
    <cellStyle name="Normal - Style6" xfId="199"/>
    <cellStyle name="Normal - Style7" xfId="200"/>
    <cellStyle name="Normal - Style8" xfId="201"/>
    <cellStyle name="Normal 1" xfId="202"/>
    <cellStyle name="Normal 10" xfId="263"/>
    <cellStyle name="Normal 11" xfId="264"/>
    <cellStyle name="Normal 2" xfId="203"/>
    <cellStyle name="Normal 2 2" xfId="204"/>
    <cellStyle name="Normal 2 3" xfId="205"/>
    <cellStyle name="Normal 2_3.3 Devis total" xfId="206"/>
    <cellStyle name="Normal 3" xfId="207"/>
    <cellStyle name="Normal 3 2" xfId="208"/>
    <cellStyle name="Normal 3_3.1 Prix de revient P'tit Canal" xfId="209"/>
    <cellStyle name="Normal 4" xfId="251"/>
    <cellStyle name="Normal 5" xfId="252"/>
    <cellStyle name="Normal 6" xfId="253"/>
    <cellStyle name="Normal 7" xfId="254"/>
    <cellStyle name="Normal 8" xfId="255"/>
    <cellStyle name="Normal 9" xfId="262"/>
    <cellStyle name="Normal_58 Fiche programme" xfId="210"/>
    <cellStyle name="Normal_58 Fiche programme_Pgr PRLC 0110 APD" xfId="211"/>
    <cellStyle name="Pourcentage" xfId="212" builtinId="5"/>
    <cellStyle name="Pourcentage 2" xfId="213"/>
    <cellStyle name="Pourcentage 2 2" xfId="214"/>
    <cellStyle name="Pourcentage 3" xfId="215"/>
    <cellStyle name="QQQQ" xfId="216"/>
    <cellStyle name="rien" xfId="217"/>
    <cellStyle name="Satisfaisant" xfId="218" builtinId="26" customBuiltin="1"/>
    <cellStyle name="Sortie" xfId="219" builtinId="21" customBuiltin="1"/>
    <cellStyle name="Texte explicatif" xfId="220" builtinId="53" customBuiltin="1"/>
    <cellStyle name="Titre" xfId="221" builtinId="15" customBuiltin="1"/>
    <cellStyle name="Titre 1" xfId="222" builtinId="16" customBuiltin="1"/>
    <cellStyle name="Titre 2" xfId="223" builtinId="17" customBuiltin="1"/>
    <cellStyle name="Titre 3" xfId="224" builtinId="18" customBuiltin="1"/>
    <cellStyle name="Titre 4" xfId="225" builtinId="19" customBuiltin="1"/>
    <cellStyle name="Total" xfId="226" builtinId="25" customBuiltin="1"/>
    <cellStyle name="Vérification" xfId="227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bl/Desktop/PERSO%20NBL/A%20TRAVAILLER/WE/ANCOLS/Etude%20modula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tude modulation loyers LLS"/>
      <sheetName val="Etude modulation loyers LLTS"/>
      <sheetName val="Etude modulation"/>
    </sheetNames>
    <definedNames>
      <definedName name="Macro3" refersTo="#REF!"/>
      <definedName name="Macro4" refersTo="#REF!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/>
  </sheetPr>
  <dimension ref="A1:AI94"/>
  <sheetViews>
    <sheetView tabSelected="1" view="pageBreakPreview" topLeftCell="Q45" zoomScale="85" zoomScaleNormal="100" zoomScaleSheetLayoutView="85" zoomScalePageLayoutView="40" workbookViewId="0">
      <selection activeCell="AC60" sqref="AC60"/>
    </sheetView>
  </sheetViews>
  <sheetFormatPr baseColWidth="10" defaultColWidth="10.85546875" defaultRowHeight="12.75" outlineLevelRow="1" outlineLevelCol="1"/>
  <cols>
    <col min="1" max="1" width="14.42578125" style="173" customWidth="1"/>
    <col min="2" max="2" width="15.42578125" style="151" customWidth="1"/>
    <col min="3" max="3" width="17.42578125" style="210" customWidth="1"/>
    <col min="4" max="4" width="19.5703125" style="153" bestFit="1" customWidth="1"/>
    <col min="5" max="5" width="21" style="133" customWidth="1"/>
    <col min="6" max="6" width="21" style="133" bestFit="1" customWidth="1"/>
    <col min="7" max="7" width="17.85546875" style="160" customWidth="1"/>
    <col min="8" max="8" width="14.5703125" style="160" customWidth="1"/>
    <col min="9" max="9" width="18.42578125" style="160" customWidth="1"/>
    <col min="10" max="10" width="13" style="160" customWidth="1"/>
    <col min="11" max="11" width="13" style="160" customWidth="1" outlineLevel="1"/>
    <col min="12" max="12" width="10.85546875" style="160" customWidth="1" outlineLevel="1"/>
    <col min="13" max="13" width="12.140625" style="160" customWidth="1" outlineLevel="1"/>
    <col min="14" max="14" width="10.42578125" style="160" customWidth="1" outlineLevel="1"/>
    <col min="15" max="15" width="11.42578125" style="160" customWidth="1" outlineLevel="1"/>
    <col min="16" max="16" width="12.5703125" style="160" customWidth="1" outlineLevel="1"/>
    <col min="17" max="17" width="16.140625" style="133" customWidth="1"/>
    <col min="18" max="18" width="12.42578125" style="133" customWidth="1"/>
    <col min="19" max="19" width="10.42578125" style="133" customWidth="1"/>
    <col min="20" max="20" width="11.5703125" style="133" customWidth="1"/>
    <col min="21" max="21" width="10.140625" style="160" customWidth="1"/>
    <col min="22" max="22" width="9.85546875" style="160" customWidth="1"/>
    <col min="23" max="23" width="17.42578125" style="160" customWidth="1"/>
    <col min="24" max="24" width="15.5703125" style="160" bestFit="1" customWidth="1"/>
    <col min="25" max="25" width="14.42578125" style="133" customWidth="1"/>
    <col min="26" max="26" width="15.5703125" style="133" bestFit="1" customWidth="1"/>
    <col min="27" max="27" width="12.28515625" style="133" customWidth="1"/>
    <col min="28" max="28" width="15" style="133" bestFit="1" customWidth="1"/>
    <col min="29" max="29" width="13.7109375" bestFit="1" customWidth="1"/>
    <col min="30" max="31" width="21.28515625" customWidth="1"/>
    <col min="32" max="32" width="10.85546875" customWidth="1"/>
    <col min="33" max="33" width="29" customWidth="1"/>
    <col min="34" max="16384" width="10.85546875" style="10"/>
  </cols>
  <sheetData>
    <row r="1" spans="1:34" ht="21.75" customHeight="1">
      <c r="A1" s="2" t="s">
        <v>12</v>
      </c>
      <c r="B1" s="3" t="s">
        <v>13</v>
      </c>
      <c r="C1" s="442"/>
      <c r="D1" s="623"/>
      <c r="E1" s="624"/>
      <c r="F1" s="624"/>
      <c r="G1" s="4"/>
      <c r="H1" s="4"/>
      <c r="I1" s="5"/>
      <c r="J1" s="5"/>
      <c r="K1" s="5"/>
      <c r="L1" s="5"/>
      <c r="M1" s="5"/>
      <c r="N1" s="5"/>
      <c r="O1" s="5"/>
      <c r="P1" s="5"/>
      <c r="Q1" s="6"/>
      <c r="R1" s="6"/>
      <c r="S1" s="6"/>
      <c r="T1" s="6"/>
      <c r="U1" s="7"/>
      <c r="V1" s="7"/>
      <c r="W1" s="7"/>
      <c r="X1" s="7"/>
      <c r="Y1" s="6"/>
      <c r="Z1" s="6"/>
      <c r="AA1" s="8"/>
      <c r="AC1" s="9"/>
    </row>
    <row r="2" spans="1:34" s="14" customFormat="1" ht="15.95" customHeight="1">
      <c r="A2" s="11"/>
      <c r="B2" s="12"/>
      <c r="C2" s="13"/>
      <c r="E2" s="15"/>
      <c r="F2" s="625"/>
      <c r="G2" s="625"/>
      <c r="H2" s="625"/>
      <c r="I2" s="625"/>
      <c r="J2" s="16"/>
      <c r="K2" s="16"/>
      <c r="L2" s="16"/>
      <c r="M2" s="16"/>
      <c r="N2" s="16"/>
      <c r="O2" s="16"/>
      <c r="T2" s="17"/>
      <c r="V2" s="18"/>
      <c r="W2" s="19"/>
      <c r="X2" s="19"/>
      <c r="Y2" s="19"/>
      <c r="Z2" s="19"/>
      <c r="AA2"/>
      <c r="AB2"/>
      <c r="AC2"/>
      <c r="AD2"/>
      <c r="AE2"/>
      <c r="AF2"/>
      <c r="AG2"/>
    </row>
    <row r="3" spans="1:34" ht="15.95" customHeight="1">
      <c r="A3" s="20"/>
      <c r="B3" s="21"/>
      <c r="C3" s="21"/>
      <c r="D3" s="22"/>
      <c r="E3" s="22"/>
      <c r="F3" s="22"/>
      <c r="G3" s="22"/>
      <c r="H3" s="22"/>
      <c r="I3" s="22"/>
      <c r="J3" s="23"/>
      <c r="K3" s="23"/>
      <c r="L3" s="23"/>
      <c r="M3" s="23"/>
      <c r="N3" s="23"/>
      <c r="O3" s="23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/>
      <c r="AB3"/>
    </row>
    <row r="4" spans="1:34" ht="15.95" customHeight="1">
      <c r="A4" s="20" t="s">
        <v>14</v>
      </c>
      <c r="B4" s="24"/>
      <c r="C4" s="25"/>
      <c r="D4" s="22"/>
      <c r="E4" s="22"/>
      <c r="F4" s="22"/>
      <c r="G4" s="23"/>
      <c r="H4" s="23"/>
      <c r="I4" s="23"/>
      <c r="J4" s="23"/>
      <c r="K4" s="23"/>
      <c r="L4" s="23"/>
      <c r="M4" s="23"/>
      <c r="N4" s="23"/>
      <c r="O4" s="23"/>
      <c r="P4" s="23"/>
      <c r="Q4" s="22"/>
      <c r="R4" s="22"/>
      <c r="S4" s="22"/>
      <c r="T4" s="22"/>
      <c r="U4" s="23"/>
      <c r="V4" s="23"/>
      <c r="W4" s="23"/>
      <c r="X4" s="23"/>
      <c r="Y4" s="22"/>
      <c r="Z4" s="22"/>
      <c r="AA4"/>
      <c r="AB4"/>
    </row>
    <row r="5" spans="1:34" s="14" customFormat="1" ht="15.95" customHeight="1">
      <c r="A5" s="26" t="s">
        <v>15</v>
      </c>
      <c r="B5" s="27"/>
      <c r="C5" s="27"/>
      <c r="D5" s="27"/>
      <c r="E5" s="28"/>
      <c r="F5" s="28"/>
      <c r="G5" s="28"/>
      <c r="H5" s="593" t="s">
        <v>16</v>
      </c>
      <c r="I5" s="593" t="s">
        <v>17</v>
      </c>
      <c r="J5" s="27" t="s">
        <v>18</v>
      </c>
      <c r="K5" s="626" t="s">
        <v>19</v>
      </c>
      <c r="L5" s="626"/>
      <c r="M5" s="626"/>
      <c r="N5" s="29" t="s">
        <v>20</v>
      </c>
      <c r="O5" s="29"/>
      <c r="P5" s="29"/>
      <c r="Q5" s="27" t="s">
        <v>21</v>
      </c>
      <c r="R5" s="27" t="s">
        <v>9</v>
      </c>
      <c r="S5" s="27" t="s">
        <v>22</v>
      </c>
      <c r="T5" s="27" t="s">
        <v>23</v>
      </c>
      <c r="U5" s="27" t="s">
        <v>24</v>
      </c>
      <c r="V5" s="30" t="s">
        <v>25</v>
      </c>
      <c r="W5" s="31" t="s">
        <v>11</v>
      </c>
      <c r="X5" s="627" t="s">
        <v>26</v>
      </c>
      <c r="Y5" s="627"/>
      <c r="Z5" s="627"/>
      <c r="AA5" s="627"/>
      <c r="AB5" s="627"/>
      <c r="AC5" s="628"/>
      <c r="AD5"/>
      <c r="AE5"/>
      <c r="AF5"/>
      <c r="AG5"/>
      <c r="AH5"/>
    </row>
    <row r="6" spans="1:34" s="47" customFormat="1" ht="37.15" customHeight="1">
      <c r="A6" s="32" t="s">
        <v>27</v>
      </c>
      <c r="B6" s="428" t="s">
        <v>149</v>
      </c>
      <c r="C6" s="428" t="s">
        <v>150</v>
      </c>
      <c r="D6" s="33" t="s">
        <v>28</v>
      </c>
      <c r="E6" s="577" t="s">
        <v>155</v>
      </c>
      <c r="F6" s="33" t="s">
        <v>29</v>
      </c>
      <c r="G6" s="428" t="s">
        <v>124</v>
      </c>
      <c r="H6" s="34" t="s">
        <v>30</v>
      </c>
      <c r="I6" s="35" t="s">
        <v>31</v>
      </c>
      <c r="J6" s="36" t="s">
        <v>6</v>
      </c>
      <c r="K6" s="37" t="s">
        <v>32</v>
      </c>
      <c r="L6" s="37" t="s">
        <v>33</v>
      </c>
      <c r="M6" s="38" t="s">
        <v>34</v>
      </c>
      <c r="N6" s="37" t="s">
        <v>35</v>
      </c>
      <c r="O6" s="39" t="s">
        <v>36</v>
      </c>
      <c r="P6" s="38" t="s">
        <v>37</v>
      </c>
      <c r="Q6" s="40" t="s">
        <v>19</v>
      </c>
      <c r="R6" s="41" t="s">
        <v>38</v>
      </c>
      <c r="S6" s="42" t="s">
        <v>20</v>
      </c>
      <c r="T6" s="43" t="s">
        <v>7</v>
      </c>
      <c r="U6" s="44" t="s">
        <v>4</v>
      </c>
      <c r="V6" s="32"/>
      <c r="W6" s="45" t="s">
        <v>39</v>
      </c>
      <c r="X6" s="36" t="s">
        <v>40</v>
      </c>
      <c r="Y6" s="36" t="s">
        <v>41</v>
      </c>
      <c r="Z6" s="36" t="s">
        <v>42</v>
      </c>
      <c r="AA6" s="46" t="s">
        <v>22</v>
      </c>
      <c r="AB6" s="46" t="s">
        <v>23</v>
      </c>
      <c r="AC6" s="44" t="s">
        <v>43</v>
      </c>
      <c r="AD6"/>
      <c r="AE6"/>
      <c r="AF6"/>
      <c r="AG6"/>
      <c r="AH6"/>
    </row>
    <row r="7" spans="1:34" ht="15.95" customHeight="1">
      <c r="A7" s="48"/>
      <c r="B7" s="49"/>
      <c r="C7" s="50"/>
      <c r="D7" s="51" t="s">
        <v>165</v>
      </c>
      <c r="E7" s="52" t="s">
        <v>156</v>
      </c>
      <c r="F7" s="52"/>
      <c r="G7" s="64"/>
      <c r="H7" s="53" t="s">
        <v>44</v>
      </c>
      <c r="I7" s="54" t="s">
        <v>45</v>
      </c>
      <c r="J7" s="55"/>
      <c r="K7" s="56"/>
      <c r="L7" s="56"/>
      <c r="M7" s="57" t="s">
        <v>46</v>
      </c>
      <c r="N7" s="56"/>
      <c r="O7" s="56"/>
      <c r="P7" s="57" t="s">
        <v>46</v>
      </c>
      <c r="Q7" s="58">
        <v>0.5</v>
      </c>
      <c r="R7" s="59"/>
      <c r="S7" s="58">
        <v>0.5</v>
      </c>
      <c r="T7" s="60">
        <v>0.5</v>
      </c>
      <c r="U7" s="61"/>
      <c r="V7" s="62"/>
      <c r="W7" s="63"/>
      <c r="X7" s="55"/>
      <c r="Y7" s="55"/>
      <c r="Z7" s="55"/>
      <c r="AA7" s="64"/>
      <c r="AB7" s="64"/>
      <c r="AC7" s="61"/>
      <c r="AD7" s="552" t="s">
        <v>142</v>
      </c>
      <c r="AE7" s="552" t="s">
        <v>143</v>
      </c>
      <c r="AF7" s="553" t="s">
        <v>145</v>
      </c>
      <c r="AG7" s="552" t="s">
        <v>24</v>
      </c>
      <c r="AH7"/>
    </row>
    <row r="8" spans="1:34" ht="15.95" customHeight="1" outlineLevel="1">
      <c r="A8" s="443" t="s">
        <v>130</v>
      </c>
      <c r="B8" s="444" t="s">
        <v>128</v>
      </c>
      <c r="C8" s="445" t="s">
        <v>151</v>
      </c>
      <c r="D8" s="444" t="s">
        <v>129</v>
      </c>
      <c r="E8" s="446"/>
      <c r="F8" s="447"/>
      <c r="G8" s="448"/>
      <c r="H8" s="459">
        <v>30</v>
      </c>
      <c r="I8" s="447"/>
      <c r="J8" s="449">
        <f t="shared" ref="J8:J12" si="0">H8+I8</f>
        <v>30</v>
      </c>
      <c r="K8" s="450"/>
      <c r="L8" s="450"/>
      <c r="M8" s="451">
        <f t="shared" ref="M8:M12" si="1">K8+L8</f>
        <v>0</v>
      </c>
      <c r="N8" s="580"/>
      <c r="O8" s="581"/>
      <c r="P8" s="451">
        <f t="shared" ref="P8:P13" si="2">N8+O8</f>
        <v>0</v>
      </c>
      <c r="Q8" s="452">
        <f t="shared" ref="Q8:Q13" si="3">M8*$Q$7</f>
        <v>0</v>
      </c>
      <c r="R8" s="453">
        <f t="shared" ref="R8:R13" si="4">J8+Q8</f>
        <v>30</v>
      </c>
      <c r="S8" s="454">
        <f t="shared" ref="S8:S13" si="5">P8*$S$7</f>
        <v>0</v>
      </c>
      <c r="T8" s="455">
        <f t="shared" ref="T8:T12" si="6">IF(S.LCR=0,0,S.LCR/(NbreLLS+NbreLLTS)*$T$7)</f>
        <v>0</v>
      </c>
      <c r="U8" s="456">
        <f t="shared" ref="U8:U13" si="7">J8+Q8+S8+T8</f>
        <v>30</v>
      </c>
      <c r="V8" s="460">
        <v>4</v>
      </c>
      <c r="W8" s="461">
        <f t="shared" ref="W8:W12" si="8">V8</f>
        <v>4</v>
      </c>
      <c r="X8" s="457">
        <f t="shared" ref="X8:X12" si="9">J8*$V8</f>
        <v>120</v>
      </c>
      <c r="Y8" s="457">
        <f t="shared" ref="Y8:AC13" si="10">Q8*$V8</f>
        <v>0</v>
      </c>
      <c r="Z8" s="457">
        <f t="shared" si="10"/>
        <v>120</v>
      </c>
      <c r="AA8" s="457">
        <f t="shared" si="10"/>
        <v>0</v>
      </c>
      <c r="AB8" s="457">
        <f t="shared" si="10"/>
        <v>0</v>
      </c>
      <c r="AC8" s="458">
        <f t="shared" si="10"/>
        <v>120</v>
      </c>
      <c r="AD8" s="620">
        <f>V8/NbreLLS</f>
        <v>0.11428571428571428</v>
      </c>
      <c r="AE8" s="547"/>
      <c r="AG8">
        <f t="shared" ref="AG8:AG12" si="11">U8*V8</f>
        <v>120</v>
      </c>
      <c r="AH8"/>
    </row>
    <row r="9" spans="1:34" ht="15.95" customHeight="1" outlineLevel="1">
      <c r="A9" s="462" t="s">
        <v>48</v>
      </c>
      <c r="B9" s="463" t="s">
        <v>152</v>
      </c>
      <c r="C9" s="464" t="s">
        <v>158</v>
      </c>
      <c r="D9" s="463" t="s">
        <v>50</v>
      </c>
      <c r="E9" s="465"/>
      <c r="F9" s="549"/>
      <c r="G9" s="467"/>
      <c r="H9" s="531">
        <v>46</v>
      </c>
      <c r="I9" s="466"/>
      <c r="J9" s="468">
        <f t="shared" si="0"/>
        <v>46</v>
      </c>
      <c r="K9" s="469"/>
      <c r="L9" s="469"/>
      <c r="M9" s="470">
        <f t="shared" si="1"/>
        <v>0</v>
      </c>
      <c r="N9" s="582"/>
      <c r="O9" s="583"/>
      <c r="P9" s="470">
        <f t="shared" si="2"/>
        <v>0</v>
      </c>
      <c r="Q9" s="471">
        <f t="shared" si="3"/>
        <v>0</v>
      </c>
      <c r="R9" s="472">
        <f t="shared" si="4"/>
        <v>46</v>
      </c>
      <c r="S9" s="473">
        <f t="shared" si="5"/>
        <v>0</v>
      </c>
      <c r="T9" s="474">
        <f t="shared" si="6"/>
        <v>0</v>
      </c>
      <c r="U9" s="475">
        <f t="shared" si="7"/>
        <v>46</v>
      </c>
      <c r="V9" s="535">
        <v>7</v>
      </c>
      <c r="W9" s="536">
        <f t="shared" si="8"/>
        <v>7</v>
      </c>
      <c r="X9" s="476">
        <f t="shared" si="9"/>
        <v>322</v>
      </c>
      <c r="Y9" s="476">
        <f t="shared" si="10"/>
        <v>0</v>
      </c>
      <c r="Z9" s="476">
        <f t="shared" si="10"/>
        <v>322</v>
      </c>
      <c r="AA9" s="476">
        <f t="shared" si="10"/>
        <v>0</v>
      </c>
      <c r="AB9" s="476">
        <f t="shared" si="10"/>
        <v>0</v>
      </c>
      <c r="AC9" s="477">
        <f t="shared" si="10"/>
        <v>322</v>
      </c>
      <c r="AD9" s="620">
        <f>V9/NbreLLS</f>
        <v>0.2</v>
      </c>
      <c r="AE9" s="547"/>
      <c r="AG9">
        <f t="shared" si="11"/>
        <v>322</v>
      </c>
      <c r="AH9"/>
    </row>
    <row r="10" spans="1:34" ht="15.95" customHeight="1" outlineLevel="1">
      <c r="A10" s="478" t="s">
        <v>51</v>
      </c>
      <c r="B10" s="479" t="s">
        <v>153</v>
      </c>
      <c r="C10" s="480" t="s">
        <v>159</v>
      </c>
      <c r="D10" s="479" t="s">
        <v>53</v>
      </c>
      <c r="E10" s="481"/>
      <c r="F10" s="550"/>
      <c r="G10" s="483"/>
      <c r="H10" s="494">
        <v>66</v>
      </c>
      <c r="I10" s="482"/>
      <c r="J10" s="484">
        <f t="shared" si="0"/>
        <v>66</v>
      </c>
      <c r="K10" s="485"/>
      <c r="L10" s="485"/>
      <c r="M10" s="486">
        <f t="shared" si="1"/>
        <v>0</v>
      </c>
      <c r="N10" s="584"/>
      <c r="O10" s="585"/>
      <c r="P10" s="486">
        <f t="shared" si="2"/>
        <v>0</v>
      </c>
      <c r="Q10" s="487">
        <f t="shared" si="3"/>
        <v>0</v>
      </c>
      <c r="R10" s="488">
        <f t="shared" si="4"/>
        <v>66</v>
      </c>
      <c r="S10" s="489">
        <f t="shared" si="5"/>
        <v>0</v>
      </c>
      <c r="T10" s="490">
        <f t="shared" si="6"/>
        <v>0</v>
      </c>
      <c r="U10" s="491">
        <f t="shared" si="7"/>
        <v>66</v>
      </c>
      <c r="V10" s="537">
        <v>11</v>
      </c>
      <c r="W10" s="538">
        <f t="shared" si="8"/>
        <v>11</v>
      </c>
      <c r="X10" s="492">
        <f t="shared" si="9"/>
        <v>726</v>
      </c>
      <c r="Y10" s="492">
        <f t="shared" si="10"/>
        <v>0</v>
      </c>
      <c r="Z10" s="492">
        <f t="shared" si="10"/>
        <v>726</v>
      </c>
      <c r="AA10" s="492">
        <f t="shared" si="10"/>
        <v>0</v>
      </c>
      <c r="AB10" s="492">
        <f t="shared" si="10"/>
        <v>0</v>
      </c>
      <c r="AC10" s="493">
        <f t="shared" si="10"/>
        <v>726</v>
      </c>
      <c r="AD10" s="620">
        <f>V10/NbreLLS</f>
        <v>0.31428571428571428</v>
      </c>
      <c r="AE10" s="547"/>
      <c r="AG10">
        <f t="shared" si="11"/>
        <v>726</v>
      </c>
      <c r="AH10"/>
    </row>
    <row r="11" spans="1:34" ht="15.95" customHeight="1" outlineLevel="1">
      <c r="A11" s="496" t="s">
        <v>54</v>
      </c>
      <c r="B11" s="497" t="s">
        <v>154</v>
      </c>
      <c r="C11" s="498" t="s">
        <v>160</v>
      </c>
      <c r="D11" s="497" t="s">
        <v>56</v>
      </c>
      <c r="E11" s="499"/>
      <c r="F11" s="551"/>
      <c r="G11" s="501"/>
      <c r="H11" s="512">
        <v>76</v>
      </c>
      <c r="I11" s="500"/>
      <c r="J11" s="502">
        <f t="shared" si="0"/>
        <v>76</v>
      </c>
      <c r="K11" s="503"/>
      <c r="L11" s="503"/>
      <c r="M11" s="504">
        <f t="shared" si="1"/>
        <v>0</v>
      </c>
      <c r="N11" s="586"/>
      <c r="O11" s="587"/>
      <c r="P11" s="504">
        <f t="shared" si="2"/>
        <v>0</v>
      </c>
      <c r="Q11" s="505">
        <f t="shared" si="3"/>
        <v>0</v>
      </c>
      <c r="R11" s="506">
        <f t="shared" si="4"/>
        <v>76</v>
      </c>
      <c r="S11" s="507">
        <f t="shared" si="5"/>
        <v>0</v>
      </c>
      <c r="T11" s="508">
        <f t="shared" si="6"/>
        <v>0</v>
      </c>
      <c r="U11" s="509">
        <f t="shared" si="7"/>
        <v>76</v>
      </c>
      <c r="V11" s="539">
        <v>10</v>
      </c>
      <c r="W11" s="540">
        <f t="shared" si="8"/>
        <v>10</v>
      </c>
      <c r="X11" s="510">
        <f t="shared" si="9"/>
        <v>760</v>
      </c>
      <c r="Y11" s="510">
        <f t="shared" si="10"/>
        <v>0</v>
      </c>
      <c r="Z11" s="510">
        <f t="shared" si="10"/>
        <v>760</v>
      </c>
      <c r="AA11" s="510">
        <f>S11*$V11</f>
        <v>0</v>
      </c>
      <c r="AB11" s="510">
        <f t="shared" si="10"/>
        <v>0</v>
      </c>
      <c r="AC11" s="511">
        <f t="shared" si="10"/>
        <v>760</v>
      </c>
      <c r="AD11" s="620">
        <f>V11/NbreLLS</f>
        <v>0.2857142857142857</v>
      </c>
      <c r="AE11" s="547"/>
      <c r="AG11">
        <f t="shared" si="11"/>
        <v>760</v>
      </c>
      <c r="AH11"/>
    </row>
    <row r="12" spans="1:34" ht="15.95" customHeight="1" outlineLevel="1">
      <c r="A12" s="514" t="s">
        <v>136</v>
      </c>
      <c r="B12" s="515" t="s">
        <v>157</v>
      </c>
      <c r="C12" s="516" t="s">
        <v>161</v>
      </c>
      <c r="D12" s="515" t="s">
        <v>58</v>
      </c>
      <c r="E12" s="529"/>
      <c r="F12" s="617"/>
      <c r="G12" s="521"/>
      <c r="H12" s="530">
        <v>86</v>
      </c>
      <c r="I12" s="520"/>
      <c r="J12" s="517">
        <f t="shared" si="0"/>
        <v>86</v>
      </c>
      <c r="K12" s="518"/>
      <c r="L12" s="518"/>
      <c r="M12" s="519">
        <f t="shared" si="1"/>
        <v>0</v>
      </c>
      <c r="N12" s="554"/>
      <c r="O12" s="588"/>
      <c r="P12" s="519">
        <f t="shared" si="2"/>
        <v>0</v>
      </c>
      <c r="Q12" s="522">
        <f t="shared" si="3"/>
        <v>0</v>
      </c>
      <c r="R12" s="523">
        <f t="shared" si="4"/>
        <v>86</v>
      </c>
      <c r="S12" s="524">
        <f t="shared" si="5"/>
        <v>0</v>
      </c>
      <c r="T12" s="525">
        <f t="shared" si="6"/>
        <v>0</v>
      </c>
      <c r="U12" s="526">
        <f t="shared" si="7"/>
        <v>86</v>
      </c>
      <c r="V12" s="618">
        <v>3</v>
      </c>
      <c r="W12" s="619">
        <f t="shared" si="8"/>
        <v>3</v>
      </c>
      <c r="X12" s="527">
        <f t="shared" si="9"/>
        <v>258</v>
      </c>
      <c r="Y12" s="527">
        <f t="shared" si="10"/>
        <v>0</v>
      </c>
      <c r="Z12" s="527">
        <f t="shared" si="10"/>
        <v>258</v>
      </c>
      <c r="AA12" s="527">
        <f>S12*$V12</f>
        <v>0</v>
      </c>
      <c r="AB12" s="527">
        <f t="shared" si="10"/>
        <v>0</v>
      </c>
      <c r="AC12" s="528">
        <f t="shared" si="10"/>
        <v>258</v>
      </c>
      <c r="AD12" s="620">
        <f>V12/NbreLLS</f>
        <v>8.5714285714285715E-2</v>
      </c>
      <c r="AE12" s="547"/>
      <c r="AG12">
        <f t="shared" si="11"/>
        <v>258</v>
      </c>
      <c r="AH12"/>
    </row>
    <row r="13" spans="1:34" ht="15.95" customHeight="1" outlineLevel="1">
      <c r="A13" s="555" t="s">
        <v>148</v>
      </c>
      <c r="B13" s="556"/>
      <c r="C13" s="557"/>
      <c r="D13" s="556"/>
      <c r="E13" s="558"/>
      <c r="F13" s="559"/>
      <c r="G13" s="560"/>
      <c r="H13" s="561"/>
      <c r="I13" s="562"/>
      <c r="J13" s="563"/>
      <c r="K13" s="564"/>
      <c r="L13" s="564"/>
      <c r="M13" s="565"/>
      <c r="N13" s="559">
        <v>25</v>
      </c>
      <c r="O13" s="560"/>
      <c r="P13" s="566">
        <f t="shared" si="2"/>
        <v>25</v>
      </c>
      <c r="Q13" s="567">
        <f t="shared" si="3"/>
        <v>0</v>
      </c>
      <c r="R13" s="568">
        <f t="shared" si="4"/>
        <v>0</v>
      </c>
      <c r="S13" s="569">
        <f t="shared" si="5"/>
        <v>12.5</v>
      </c>
      <c r="T13" s="570"/>
      <c r="U13" s="571">
        <f t="shared" si="7"/>
        <v>12.5</v>
      </c>
      <c r="V13" s="572">
        <v>35</v>
      </c>
      <c r="W13" s="573"/>
      <c r="X13" s="574"/>
      <c r="Y13" s="574"/>
      <c r="Z13" s="574"/>
      <c r="AA13" s="575">
        <f>S13*$V13</f>
        <v>437.5</v>
      </c>
      <c r="AB13" s="575">
        <f t="shared" si="10"/>
        <v>0</v>
      </c>
      <c r="AC13" s="576">
        <f t="shared" si="10"/>
        <v>437.5</v>
      </c>
      <c r="AD13" s="547"/>
      <c r="AE13" s="547"/>
      <c r="AH13"/>
    </row>
    <row r="14" spans="1:34" s="100" customFormat="1" ht="15.95" customHeight="1" thickBot="1">
      <c r="A14" s="621" t="s">
        <v>115</v>
      </c>
      <c r="B14" s="622"/>
      <c r="C14" s="87"/>
      <c r="D14" s="88"/>
      <c r="E14" s="89"/>
      <c r="F14" s="88"/>
      <c r="G14" s="88"/>
      <c r="H14" s="532"/>
      <c r="I14" s="532"/>
      <c r="J14" s="91">
        <f>SH.LLS/NbreLLS</f>
        <v>62.457142857142856</v>
      </c>
      <c r="K14" s="92"/>
      <c r="L14" s="92"/>
      <c r="M14" s="92"/>
      <c r="N14" s="92"/>
      <c r="O14" s="92"/>
      <c r="P14" s="92"/>
      <c r="Q14" s="90"/>
      <c r="R14" s="93">
        <f>SU.LLS/NbreLLS</f>
        <v>62.457142857142856</v>
      </c>
      <c r="S14" s="94"/>
      <c r="T14" s="94"/>
      <c r="U14" s="91">
        <f>SF.LLS/NbreLLS</f>
        <v>74.957142857142856</v>
      </c>
      <c r="V14" s="541">
        <f>SUM(V8:V12)</f>
        <v>35</v>
      </c>
      <c r="W14" s="542">
        <f>SUM(W8:W12)</f>
        <v>35</v>
      </c>
      <c r="X14" s="97">
        <f t="shared" ref="X14:AG14" si="12">SUM(X8:X13)</f>
        <v>2186</v>
      </c>
      <c r="Y14" s="98">
        <f t="shared" si="12"/>
        <v>0</v>
      </c>
      <c r="Z14" s="98">
        <f t="shared" si="12"/>
        <v>2186</v>
      </c>
      <c r="AA14" s="98">
        <f t="shared" si="12"/>
        <v>437.5</v>
      </c>
      <c r="AB14" s="98">
        <f t="shared" si="12"/>
        <v>0</v>
      </c>
      <c r="AC14" s="99">
        <f t="shared" si="12"/>
        <v>2623.5</v>
      </c>
      <c r="AD14" s="548">
        <f t="shared" si="12"/>
        <v>1</v>
      </c>
      <c r="AE14" s="548">
        <f t="shared" si="12"/>
        <v>0</v>
      </c>
      <c r="AF14" s="548">
        <f t="shared" si="12"/>
        <v>0</v>
      </c>
      <c r="AG14" s="548">
        <f t="shared" si="12"/>
        <v>2186</v>
      </c>
      <c r="AH14"/>
    </row>
    <row r="15" spans="1:34" ht="15.95" customHeight="1" thickBot="1">
      <c r="A15" s="101"/>
      <c r="B15" s="102"/>
      <c r="C15" s="103"/>
      <c r="D15" s="103"/>
      <c r="E15" s="104"/>
      <c r="F15" s="103"/>
      <c r="G15" s="427"/>
      <c r="H15" s="104"/>
      <c r="I15" s="104"/>
      <c r="J15" s="104"/>
      <c r="K15" s="105"/>
      <c r="L15" s="105"/>
      <c r="M15" s="105"/>
      <c r="N15" s="105"/>
      <c r="O15" s="105"/>
      <c r="P15" s="105"/>
      <c r="Q15" s="104"/>
      <c r="R15" s="106"/>
      <c r="S15" s="107"/>
      <c r="T15" s="108"/>
      <c r="U15" s="106"/>
      <c r="V15" s="106"/>
      <c r="W15" s="109"/>
      <c r="X15" s="104"/>
      <c r="Y15" s="104"/>
      <c r="Z15" s="104"/>
      <c r="AA15" s="104"/>
      <c r="AB15" s="104"/>
      <c r="AC15" s="110">
        <f>SF.LLS-SU.LLS-AA14-AB14</f>
        <v>0</v>
      </c>
      <c r="AH15"/>
    </row>
    <row r="16" spans="1:34" ht="15.95" customHeight="1">
      <c r="A16" s="48"/>
      <c r="B16" s="111"/>
      <c r="C16" s="50"/>
      <c r="D16" s="51" t="s">
        <v>166</v>
      </c>
      <c r="E16" s="52"/>
      <c r="F16" s="52"/>
      <c r="G16" s="64"/>
      <c r="H16" s="533"/>
      <c r="I16" s="534"/>
      <c r="J16" s="50"/>
      <c r="K16" s="56"/>
      <c r="L16" s="56"/>
      <c r="M16" s="57" t="s">
        <v>46</v>
      </c>
      <c r="N16" s="56"/>
      <c r="O16" s="56"/>
      <c r="P16" s="112" t="s">
        <v>46</v>
      </c>
      <c r="Q16" s="54"/>
      <c r="R16" s="113"/>
      <c r="S16" s="114"/>
      <c r="T16" s="115"/>
      <c r="U16" s="61"/>
      <c r="V16" s="543"/>
      <c r="W16" s="544"/>
      <c r="X16" s="55"/>
      <c r="Y16" s="55"/>
      <c r="Z16" s="55"/>
      <c r="AA16" s="64"/>
      <c r="AB16" s="64"/>
      <c r="AC16" s="61"/>
      <c r="AD16" t="s">
        <v>142</v>
      </c>
      <c r="AE16" t="s">
        <v>143</v>
      </c>
      <c r="AF16" t="s">
        <v>144</v>
      </c>
      <c r="AG16" t="s">
        <v>24</v>
      </c>
      <c r="AH16"/>
    </row>
    <row r="17" spans="1:34" ht="15.95" customHeight="1" outlineLevel="1">
      <c r="A17" s="443" t="s">
        <v>130</v>
      </c>
      <c r="B17" s="444" t="s">
        <v>128</v>
      </c>
      <c r="C17" s="445" t="s">
        <v>151</v>
      </c>
      <c r="D17" s="444" t="s">
        <v>129</v>
      </c>
      <c r="E17" s="446"/>
      <c r="F17" s="447"/>
      <c r="G17" s="448"/>
      <c r="H17" s="459">
        <v>30</v>
      </c>
      <c r="I17" s="447"/>
      <c r="J17" s="449">
        <f t="shared" ref="J17:J21" si="13">H17+I17</f>
        <v>30</v>
      </c>
      <c r="K17" s="450"/>
      <c r="L17" s="450"/>
      <c r="M17" s="451">
        <f t="shared" ref="M17:M21" si="14">K17+L17</f>
        <v>0</v>
      </c>
      <c r="N17" s="578">
        <v>25</v>
      </c>
      <c r="O17" s="579"/>
      <c r="P17" s="451">
        <v>25</v>
      </c>
      <c r="Q17" s="452">
        <f t="shared" ref="Q17:Q21" si="15">M17*$Q$7</f>
        <v>0</v>
      </c>
      <c r="R17" s="453">
        <f t="shared" ref="R17:R21" si="16">J17+Q17</f>
        <v>30</v>
      </c>
      <c r="S17" s="454">
        <f t="shared" ref="S17:S21" si="17">P17*$S$7</f>
        <v>12.5</v>
      </c>
      <c r="T17" s="455">
        <f t="shared" ref="T17:T21" si="18">IF(S.LCR=0,0,S.LCR/Nbre*$T$7)</f>
        <v>0</v>
      </c>
      <c r="U17" s="456">
        <f t="shared" ref="U17:U21" si="19">J17+Q17+S17+T17</f>
        <v>42.5</v>
      </c>
      <c r="V17" s="460">
        <v>4</v>
      </c>
      <c r="W17" s="461">
        <f t="shared" ref="W17:W21" si="20">V17</f>
        <v>4</v>
      </c>
      <c r="X17" s="457">
        <f t="shared" ref="X17:X21" si="21">J17*$V17</f>
        <v>120</v>
      </c>
      <c r="Y17" s="457">
        <f t="shared" ref="Y17:AC21" si="22">Q17*$V17</f>
        <v>0</v>
      </c>
      <c r="Z17" s="457">
        <f t="shared" si="22"/>
        <v>120</v>
      </c>
      <c r="AA17" s="457">
        <f t="shared" si="22"/>
        <v>50</v>
      </c>
      <c r="AB17" s="457">
        <f t="shared" si="22"/>
        <v>0</v>
      </c>
      <c r="AC17" s="458">
        <f t="shared" si="22"/>
        <v>170</v>
      </c>
      <c r="AD17" s="547"/>
      <c r="AE17" s="547"/>
      <c r="AG17">
        <f t="shared" ref="AG17:AG21" si="23">U17*V17</f>
        <v>170</v>
      </c>
      <c r="AH17"/>
    </row>
    <row r="18" spans="1:34" ht="15.95" customHeight="1" outlineLevel="1">
      <c r="A18" s="462" t="s">
        <v>48</v>
      </c>
      <c r="B18" s="463" t="s">
        <v>152</v>
      </c>
      <c r="C18" s="464" t="s">
        <v>158</v>
      </c>
      <c r="D18" s="463" t="s">
        <v>50</v>
      </c>
      <c r="E18" s="465"/>
      <c r="F18" s="466"/>
      <c r="G18" s="467"/>
      <c r="H18" s="531">
        <v>46</v>
      </c>
      <c r="I18" s="466"/>
      <c r="J18" s="468">
        <f t="shared" si="13"/>
        <v>46</v>
      </c>
      <c r="K18" s="469"/>
      <c r="L18" s="469"/>
      <c r="M18" s="470">
        <f t="shared" si="14"/>
        <v>0</v>
      </c>
      <c r="N18" s="578">
        <v>25</v>
      </c>
      <c r="O18" s="579"/>
      <c r="P18" s="470">
        <v>25</v>
      </c>
      <c r="Q18" s="471">
        <f t="shared" si="15"/>
        <v>0</v>
      </c>
      <c r="R18" s="472">
        <f t="shared" si="16"/>
        <v>46</v>
      </c>
      <c r="S18" s="473">
        <f t="shared" si="17"/>
        <v>12.5</v>
      </c>
      <c r="T18" s="474">
        <f t="shared" si="18"/>
        <v>0</v>
      </c>
      <c r="U18" s="475">
        <f t="shared" si="19"/>
        <v>58.5</v>
      </c>
      <c r="V18" s="535">
        <v>7</v>
      </c>
      <c r="W18" s="545">
        <f t="shared" si="20"/>
        <v>7</v>
      </c>
      <c r="X18" s="476">
        <f t="shared" si="21"/>
        <v>322</v>
      </c>
      <c r="Y18" s="476">
        <f t="shared" si="22"/>
        <v>0</v>
      </c>
      <c r="Z18" s="476">
        <f t="shared" si="22"/>
        <v>322</v>
      </c>
      <c r="AA18" s="476">
        <f t="shared" si="22"/>
        <v>87.5</v>
      </c>
      <c r="AB18" s="476">
        <f t="shared" si="22"/>
        <v>0</v>
      </c>
      <c r="AC18" s="477">
        <f t="shared" si="22"/>
        <v>409.5</v>
      </c>
      <c r="AD18" s="547"/>
      <c r="AE18" s="547"/>
      <c r="AG18">
        <f t="shared" si="23"/>
        <v>409.5</v>
      </c>
      <c r="AH18"/>
    </row>
    <row r="19" spans="1:34" ht="15.95" customHeight="1" outlineLevel="1">
      <c r="A19" s="478" t="s">
        <v>51</v>
      </c>
      <c r="B19" s="479" t="s">
        <v>153</v>
      </c>
      <c r="C19" s="480" t="s">
        <v>159</v>
      </c>
      <c r="D19" s="479" t="s">
        <v>53</v>
      </c>
      <c r="E19" s="481"/>
      <c r="F19" s="482"/>
      <c r="G19" s="483"/>
      <c r="H19" s="494">
        <v>66</v>
      </c>
      <c r="I19" s="482"/>
      <c r="J19" s="484">
        <f t="shared" si="13"/>
        <v>66</v>
      </c>
      <c r="K19" s="485"/>
      <c r="L19" s="485"/>
      <c r="M19" s="486">
        <f t="shared" si="14"/>
        <v>0</v>
      </c>
      <c r="N19" s="578">
        <v>25</v>
      </c>
      <c r="O19" s="579"/>
      <c r="P19" s="486">
        <v>25</v>
      </c>
      <c r="Q19" s="487">
        <f t="shared" si="15"/>
        <v>0</v>
      </c>
      <c r="R19" s="488">
        <f t="shared" si="16"/>
        <v>66</v>
      </c>
      <c r="S19" s="489">
        <f t="shared" si="17"/>
        <v>12.5</v>
      </c>
      <c r="T19" s="490">
        <f t="shared" si="18"/>
        <v>0</v>
      </c>
      <c r="U19" s="491">
        <f t="shared" si="19"/>
        <v>78.5</v>
      </c>
      <c r="V19" s="537">
        <v>11</v>
      </c>
      <c r="W19" s="495">
        <f t="shared" si="20"/>
        <v>11</v>
      </c>
      <c r="X19" s="492">
        <f t="shared" si="21"/>
        <v>726</v>
      </c>
      <c r="Y19" s="492">
        <f t="shared" si="22"/>
        <v>0</v>
      </c>
      <c r="Z19" s="492">
        <f t="shared" si="22"/>
        <v>726</v>
      </c>
      <c r="AA19" s="492">
        <f t="shared" si="22"/>
        <v>137.5</v>
      </c>
      <c r="AB19" s="492">
        <f t="shared" si="22"/>
        <v>0</v>
      </c>
      <c r="AC19" s="493">
        <f t="shared" si="22"/>
        <v>863.5</v>
      </c>
      <c r="AD19" s="547"/>
      <c r="AE19" s="547"/>
      <c r="AG19">
        <f t="shared" si="23"/>
        <v>863.5</v>
      </c>
      <c r="AH19"/>
    </row>
    <row r="20" spans="1:34" ht="15.95" customHeight="1" outlineLevel="1">
      <c r="A20" s="496" t="s">
        <v>54</v>
      </c>
      <c r="B20" s="497" t="s">
        <v>154</v>
      </c>
      <c r="C20" s="498" t="s">
        <v>160</v>
      </c>
      <c r="D20" s="497" t="s">
        <v>56</v>
      </c>
      <c r="E20" s="499"/>
      <c r="F20" s="500"/>
      <c r="G20" s="501"/>
      <c r="H20" s="512">
        <v>76</v>
      </c>
      <c r="I20" s="500"/>
      <c r="J20" s="502">
        <f t="shared" si="13"/>
        <v>76</v>
      </c>
      <c r="K20" s="503"/>
      <c r="L20" s="503"/>
      <c r="M20" s="504">
        <f t="shared" si="14"/>
        <v>0</v>
      </c>
      <c r="N20" s="578">
        <v>25</v>
      </c>
      <c r="O20" s="579"/>
      <c r="P20" s="504">
        <v>25</v>
      </c>
      <c r="Q20" s="505">
        <f t="shared" si="15"/>
        <v>0</v>
      </c>
      <c r="R20" s="506">
        <f t="shared" si="16"/>
        <v>76</v>
      </c>
      <c r="S20" s="507">
        <f t="shared" si="17"/>
        <v>12.5</v>
      </c>
      <c r="T20" s="508">
        <f t="shared" si="18"/>
        <v>0</v>
      </c>
      <c r="U20" s="509">
        <f t="shared" si="19"/>
        <v>88.5</v>
      </c>
      <c r="V20" s="539">
        <v>10</v>
      </c>
      <c r="W20" s="513">
        <f t="shared" si="20"/>
        <v>10</v>
      </c>
      <c r="X20" s="510">
        <f t="shared" si="21"/>
        <v>760</v>
      </c>
      <c r="Y20" s="510">
        <f t="shared" si="22"/>
        <v>0</v>
      </c>
      <c r="Z20" s="510">
        <f t="shared" si="22"/>
        <v>760</v>
      </c>
      <c r="AA20" s="510">
        <f t="shared" si="22"/>
        <v>125</v>
      </c>
      <c r="AB20" s="510">
        <f t="shared" si="22"/>
        <v>0</v>
      </c>
      <c r="AC20" s="511">
        <f t="shared" si="22"/>
        <v>885</v>
      </c>
      <c r="AD20" s="547"/>
      <c r="AE20" s="547"/>
      <c r="AG20">
        <f t="shared" si="23"/>
        <v>885</v>
      </c>
      <c r="AH20"/>
    </row>
    <row r="21" spans="1:34" ht="15.95" customHeight="1" outlineLevel="1">
      <c r="A21" s="514" t="s">
        <v>136</v>
      </c>
      <c r="B21" s="515" t="s">
        <v>157</v>
      </c>
      <c r="C21" s="516" t="s">
        <v>161</v>
      </c>
      <c r="D21" s="515" t="s">
        <v>58</v>
      </c>
      <c r="E21" s="529"/>
      <c r="F21" s="617"/>
      <c r="G21" s="521"/>
      <c r="H21" s="530">
        <v>86</v>
      </c>
      <c r="I21" s="520"/>
      <c r="J21" s="517">
        <f t="shared" si="13"/>
        <v>86</v>
      </c>
      <c r="K21" s="518"/>
      <c r="L21" s="518"/>
      <c r="M21" s="519">
        <f t="shared" si="14"/>
        <v>0</v>
      </c>
      <c r="N21" s="554">
        <v>25</v>
      </c>
      <c r="O21" s="588"/>
      <c r="P21" s="519">
        <v>25</v>
      </c>
      <c r="Q21" s="522">
        <f t="shared" si="15"/>
        <v>0</v>
      </c>
      <c r="R21" s="523">
        <f t="shared" si="16"/>
        <v>86</v>
      </c>
      <c r="S21" s="524">
        <f t="shared" si="17"/>
        <v>12.5</v>
      </c>
      <c r="T21" s="525">
        <f t="shared" si="18"/>
        <v>0</v>
      </c>
      <c r="U21" s="526">
        <f t="shared" si="19"/>
        <v>98.5</v>
      </c>
      <c r="V21" s="618">
        <v>3</v>
      </c>
      <c r="W21" s="619">
        <f t="shared" si="20"/>
        <v>3</v>
      </c>
      <c r="X21" s="527">
        <f t="shared" si="21"/>
        <v>258</v>
      </c>
      <c r="Y21" s="527">
        <f t="shared" si="22"/>
        <v>0</v>
      </c>
      <c r="Z21" s="527">
        <f t="shared" si="22"/>
        <v>258</v>
      </c>
      <c r="AA21" s="527">
        <f>S21*$V21</f>
        <v>37.5</v>
      </c>
      <c r="AB21" s="527">
        <f t="shared" si="22"/>
        <v>0</v>
      </c>
      <c r="AC21" s="528">
        <f t="shared" si="22"/>
        <v>295.5</v>
      </c>
      <c r="AD21" s="547"/>
      <c r="AE21" s="547"/>
      <c r="AG21">
        <f t="shared" si="23"/>
        <v>295.5</v>
      </c>
      <c r="AH21"/>
    </row>
    <row r="22" spans="1:34" ht="15.95" customHeight="1" thickBot="1">
      <c r="A22" s="621" t="s">
        <v>116</v>
      </c>
      <c r="B22" s="622"/>
      <c r="C22" s="87"/>
      <c r="D22" s="88"/>
      <c r="E22" s="89"/>
      <c r="F22" s="88"/>
      <c r="G22" s="88"/>
      <c r="H22" s="90"/>
      <c r="I22" s="90"/>
      <c r="J22" s="91">
        <f>SH.LLTS/NbreLLTS</f>
        <v>62.457142857142856</v>
      </c>
      <c r="K22" s="92"/>
      <c r="L22" s="92"/>
      <c r="M22" s="92"/>
      <c r="N22" s="92"/>
      <c r="O22" s="92"/>
      <c r="P22" s="92"/>
      <c r="Q22" s="90"/>
      <c r="R22" s="93">
        <f>SU.LLTS/NbreLLTS</f>
        <v>62.457142857142856</v>
      </c>
      <c r="S22" s="94"/>
      <c r="T22" s="94"/>
      <c r="U22" s="91">
        <f>SF.LLTS/NbreLLTS</f>
        <v>74.957142857142856</v>
      </c>
      <c r="V22" s="95">
        <f t="shared" ref="V22:AC22" si="24">SUM(V17:V21)</f>
        <v>35</v>
      </c>
      <c r="W22" s="96">
        <f t="shared" si="24"/>
        <v>35</v>
      </c>
      <c r="X22" s="97">
        <f t="shared" si="24"/>
        <v>2186</v>
      </c>
      <c r="Y22" s="98">
        <f t="shared" si="24"/>
        <v>0</v>
      </c>
      <c r="Z22" s="98">
        <f t="shared" si="24"/>
        <v>2186</v>
      </c>
      <c r="AA22" s="98">
        <f t="shared" si="24"/>
        <v>437.5</v>
      </c>
      <c r="AB22" s="98">
        <f t="shared" si="24"/>
        <v>0</v>
      </c>
      <c r="AC22" s="99">
        <f t="shared" si="24"/>
        <v>2623.5</v>
      </c>
      <c r="AD22" s="548">
        <f>(SF.LLS-SF.LLTS)*2</f>
        <v>0</v>
      </c>
      <c r="AE22" s="548">
        <f>SUM(AE17:AE21)</f>
        <v>0</v>
      </c>
      <c r="AF22" s="548">
        <f>SUM(AF17:AF21)</f>
        <v>0</v>
      </c>
      <c r="AG22" s="548">
        <f>SUM(AG17:AG21)</f>
        <v>2623.5</v>
      </c>
      <c r="AH22"/>
    </row>
    <row r="23" spans="1:34" ht="15.95" customHeight="1" thickBot="1">
      <c r="A23" s="101"/>
      <c r="B23" s="102"/>
      <c r="C23" s="103"/>
      <c r="D23" s="103"/>
      <c r="E23" s="104"/>
      <c r="F23" s="103"/>
      <c r="G23" s="427"/>
      <c r="H23" s="104"/>
      <c r="I23" s="104"/>
      <c r="J23" s="104"/>
      <c r="K23" s="116"/>
      <c r="L23" s="116"/>
      <c r="M23" s="116"/>
      <c r="N23" s="116"/>
      <c r="O23" s="116"/>
      <c r="P23" s="116"/>
      <c r="Q23" s="104"/>
      <c r="R23" s="106"/>
      <c r="S23" s="104"/>
      <c r="T23" s="104"/>
      <c r="U23" s="106"/>
      <c r="V23" s="106"/>
      <c r="W23" s="109"/>
      <c r="X23" s="104"/>
      <c r="Y23" s="104"/>
      <c r="Z23" s="104"/>
      <c r="AA23" s="104"/>
      <c r="AB23" s="104"/>
      <c r="AC23" s="110">
        <f>SF.LLTS-SU.LLTS-AA22-AB22</f>
        <v>0</v>
      </c>
      <c r="AD23">
        <f>35*12.5</f>
        <v>437.5</v>
      </c>
      <c r="AH23"/>
    </row>
    <row r="24" spans="1:34" ht="15.95" customHeight="1">
      <c r="A24" s="48"/>
      <c r="B24" s="111"/>
      <c r="C24" s="50"/>
      <c r="D24" s="51" t="s">
        <v>59</v>
      </c>
      <c r="E24" s="52"/>
      <c r="F24" s="52"/>
      <c r="G24" s="21"/>
      <c r="H24" s="411"/>
      <c r="I24" s="54"/>
      <c r="J24" s="50"/>
      <c r="K24" s="56"/>
      <c r="L24" s="56"/>
      <c r="M24" s="57" t="s">
        <v>46</v>
      </c>
      <c r="N24" s="56"/>
      <c r="O24" s="56"/>
      <c r="P24" s="112" t="s">
        <v>46</v>
      </c>
      <c r="Q24" s="54"/>
      <c r="R24" s="113"/>
      <c r="S24" s="114"/>
      <c r="T24" s="115"/>
      <c r="U24" s="61"/>
      <c r="V24" s="62"/>
      <c r="W24" s="63"/>
      <c r="X24" s="55"/>
      <c r="Y24" s="55"/>
      <c r="Z24" s="55"/>
      <c r="AA24" s="64"/>
      <c r="AB24" s="64"/>
      <c r="AC24" s="61"/>
      <c r="AH24"/>
    </row>
    <row r="25" spans="1:34" ht="15.95" hidden="1" customHeight="1" outlineLevel="1">
      <c r="A25" s="65" t="s">
        <v>60</v>
      </c>
      <c r="B25" s="66"/>
      <c r="C25" s="67"/>
      <c r="D25" s="68"/>
      <c r="E25" s="69"/>
      <c r="F25" s="70"/>
      <c r="G25" s="426"/>
      <c r="H25" s="71"/>
      <c r="I25" s="72"/>
      <c r="J25" s="73">
        <f>H25+I25</f>
        <v>0</v>
      </c>
      <c r="K25" s="74"/>
      <c r="L25" s="74"/>
      <c r="M25" s="75">
        <f>K25+L25</f>
        <v>0</v>
      </c>
      <c r="N25" s="76"/>
      <c r="O25" s="77"/>
      <c r="P25" s="75">
        <f>N25+O25</f>
        <v>0</v>
      </c>
      <c r="Q25" s="78">
        <f>M25*$Q$7</f>
        <v>0</v>
      </c>
      <c r="R25" s="79">
        <f>J25+Q25</f>
        <v>0</v>
      </c>
      <c r="S25" s="80">
        <f>P25*$S$7</f>
        <v>0</v>
      </c>
      <c r="T25" s="81">
        <v>0</v>
      </c>
      <c r="U25" s="82">
        <f>J25+Q25+S25+T25</f>
        <v>0</v>
      </c>
      <c r="V25" s="83"/>
      <c r="W25" s="84"/>
      <c r="X25" s="85">
        <f>J25*$V25</f>
        <v>0</v>
      </c>
      <c r="Y25" s="85">
        <f t="shared" ref="Y25:AC28" si="25">Q25*$V25</f>
        <v>0</v>
      </c>
      <c r="Z25" s="85">
        <f t="shared" si="25"/>
        <v>0</v>
      </c>
      <c r="AA25" s="85">
        <f t="shared" si="25"/>
        <v>0</v>
      </c>
      <c r="AB25" s="85">
        <f t="shared" si="25"/>
        <v>0</v>
      </c>
      <c r="AC25" s="86">
        <f t="shared" si="25"/>
        <v>0</v>
      </c>
      <c r="AH25"/>
    </row>
    <row r="26" spans="1:34" ht="15.95" hidden="1" customHeight="1" outlineLevel="1">
      <c r="A26" s="65" t="s">
        <v>61</v>
      </c>
      <c r="B26" s="66"/>
      <c r="C26" s="67"/>
      <c r="D26" s="68"/>
      <c r="E26" s="69"/>
      <c r="F26" s="70"/>
      <c r="G26" s="426"/>
      <c r="H26" s="71"/>
      <c r="I26" s="72"/>
      <c r="J26" s="73">
        <f>H26+I26</f>
        <v>0</v>
      </c>
      <c r="K26" s="74"/>
      <c r="L26" s="74"/>
      <c r="M26" s="75">
        <f>K26+L26</f>
        <v>0</v>
      </c>
      <c r="N26" s="76"/>
      <c r="O26" s="77"/>
      <c r="P26" s="75">
        <f>N26+O26</f>
        <v>0</v>
      </c>
      <c r="Q26" s="78">
        <f>M26*$Q$7</f>
        <v>0</v>
      </c>
      <c r="R26" s="79">
        <f>J26+Q26</f>
        <v>0</v>
      </c>
      <c r="S26" s="80">
        <f>P26*$S$7</f>
        <v>0</v>
      </c>
      <c r="T26" s="81">
        <v>0</v>
      </c>
      <c r="U26" s="82">
        <f>J26+Q26+S26+T26</f>
        <v>0</v>
      </c>
      <c r="V26" s="83"/>
      <c r="W26" s="84"/>
      <c r="X26" s="85">
        <f>J26*$V26</f>
        <v>0</v>
      </c>
      <c r="Y26" s="85">
        <f t="shared" si="25"/>
        <v>0</v>
      </c>
      <c r="Z26" s="85">
        <f t="shared" si="25"/>
        <v>0</v>
      </c>
      <c r="AA26" s="85">
        <f t="shared" si="25"/>
        <v>0</v>
      </c>
      <c r="AB26" s="85">
        <f t="shared" si="25"/>
        <v>0</v>
      </c>
      <c r="AC26" s="86">
        <f t="shared" si="25"/>
        <v>0</v>
      </c>
      <c r="AH26"/>
    </row>
    <row r="27" spans="1:34" ht="15.95" hidden="1" customHeight="1" outlineLevel="1">
      <c r="A27" s="65" t="s">
        <v>62</v>
      </c>
      <c r="B27" s="66"/>
      <c r="C27" s="67"/>
      <c r="D27" s="68"/>
      <c r="E27" s="69"/>
      <c r="F27" s="70"/>
      <c r="G27" s="426"/>
      <c r="H27" s="71"/>
      <c r="I27" s="72"/>
      <c r="J27" s="73">
        <f>H27+I27</f>
        <v>0</v>
      </c>
      <c r="K27" s="74"/>
      <c r="L27" s="74"/>
      <c r="M27" s="75">
        <f>K27+L27</f>
        <v>0</v>
      </c>
      <c r="N27" s="76"/>
      <c r="O27" s="77"/>
      <c r="P27" s="75">
        <f>N27+O27</f>
        <v>0</v>
      </c>
      <c r="Q27" s="78">
        <f>M27*$Q$7</f>
        <v>0</v>
      </c>
      <c r="R27" s="79">
        <f>J27+Q27</f>
        <v>0</v>
      </c>
      <c r="S27" s="80">
        <f>P27*$S$7</f>
        <v>0</v>
      </c>
      <c r="T27" s="81">
        <v>0</v>
      </c>
      <c r="U27" s="82">
        <f>J27+Q27+S27+T27</f>
        <v>0</v>
      </c>
      <c r="V27" s="83"/>
      <c r="W27" s="84"/>
      <c r="X27" s="85">
        <f>J27*$V27</f>
        <v>0</v>
      </c>
      <c r="Y27" s="85">
        <f t="shared" si="25"/>
        <v>0</v>
      </c>
      <c r="Z27" s="85">
        <f t="shared" si="25"/>
        <v>0</v>
      </c>
      <c r="AA27" s="85">
        <f t="shared" si="25"/>
        <v>0</v>
      </c>
      <c r="AB27" s="85">
        <f t="shared" si="25"/>
        <v>0</v>
      </c>
      <c r="AC27" s="86">
        <f t="shared" si="25"/>
        <v>0</v>
      </c>
      <c r="AH27"/>
    </row>
    <row r="28" spans="1:34" ht="15.95" hidden="1" customHeight="1" outlineLevel="1">
      <c r="A28" s="65" t="s">
        <v>63</v>
      </c>
      <c r="B28" s="66"/>
      <c r="C28" s="67"/>
      <c r="D28" s="68"/>
      <c r="E28" s="69"/>
      <c r="F28" s="70"/>
      <c r="G28" s="426"/>
      <c r="H28" s="71"/>
      <c r="I28" s="72"/>
      <c r="J28" s="73">
        <f>H28+I28</f>
        <v>0</v>
      </c>
      <c r="K28" s="74"/>
      <c r="L28" s="74"/>
      <c r="M28" s="75">
        <f>K28+L28</f>
        <v>0</v>
      </c>
      <c r="N28" s="76"/>
      <c r="O28" s="77"/>
      <c r="P28" s="75">
        <f>N28+O28</f>
        <v>0</v>
      </c>
      <c r="Q28" s="78">
        <f>M28*$Q$7</f>
        <v>0</v>
      </c>
      <c r="R28" s="79">
        <f>J28+Q28</f>
        <v>0</v>
      </c>
      <c r="S28" s="80">
        <f>P28*$S$7</f>
        <v>0</v>
      </c>
      <c r="T28" s="81">
        <v>0</v>
      </c>
      <c r="U28" s="82">
        <f>J28+Q28+S28+T28</f>
        <v>0</v>
      </c>
      <c r="V28" s="83"/>
      <c r="W28" s="84"/>
      <c r="X28" s="85">
        <f>J28*$V28</f>
        <v>0</v>
      </c>
      <c r="Y28" s="85">
        <f t="shared" si="25"/>
        <v>0</v>
      </c>
      <c r="Z28" s="85">
        <f t="shared" si="25"/>
        <v>0</v>
      </c>
      <c r="AA28" s="85">
        <f t="shared" si="25"/>
        <v>0</v>
      </c>
      <c r="AB28" s="85">
        <f t="shared" si="25"/>
        <v>0</v>
      </c>
      <c r="AC28" s="86">
        <f t="shared" si="25"/>
        <v>0</v>
      </c>
      <c r="AH28"/>
    </row>
    <row r="29" spans="1:34" ht="15.95" customHeight="1" collapsed="1" thickBot="1">
      <c r="A29" s="621" t="s">
        <v>117</v>
      </c>
      <c r="B29" s="622"/>
      <c r="C29" s="87"/>
      <c r="D29" s="88"/>
      <c r="E29" s="89"/>
      <c r="F29" s="88"/>
      <c r="G29" s="88"/>
      <c r="H29" s="90"/>
      <c r="I29" s="90"/>
      <c r="J29" s="91" t="e">
        <f>SH.COMM/NbreCOMM</f>
        <v>#DIV/0!</v>
      </c>
      <c r="K29" s="92"/>
      <c r="L29" s="92"/>
      <c r="M29" s="92"/>
      <c r="N29" s="92"/>
      <c r="O29" s="92"/>
      <c r="P29" s="92"/>
      <c r="Q29" s="90"/>
      <c r="R29" s="93" t="e">
        <f>SU.COMM/NbreCOMM</f>
        <v>#DIV/0!</v>
      </c>
      <c r="S29" s="94"/>
      <c r="T29" s="94"/>
      <c r="U29" s="91" t="e">
        <f>SF.COMM/NbreCOMM</f>
        <v>#DIV/0!</v>
      </c>
      <c r="V29" s="95">
        <f t="shared" ref="V29:AC29" si="26">SUM(V25:V28)</f>
        <v>0</v>
      </c>
      <c r="W29" s="96">
        <f t="shared" si="26"/>
        <v>0</v>
      </c>
      <c r="X29" s="97">
        <f t="shared" si="26"/>
        <v>0</v>
      </c>
      <c r="Y29" s="98">
        <f t="shared" si="26"/>
        <v>0</v>
      </c>
      <c r="Z29" s="98">
        <f t="shared" si="26"/>
        <v>0</v>
      </c>
      <c r="AA29" s="98">
        <f t="shared" si="26"/>
        <v>0</v>
      </c>
      <c r="AB29" s="98">
        <f t="shared" si="26"/>
        <v>0</v>
      </c>
      <c r="AC29" s="99">
        <f t="shared" si="26"/>
        <v>0</v>
      </c>
      <c r="AH29"/>
    </row>
    <row r="30" spans="1:34" ht="15.95" customHeight="1" thickBot="1">
      <c r="A30" s="48"/>
      <c r="B30" s="111"/>
      <c r="C30" s="50"/>
      <c r="D30" s="51"/>
      <c r="E30" s="52"/>
      <c r="F30" s="52"/>
      <c r="G30" s="64"/>
      <c r="H30" s="53"/>
      <c r="I30" s="54"/>
      <c r="J30" s="50"/>
      <c r="K30" s="56"/>
      <c r="L30" s="56"/>
      <c r="M30" s="57"/>
      <c r="N30" s="56"/>
      <c r="O30" s="56"/>
      <c r="P30" s="112"/>
      <c r="Q30" s="54"/>
      <c r="R30" s="113"/>
      <c r="S30" s="114"/>
      <c r="T30" s="115"/>
      <c r="U30" s="61"/>
      <c r="V30" s="62"/>
      <c r="W30" s="63"/>
      <c r="X30" s="55"/>
      <c r="Y30" s="55"/>
      <c r="Z30" s="55"/>
      <c r="AA30" s="64"/>
      <c r="AB30" s="64"/>
      <c r="AC30" s="61"/>
      <c r="AH30"/>
    </row>
    <row r="31" spans="1:34" ht="15.95" customHeight="1" thickBot="1">
      <c r="A31" s="631" t="s">
        <v>118</v>
      </c>
      <c r="B31" s="632"/>
      <c r="C31" s="117"/>
      <c r="D31" s="118"/>
      <c r="E31" s="119"/>
      <c r="F31" s="118"/>
      <c r="G31" s="118"/>
      <c r="H31" s="120"/>
      <c r="I31" s="120"/>
      <c r="J31" s="121">
        <f>SH.T/Nbre</f>
        <v>62.457142857142856</v>
      </c>
      <c r="K31" s="122"/>
      <c r="L31" s="122"/>
      <c r="M31" s="122"/>
      <c r="N31" s="122"/>
      <c r="O31" s="122"/>
      <c r="P31" s="122"/>
      <c r="Q31" s="121"/>
      <c r="R31" s="121">
        <f>SU.T/Nbre</f>
        <v>62.457142857142856</v>
      </c>
      <c r="S31" s="121"/>
      <c r="T31" s="121"/>
      <c r="U31" s="123">
        <f>SF.T/Nbre</f>
        <v>74.957142857142856</v>
      </c>
      <c r="V31" s="124">
        <f t="shared" ref="V31:AB31" si="27">V14+V22+V29</f>
        <v>70</v>
      </c>
      <c r="W31" s="124">
        <f t="shared" si="27"/>
        <v>70</v>
      </c>
      <c r="X31" s="124">
        <f t="shared" si="27"/>
        <v>4372</v>
      </c>
      <c r="Y31" s="124">
        <f t="shared" si="27"/>
        <v>0</v>
      </c>
      <c r="Z31" s="124">
        <f t="shared" si="27"/>
        <v>4372</v>
      </c>
      <c r="AA31" s="124">
        <f t="shared" si="27"/>
        <v>875</v>
      </c>
      <c r="AB31" s="124">
        <f t="shared" si="27"/>
        <v>0</v>
      </c>
      <c r="AC31" s="419">
        <f>SF.LLS+SF.LLTS+SF.COMM</f>
        <v>5247</v>
      </c>
      <c r="AH31"/>
    </row>
    <row r="32" spans="1:34" ht="15.95" customHeight="1">
      <c r="A32" s="125"/>
      <c r="B32" s="126"/>
      <c r="C32" s="127"/>
      <c r="D32" s="128"/>
      <c r="E32" s="129"/>
      <c r="F32" s="128"/>
      <c r="G32" s="130"/>
      <c r="H32" s="130"/>
      <c r="I32" s="130"/>
      <c r="J32" s="130"/>
      <c r="K32" s="131"/>
      <c r="L32" s="131"/>
      <c r="M32" s="131"/>
      <c r="N32" s="131"/>
      <c r="O32" s="131"/>
      <c r="P32" s="131"/>
      <c r="Q32" s="130"/>
      <c r="R32" s="132"/>
      <c r="T32" s="134"/>
      <c r="U32" s="633" t="s">
        <v>11</v>
      </c>
      <c r="V32" s="128" t="s">
        <v>1</v>
      </c>
      <c r="W32" s="135">
        <f>W14</f>
        <v>35</v>
      </c>
      <c r="X32" s="130"/>
      <c r="Y32" s="136" t="s">
        <v>7</v>
      </c>
      <c r="Z32" s="137" t="s">
        <v>64</v>
      </c>
      <c r="AA32" s="138"/>
      <c r="AB32" s="139" t="s">
        <v>65</v>
      </c>
      <c r="AC32" s="140"/>
      <c r="AH32"/>
    </row>
    <row r="33" spans="1:35" ht="15.95" customHeight="1">
      <c r="A33" s="125"/>
      <c r="B33" s="126"/>
      <c r="C33" s="127"/>
      <c r="D33" s="128"/>
      <c r="E33" s="129"/>
      <c r="F33" s="129"/>
      <c r="G33" s="130"/>
      <c r="H33" s="130"/>
      <c r="I33" s="130"/>
      <c r="J33" s="130"/>
      <c r="K33" s="131"/>
      <c r="L33" s="131"/>
      <c r="M33" s="131"/>
      <c r="N33" s="131"/>
      <c r="O33" s="131"/>
      <c r="P33" s="131"/>
      <c r="Q33" s="130"/>
      <c r="R33" s="129"/>
      <c r="T33" s="134"/>
      <c r="U33" s="634"/>
      <c r="V33" s="128" t="s">
        <v>2</v>
      </c>
      <c r="W33" s="141">
        <f>W22</f>
        <v>35</v>
      </c>
      <c r="X33" s="130"/>
      <c r="Y33" s="142"/>
      <c r="Z33" s="143" t="s">
        <v>8</v>
      </c>
      <c r="AA33" s="144">
        <f>AA32-AB31*2</f>
        <v>0</v>
      </c>
      <c r="AB33" s="145" t="s">
        <v>121</v>
      </c>
      <c r="AC33" s="146"/>
      <c r="AH33"/>
    </row>
    <row r="34" spans="1:35" ht="15.95" customHeight="1">
      <c r="A34" s="26" t="s">
        <v>66</v>
      </c>
      <c r="B34" s="27" t="s">
        <v>67</v>
      </c>
      <c r="C34" s="27" t="s">
        <v>68</v>
      </c>
      <c r="D34" s="27">
        <v>2018</v>
      </c>
      <c r="E34" s="27"/>
      <c r="F34" s="147"/>
      <c r="G34" s="147" t="s">
        <v>69</v>
      </c>
      <c r="H34" s="148"/>
      <c r="I34" s="149"/>
      <c r="J34" s="149"/>
      <c r="K34" s="28"/>
      <c r="L34" s="28"/>
      <c r="M34" s="28"/>
      <c r="N34" s="28"/>
      <c r="O34" s="28"/>
      <c r="P34" s="28"/>
      <c r="Q34" s="28"/>
      <c r="R34" s="147"/>
      <c r="S34" s="147"/>
      <c r="T34" s="147"/>
      <c r="U34" s="28"/>
      <c r="V34" s="147" t="s">
        <v>70</v>
      </c>
      <c r="W34" s="148"/>
      <c r="X34" s="147"/>
      <c r="Y34" s="147"/>
      <c r="Z34" s="147"/>
      <c r="AA34" s="147"/>
      <c r="AB34" s="28"/>
      <c r="AC34" s="150"/>
      <c r="AH34"/>
    </row>
    <row r="35" spans="1:35" ht="15.95" customHeight="1">
      <c r="A35" s="151" t="s">
        <v>71</v>
      </c>
      <c r="B35" s="152" t="s">
        <v>119</v>
      </c>
      <c r="C35" s="152"/>
      <c r="E35" s="635" t="s">
        <v>72</v>
      </c>
      <c r="F35" s="154" t="s">
        <v>0</v>
      </c>
      <c r="G35" s="155" t="s">
        <v>24</v>
      </c>
      <c r="H35" s="635" t="s">
        <v>73</v>
      </c>
      <c r="I35" s="156" t="s">
        <v>24</v>
      </c>
      <c r="J35" s="156"/>
      <c r="K35" s="157"/>
      <c r="L35" s="157"/>
      <c r="M35" s="157"/>
      <c r="N35" s="157"/>
      <c r="O35" s="157"/>
      <c r="P35" s="157"/>
      <c r="Q35" s="635" t="s">
        <v>10</v>
      </c>
      <c r="R35" s="158" t="s">
        <v>0</v>
      </c>
      <c r="S35" s="155" t="s">
        <v>24</v>
      </c>
      <c r="T35" s="635" t="s">
        <v>11</v>
      </c>
      <c r="U35" s="159" t="s">
        <v>0</v>
      </c>
      <c r="V35" s="21"/>
      <c r="X35" s="161" t="s">
        <v>1</v>
      </c>
      <c r="Y35" s="161" t="s">
        <v>2</v>
      </c>
      <c r="Z35" s="161" t="s">
        <v>59</v>
      </c>
      <c r="AA35" s="425" t="s">
        <v>5</v>
      </c>
      <c r="AB35" s="21"/>
      <c r="AC35" s="162"/>
      <c r="AH35"/>
      <c r="AI35"/>
    </row>
    <row r="36" spans="1:35" ht="15.95" customHeight="1">
      <c r="A36" s="412">
        <v>42736</v>
      </c>
      <c r="B36" s="413" t="s">
        <v>141</v>
      </c>
      <c r="C36" s="414">
        <v>1618.5</v>
      </c>
      <c r="D36" s="415">
        <v>2017</v>
      </c>
      <c r="E36" s="636"/>
      <c r="F36" s="163">
        <v>36695</v>
      </c>
      <c r="G36" s="164">
        <v>1166</v>
      </c>
      <c r="H36" s="636"/>
      <c r="I36" s="165">
        <v>150</v>
      </c>
      <c r="J36" s="429"/>
      <c r="K36" s="157"/>
      <c r="L36" s="157"/>
      <c r="M36" s="157"/>
      <c r="N36" s="157"/>
      <c r="O36" s="157"/>
      <c r="P36" s="157"/>
      <c r="Q36" s="636"/>
      <c r="R36" s="417">
        <v>32605</v>
      </c>
      <c r="S36" s="417">
        <v>1037</v>
      </c>
      <c r="T36" s="636"/>
      <c r="U36" s="417">
        <v>2691</v>
      </c>
      <c r="V36" s="166"/>
      <c r="W36" s="166" t="s">
        <v>10</v>
      </c>
      <c r="X36" s="167">
        <f>($R$37*NbreLLS)+($S$37*SF.LLS)</f>
        <v>3939413</v>
      </c>
      <c r="Y36" s="167">
        <f>($R$37*NbreLLTS)+($S$37*SF.LLTS)</f>
        <v>3939413</v>
      </c>
      <c r="Z36" s="167"/>
      <c r="AA36" s="167">
        <f>X36+Y36+Z36</f>
        <v>7878826</v>
      </c>
      <c r="AB36" s="168"/>
      <c r="AC36" s="169"/>
      <c r="AH36"/>
      <c r="AI36"/>
    </row>
    <row r="37" spans="1:35" ht="15.95" customHeight="1">
      <c r="A37" s="412">
        <v>43101</v>
      </c>
      <c r="B37" s="413" t="s">
        <v>146</v>
      </c>
      <c r="C37" s="414">
        <v>1650.5</v>
      </c>
      <c r="D37" s="415">
        <v>2018</v>
      </c>
      <c r="E37" s="637"/>
      <c r="F37" s="170">
        <f>F36*$C$38</f>
        <v>37420.511275872719</v>
      </c>
      <c r="G37" s="170">
        <f>G36*$C$38</f>
        <v>1189.0534445474204</v>
      </c>
      <c r="H37" s="637"/>
      <c r="I37" s="170">
        <v>150</v>
      </c>
      <c r="J37" s="430"/>
      <c r="K37" s="157"/>
      <c r="L37" s="157"/>
      <c r="M37" s="157"/>
      <c r="N37" s="157"/>
      <c r="O37" s="157"/>
      <c r="P37" s="157"/>
      <c r="Q37" s="636"/>
      <c r="R37" s="418">
        <v>33250</v>
      </c>
      <c r="S37" s="418">
        <v>1058</v>
      </c>
      <c r="T37" s="637"/>
      <c r="U37" s="418">
        <v>2744</v>
      </c>
      <c r="V37" s="171"/>
      <c r="W37" s="171" t="s">
        <v>11</v>
      </c>
      <c r="X37" s="167">
        <f>($W$32*$U$37)</f>
        <v>96040</v>
      </c>
      <c r="Y37" s="167">
        <f>($W$33*$U$37)</f>
        <v>96040</v>
      </c>
      <c r="Z37" s="167"/>
      <c r="AA37" s="167">
        <f>X37+Y37+Z37</f>
        <v>192080</v>
      </c>
      <c r="AB37" s="168"/>
      <c r="AC37" s="172"/>
      <c r="AH37"/>
      <c r="AI37"/>
    </row>
    <row r="38" spans="1:35" ht="15.95" customHeight="1">
      <c r="B38" s="424" t="s">
        <v>147</v>
      </c>
      <c r="C38" s="174">
        <f>C37/C36</f>
        <v>1.0197713932653691</v>
      </c>
      <c r="H38"/>
      <c r="K38" s="157"/>
      <c r="L38" s="157"/>
      <c r="M38" s="157"/>
      <c r="N38" s="157"/>
      <c r="O38" s="157"/>
      <c r="P38" s="157"/>
      <c r="Q38" s="637"/>
      <c r="T38" s="175" t="s">
        <v>74</v>
      </c>
      <c r="U38" s="176"/>
      <c r="V38" s="177" t="s">
        <v>75</v>
      </c>
      <c r="W38" s="178" t="s">
        <v>74</v>
      </c>
      <c r="X38" s="167" t="e">
        <f>$U$38*#REF!</f>
        <v>#REF!</v>
      </c>
      <c r="Y38" s="167" t="e">
        <f>$U$38*#REF!</f>
        <v>#REF!</v>
      </c>
      <c r="Z38" s="167"/>
      <c r="AA38" s="167" t="e">
        <f>X38+Y38+Z38</f>
        <v>#REF!</v>
      </c>
      <c r="AC38" s="162"/>
      <c r="AH38"/>
      <c r="AI38"/>
    </row>
    <row r="39" spans="1:35" ht="15.95" customHeight="1">
      <c r="A39" s="133"/>
      <c r="B39" s="152" t="s">
        <v>76</v>
      </c>
      <c r="C39" s="152"/>
      <c r="D39" s="151" t="s">
        <v>77</v>
      </c>
      <c r="F39" s="179"/>
      <c r="G39"/>
      <c r="H39"/>
      <c r="I39" s="180"/>
      <c r="J39" s="180"/>
      <c r="K39" s="157"/>
      <c r="L39" s="157"/>
      <c r="M39" s="157"/>
      <c r="N39" s="157"/>
      <c r="O39" s="157"/>
      <c r="P39" s="157"/>
      <c r="Q39" s="180"/>
      <c r="R39" s="180"/>
      <c r="U39" s="133"/>
      <c r="V39" s="181"/>
      <c r="W39" s="181" t="s">
        <v>78</v>
      </c>
      <c r="X39" s="182"/>
      <c r="Y39" s="182"/>
      <c r="Z39" s="182"/>
      <c r="AA39" s="182">
        <f>X39+Y39</f>
        <v>0</v>
      </c>
      <c r="AC39" s="162"/>
      <c r="AH39"/>
      <c r="AI39"/>
    </row>
    <row r="40" spans="1:35" ht="15.95" customHeight="1">
      <c r="A40" s="183">
        <v>42736</v>
      </c>
      <c r="B40" s="413" t="s">
        <v>141</v>
      </c>
      <c r="C40" s="416">
        <v>125.26</v>
      </c>
      <c r="D40" s="441">
        <v>6.92</v>
      </c>
      <c r="E40" s="179" t="s">
        <v>79</v>
      </c>
      <c r="F40" s="184" t="s">
        <v>1</v>
      </c>
      <c r="G40" s="184" t="s">
        <v>2</v>
      </c>
      <c r="H40" s="425" t="s">
        <v>80</v>
      </c>
      <c r="I40" s="425" t="s">
        <v>5</v>
      </c>
      <c r="J40" s="425"/>
      <c r="K40" s="157"/>
      <c r="L40" s="157"/>
      <c r="M40" s="157"/>
      <c r="N40" s="157"/>
      <c r="O40" s="157"/>
      <c r="P40" s="157"/>
      <c r="Q40" s="160"/>
      <c r="R40" s="180"/>
      <c r="T40" s="635" t="s">
        <v>81</v>
      </c>
      <c r="U40" s="417">
        <v>8780</v>
      </c>
      <c r="V40" s="638" t="s">
        <v>82</v>
      </c>
      <c r="W40" s="639"/>
      <c r="X40" s="185" t="e">
        <f>SUM(X36:X38)</f>
        <v>#REF!</v>
      </c>
      <c r="Y40" s="185" t="e">
        <f>SUM(Y36:Y39)</f>
        <v>#REF!</v>
      </c>
      <c r="Z40" s="185"/>
      <c r="AA40" s="185" t="e">
        <f>X40+Y40</f>
        <v>#REF!</v>
      </c>
      <c r="AC40" s="162"/>
      <c r="AH40"/>
      <c r="AI40"/>
    </row>
    <row r="41" spans="1:35" ht="15.95" customHeight="1">
      <c r="A41" s="183">
        <v>43101</v>
      </c>
      <c r="B41" s="413" t="s">
        <v>146</v>
      </c>
      <c r="C41" s="416">
        <v>126.19</v>
      </c>
      <c r="D41" s="441">
        <v>6.97</v>
      </c>
      <c r="E41" s="425" t="s">
        <v>72</v>
      </c>
      <c r="F41" s="186">
        <f>($F$37*NbreLLS)+($G$37*SF.LLS)</f>
        <v>4429199.6064257026</v>
      </c>
      <c r="G41" s="187">
        <f>($F$37*NbreLLTS)+($G$37*SF.LLTS)</f>
        <v>4429199.6064257026</v>
      </c>
      <c r="H41" s="187">
        <f>($F$37*NbreCOMM)+($G$37*SF.COMM)</f>
        <v>0</v>
      </c>
      <c r="I41" s="188">
        <f>F41+G41+H41</f>
        <v>8858399.2128514051</v>
      </c>
      <c r="J41" s="431"/>
      <c r="K41" s="189"/>
      <c r="L41" s="189"/>
      <c r="M41" s="189"/>
      <c r="N41" s="189"/>
      <c r="O41" s="189"/>
      <c r="P41" s="189"/>
      <c r="Q41" s="160"/>
      <c r="R41" s="190"/>
      <c r="T41" s="637"/>
      <c r="U41" s="418">
        <v>8954</v>
      </c>
      <c r="V41" s="640" t="s">
        <v>83</v>
      </c>
      <c r="W41" s="641"/>
      <c r="X41" s="191">
        <v>0.27</v>
      </c>
      <c r="Y41" s="192">
        <v>0.32500000000000001</v>
      </c>
      <c r="Z41" s="193"/>
      <c r="AA41"/>
      <c r="AC41" s="194"/>
      <c r="AH41"/>
      <c r="AI41"/>
    </row>
    <row r="42" spans="1:35" ht="15" customHeight="1">
      <c r="A42" s="195"/>
      <c r="B42" s="424" t="s">
        <v>147</v>
      </c>
      <c r="C42" s="196">
        <f>C41/C40</f>
        <v>1.0074245569216029</v>
      </c>
      <c r="E42" s="21" t="s">
        <v>84</v>
      </c>
      <c r="F42" s="197">
        <f>F41/SF.LLS</f>
        <v>1688.2788665621126</v>
      </c>
      <c r="G42" s="198">
        <f>G41/SF.LLTS</f>
        <v>1688.2788665621126</v>
      </c>
      <c r="H42" s="198" t="e">
        <f>H41/SF.COMM</f>
        <v>#DIV/0!</v>
      </c>
      <c r="I42" s="197">
        <f>I41/SF.T</f>
        <v>1688.2788665621126</v>
      </c>
      <c r="J42" s="432"/>
      <c r="K42" s="199"/>
      <c r="L42" s="199"/>
      <c r="M42" s="199"/>
      <c r="N42" s="199"/>
      <c r="O42" s="199"/>
      <c r="P42" s="199"/>
      <c r="Q42" s="160"/>
      <c r="R42" s="190"/>
      <c r="U42" s="200"/>
      <c r="V42" s="201" t="s">
        <v>85</v>
      </c>
      <c r="W42" s="201"/>
      <c r="X42" s="202" t="e">
        <f>X40*X41</f>
        <v>#REF!</v>
      </c>
      <c r="Y42" s="202" t="e">
        <f>Y40*Y41</f>
        <v>#REF!</v>
      </c>
      <c r="Z42" s="202"/>
      <c r="AA42" s="203" t="e">
        <f>X42+Y42</f>
        <v>#REF!</v>
      </c>
      <c r="AC42" s="162"/>
      <c r="AH42"/>
      <c r="AI42"/>
    </row>
    <row r="43" spans="1:35" ht="15.95" customHeight="1">
      <c r="A43" s="10"/>
      <c r="B43" s="204"/>
      <c r="C43" s="10"/>
      <c r="D43" s="10"/>
      <c r="E43" s="180"/>
      <c r="F43" s="180"/>
      <c r="G43" s="180"/>
      <c r="H43" s="180"/>
      <c r="I43" s="180"/>
      <c r="J43" s="180"/>
      <c r="K43" s="205"/>
      <c r="L43" s="205"/>
      <c r="M43" s="205"/>
      <c r="N43" s="205"/>
      <c r="O43" s="205"/>
      <c r="P43" s="205"/>
      <c r="Q43" s="160"/>
      <c r="R43" s="180"/>
      <c r="S43" s="180"/>
      <c r="T43" s="180"/>
      <c r="U43" s="180"/>
      <c r="X43" s="206"/>
      <c r="Y43" s="207"/>
      <c r="Z43" s="207"/>
      <c r="AA43" s="208"/>
      <c r="AB43" s="160"/>
      <c r="AC43" s="209"/>
      <c r="AH43"/>
      <c r="AI43"/>
    </row>
    <row r="44" spans="1:35" s="1" customFormat="1" ht="21.2" customHeight="1">
      <c r="A44" s="214" t="s">
        <v>86</v>
      </c>
      <c r="B44" s="589"/>
      <c r="C44" s="592"/>
      <c r="D44" s="215"/>
      <c r="E44" s="629" t="s">
        <v>87</v>
      </c>
      <c r="F44" s="642"/>
      <c r="G44" s="642"/>
      <c r="H44" s="642"/>
      <c r="I44" s="643"/>
      <c r="J44" s="592"/>
      <c r="K44" s="216"/>
      <c r="L44" s="216"/>
      <c r="M44" s="216"/>
      <c r="N44" s="216"/>
      <c r="O44" s="216"/>
      <c r="P44" s="216"/>
      <c r="Q44" s="217" t="s">
        <v>88</v>
      </c>
      <c r="R44" s="216"/>
      <c r="S44" s="216"/>
      <c r="T44" s="218"/>
      <c r="U44" s="219"/>
      <c r="V44" s="629" t="s">
        <v>89</v>
      </c>
      <c r="W44" s="642"/>
      <c r="X44" s="642"/>
      <c r="Y44" s="642"/>
      <c r="Z44" s="642"/>
      <c r="AA44" s="643"/>
      <c r="AB44" s="629" t="s">
        <v>90</v>
      </c>
      <c r="AC44" s="630"/>
      <c r="AD44" s="220"/>
      <c r="AE44" s="220"/>
      <c r="AF44" s="220"/>
      <c r="AG44" s="220"/>
      <c r="AH44" s="220"/>
    </row>
    <row r="45" spans="1:35" s="100" customFormat="1" ht="20.25" customHeight="1" thickBot="1">
      <c r="A45" s="221"/>
      <c r="B45" s="425"/>
      <c r="C45"/>
      <c r="E45" s="222" t="s">
        <v>76</v>
      </c>
      <c r="F45" s="223">
        <f>C41</f>
        <v>126.19</v>
      </c>
      <c r="G45" s="224" t="str">
        <f>B41</f>
        <v>2 TR 2017</v>
      </c>
      <c r="H45" s="225" t="s">
        <v>91</v>
      </c>
      <c r="I45" s="226">
        <f>A41</f>
        <v>43101</v>
      </c>
      <c r="J45" s="226"/>
      <c r="K45" s="189"/>
      <c r="L45" s="189"/>
      <c r="M45" s="189"/>
      <c r="N45" s="646" t="s">
        <v>92</v>
      </c>
      <c r="O45" s="646"/>
      <c r="P45" s="646"/>
      <c r="Q45" s="227">
        <v>1</v>
      </c>
      <c r="R45" s="223">
        <f>F45*Q45</f>
        <v>126.19</v>
      </c>
      <c r="S45" s="224" t="s">
        <v>140</v>
      </c>
      <c r="T45" s="228">
        <v>42917</v>
      </c>
      <c r="U45" s="229"/>
      <c r="V45" s="222" t="s">
        <v>76</v>
      </c>
      <c r="W45" s="230">
        <f>R45</f>
        <v>126.19</v>
      </c>
      <c r="X45" s="224" t="s">
        <v>93</v>
      </c>
      <c r="Y45" s="228" t="s">
        <v>94</v>
      </c>
      <c r="Z45" s="231"/>
      <c r="AA45" s="232"/>
      <c r="AB45" s="130"/>
      <c r="AC45" s="212"/>
      <c r="AD45" t="s">
        <v>174</v>
      </c>
      <c r="AE45"/>
      <c r="AF45"/>
      <c r="AG45"/>
      <c r="AH45"/>
    </row>
    <row r="46" spans="1:35" ht="15.95" customHeight="1">
      <c r="A46" s="233" t="str">
        <f>$A6</f>
        <v>Type</v>
      </c>
      <c r="B46" s="234" t="s">
        <v>0</v>
      </c>
      <c r="C46" s="647" t="s">
        <v>43</v>
      </c>
      <c r="D46" s="649" t="s">
        <v>95</v>
      </c>
      <c r="E46" s="644" t="s">
        <v>96</v>
      </c>
      <c r="F46" s="645"/>
      <c r="G46" s="645"/>
      <c r="H46" s="651"/>
      <c r="I46" s="235" t="s">
        <v>97</v>
      </c>
      <c r="J46" s="590"/>
      <c r="K46" s="652" t="s">
        <v>98</v>
      </c>
      <c r="L46" s="653"/>
      <c r="M46" s="654"/>
      <c r="N46" s="236" t="s">
        <v>99</v>
      </c>
      <c r="O46" s="237" t="s">
        <v>100</v>
      </c>
      <c r="P46" s="238" t="s">
        <v>46</v>
      </c>
      <c r="Q46" s="655" t="s">
        <v>96</v>
      </c>
      <c r="R46" s="645"/>
      <c r="S46" s="645"/>
      <c r="T46" s="656"/>
      <c r="U46"/>
      <c r="V46" s="644" t="s">
        <v>101</v>
      </c>
      <c r="W46" s="645"/>
      <c r="X46" s="645"/>
      <c r="Y46" s="645"/>
      <c r="Z46" s="239" t="s">
        <v>102</v>
      </c>
      <c r="AA46" s="240" t="s">
        <v>46</v>
      </c>
      <c r="AB46" s="596" t="s">
        <v>162</v>
      </c>
      <c r="AC46" s="597" t="s">
        <v>162</v>
      </c>
      <c r="AD46" s="598" t="s">
        <v>167</v>
      </c>
      <c r="AE46" s="614" t="s">
        <v>170</v>
      </c>
      <c r="AH46"/>
    </row>
    <row r="47" spans="1:35" ht="15.95" customHeight="1" thickBot="1">
      <c r="A47" s="241" t="s">
        <v>175</v>
      </c>
      <c r="B47" s="242"/>
      <c r="C47" s="648"/>
      <c r="D47" s="650"/>
      <c r="E47" s="243" t="s">
        <v>103</v>
      </c>
      <c r="F47" s="244" t="s">
        <v>104</v>
      </c>
      <c r="G47" s="245" t="s">
        <v>105</v>
      </c>
      <c r="H47" s="244" t="s">
        <v>106</v>
      </c>
      <c r="I47" s="246"/>
      <c r="J47" s="433"/>
      <c r="K47" s="247" t="s">
        <v>18</v>
      </c>
      <c r="L47" s="248" t="s">
        <v>9</v>
      </c>
      <c r="M47" s="248" t="s">
        <v>24</v>
      </c>
      <c r="N47" s="249" t="s">
        <v>107</v>
      </c>
      <c r="O47" s="250"/>
      <c r="P47" s="251" t="s">
        <v>108</v>
      </c>
      <c r="Q47" s="252" t="s">
        <v>103</v>
      </c>
      <c r="R47" s="244" t="s">
        <v>104</v>
      </c>
      <c r="S47" s="245" t="s">
        <v>105</v>
      </c>
      <c r="T47" s="253" t="s">
        <v>106</v>
      </c>
      <c r="U47"/>
      <c r="V47" s="254" t="s">
        <v>103</v>
      </c>
      <c r="W47" s="244" t="s">
        <v>109</v>
      </c>
      <c r="X47" s="245" t="s">
        <v>110</v>
      </c>
      <c r="Y47" s="255" t="s">
        <v>106</v>
      </c>
      <c r="Z47" s="256" t="s">
        <v>111</v>
      </c>
      <c r="AA47" s="257" t="s">
        <v>112</v>
      </c>
      <c r="AB47" s="599" t="s">
        <v>163</v>
      </c>
      <c r="AC47" s="600" t="s">
        <v>164</v>
      </c>
      <c r="AD47" s="598" t="s">
        <v>168</v>
      </c>
      <c r="AE47" s="598"/>
      <c r="AH47"/>
    </row>
    <row r="48" spans="1:35" ht="15.95" customHeight="1">
      <c r="A48" s="594" t="s">
        <v>1</v>
      </c>
      <c r="B48" s="258"/>
      <c r="C48" s="259"/>
      <c r="D48" s="260"/>
      <c r="E48" s="261"/>
      <c r="F48" s="262">
        <f>D41</f>
        <v>6.97</v>
      </c>
      <c r="G48" s="263"/>
      <c r="H48" s="264"/>
      <c r="I48" s="265"/>
      <c r="J48" s="434"/>
      <c r="K48" s="266"/>
      <c r="L48" s="267"/>
      <c r="M48" s="267"/>
      <c r="N48" s="268"/>
      <c r="O48" s="269"/>
      <c r="P48" s="270"/>
      <c r="Q48" s="271"/>
      <c r="R48" s="262">
        <f>LMDom/$F$45*$R$45</f>
        <v>6.97</v>
      </c>
      <c r="S48" s="263"/>
      <c r="T48" s="8"/>
      <c r="U48" s="272"/>
      <c r="V48" s="273"/>
      <c r="W48" s="274"/>
      <c r="X48" s="263"/>
      <c r="Y48" s="8"/>
      <c r="Z48" s="275">
        <v>1.25</v>
      </c>
      <c r="AA48" s="276"/>
      <c r="AB48" s="601"/>
      <c r="AC48" s="602"/>
      <c r="AD48" s="603"/>
      <c r="AE48" s="603"/>
      <c r="AH48"/>
    </row>
    <row r="49" spans="1:34" ht="15.95" customHeight="1" outlineLevel="1">
      <c r="A49" s="221" t="str">
        <f t="shared" ref="A49:A54" si="28">$A8</f>
        <v>T I Bis a + V</v>
      </c>
      <c r="B49" s="279">
        <f t="shared" ref="B49:B54" si="29">$V8</f>
        <v>4</v>
      </c>
      <c r="C49" s="280">
        <f t="shared" ref="C49:C54" si="30">$AC8</f>
        <v>120</v>
      </c>
      <c r="D49" s="281">
        <f>D55</f>
        <v>0.96829521631408433</v>
      </c>
      <c r="E49" s="282">
        <f t="shared" ref="E49:E55" si="31">LMDom*D49*M49</f>
        <v>202.47052973127501</v>
      </c>
      <c r="F49" s="283">
        <f t="shared" ref="F49:F54" si="32">LMDom*D49</f>
        <v>6.7490176577091674</v>
      </c>
      <c r="G49" s="284">
        <f t="shared" ref="G49:G55" si="33">$E49/L49</f>
        <v>6.7490176577091665</v>
      </c>
      <c r="H49" s="285">
        <f t="shared" ref="H49:H55" si="34">$E49/K49</f>
        <v>6.7490176577091665</v>
      </c>
      <c r="I49" s="286">
        <f>E49*B49*12</f>
        <v>9718.5854271011995</v>
      </c>
      <c r="J49" s="396"/>
      <c r="K49" s="287">
        <f t="shared" ref="K49:K54" si="35">$J8</f>
        <v>30</v>
      </c>
      <c r="L49" s="288">
        <f t="shared" ref="L49:L54" si="36">$R8</f>
        <v>30</v>
      </c>
      <c r="M49" s="288">
        <f t="shared" ref="M49:M54" si="37">$U8</f>
        <v>30</v>
      </c>
      <c r="N49" s="289">
        <f t="shared" ref="N49:N54" si="38">V49*B49*12</f>
        <v>9718.5854271011995</v>
      </c>
      <c r="O49" s="290">
        <f t="shared" ref="O49:O54" si="39">Z49*B49*12</f>
        <v>1800</v>
      </c>
      <c r="P49" s="291">
        <f t="shared" ref="P49:P54" si="40">N49+O49</f>
        <v>11518.585427101199</v>
      </c>
      <c r="Q49" s="292">
        <f t="shared" ref="Q49:Q55" si="41">E49/$F$45*$R$45</f>
        <v>202.47052973127501</v>
      </c>
      <c r="R49" s="283">
        <f t="shared" ref="R49:R55" si="42">$Q49/M49</f>
        <v>6.7490176577091665</v>
      </c>
      <c r="S49" s="283">
        <f t="shared" ref="S49:S55" si="43">$Q49/L49</f>
        <v>6.7490176577091665</v>
      </c>
      <c r="T49" s="293">
        <f t="shared" ref="T49:T55" si="44">$Q49/K49</f>
        <v>6.7490176577091665</v>
      </c>
      <c r="U49" s="272"/>
      <c r="V49" s="294">
        <f t="shared" ref="V49:V54" si="45">Q49</f>
        <v>202.47052973127501</v>
      </c>
      <c r="W49" s="283">
        <f t="shared" ref="W49:W55" si="46">$Q49/M49</f>
        <v>6.7490176577091665</v>
      </c>
      <c r="X49" s="283">
        <f t="shared" ref="X49:X55" si="47">$Q49/L49</f>
        <v>6.7490176577091665</v>
      </c>
      <c r="Y49" s="293">
        <f t="shared" ref="Y49:Y55" si="48">$Q49/K49</f>
        <v>6.7490176577091665</v>
      </c>
      <c r="Z49" s="295">
        <f t="shared" ref="Z49:Z55" si="49">$Z$48*L49</f>
        <v>37.5</v>
      </c>
      <c r="AA49" s="296">
        <f t="shared" ref="AA49:AA54" si="50">V49+Z49</f>
        <v>239.97052973127501</v>
      </c>
      <c r="AB49" s="604">
        <f>AC49-Z49</f>
        <v>280.5</v>
      </c>
      <c r="AC49" s="605">
        <f>IF(TYPE1="LLS",VLOOKUP(A49,BASELOYERMAX,2),"")</f>
        <v>318</v>
      </c>
      <c r="AD49" s="606">
        <f>V49*B49</f>
        <v>809.88211892510003</v>
      </c>
      <c r="AE49" s="606">
        <f>AB49-Q49</f>
        <v>78.029470268724992</v>
      </c>
      <c r="AF49" s="220" t="s">
        <v>169</v>
      </c>
      <c r="AH49"/>
    </row>
    <row r="50" spans="1:34" ht="15.95" customHeight="1" outlineLevel="1">
      <c r="A50" s="221" t="str">
        <f t="shared" si="28"/>
        <v>T II +V a</v>
      </c>
      <c r="B50" s="279">
        <f t="shared" si="29"/>
        <v>7</v>
      </c>
      <c r="C50" s="280">
        <f t="shared" si="30"/>
        <v>322</v>
      </c>
      <c r="D50" s="281">
        <f>D55</f>
        <v>0.96829521631408433</v>
      </c>
      <c r="E50" s="282">
        <f t="shared" si="31"/>
        <v>310.45481225462169</v>
      </c>
      <c r="F50" s="283">
        <f t="shared" si="32"/>
        <v>6.7490176577091674</v>
      </c>
      <c r="G50" s="284">
        <f t="shared" ref="G50:G54" si="51">$E50/L50</f>
        <v>6.7490176577091674</v>
      </c>
      <c r="H50" s="285">
        <f t="shared" ref="H50:H54" si="52">$E50/K50</f>
        <v>6.7490176577091674</v>
      </c>
      <c r="I50" s="286">
        <f t="shared" ref="I50:I53" si="53">E50*B50*12</f>
        <v>26078.204229388222</v>
      </c>
      <c r="J50" s="396"/>
      <c r="K50" s="287">
        <f t="shared" si="35"/>
        <v>46</v>
      </c>
      <c r="L50" s="288">
        <f t="shared" si="36"/>
        <v>46</v>
      </c>
      <c r="M50" s="288">
        <f t="shared" si="37"/>
        <v>46</v>
      </c>
      <c r="N50" s="289">
        <f t="shared" si="38"/>
        <v>26078.204229388222</v>
      </c>
      <c r="O50" s="290">
        <f t="shared" si="39"/>
        <v>4830</v>
      </c>
      <c r="P50" s="291">
        <f t="shared" si="40"/>
        <v>30908.204229388222</v>
      </c>
      <c r="Q50" s="292">
        <f>E50/$F$45*$R$45</f>
        <v>310.45481225462169</v>
      </c>
      <c r="R50" s="283">
        <f t="shared" si="42"/>
        <v>6.7490176577091674</v>
      </c>
      <c r="S50" s="283">
        <f t="shared" si="43"/>
        <v>6.7490176577091674</v>
      </c>
      <c r="T50" s="293">
        <f t="shared" si="44"/>
        <v>6.7490176577091674</v>
      </c>
      <c r="U50" s="272"/>
      <c r="V50" s="294">
        <f t="shared" si="45"/>
        <v>310.45481225462169</v>
      </c>
      <c r="W50" s="283">
        <f t="shared" si="46"/>
        <v>6.7490176577091674</v>
      </c>
      <c r="X50" s="283">
        <f t="shared" si="47"/>
        <v>6.7490176577091674</v>
      </c>
      <c r="Y50" s="293">
        <f t="shared" si="48"/>
        <v>6.7490176577091674</v>
      </c>
      <c r="Z50" s="295">
        <f t="shared" si="49"/>
        <v>57.5</v>
      </c>
      <c r="AA50" s="296">
        <f t="shared" si="50"/>
        <v>367.95481225462169</v>
      </c>
      <c r="AB50" s="604">
        <f t="shared" ref="AB50:AB54" si="54">AC50-Z50</f>
        <v>342.5</v>
      </c>
      <c r="AC50" s="605">
        <f>IF(TYPE1="LLS",VLOOKUP(A50,BASELOYERMAX,2),"")</f>
        <v>400</v>
      </c>
      <c r="AD50" s="606">
        <f>V50*B50</f>
        <v>2173.1836857823519</v>
      </c>
      <c r="AE50" s="606">
        <f>AB50-Q50</f>
        <v>32.045187745378314</v>
      </c>
      <c r="AF50" s="220" t="s">
        <v>169</v>
      </c>
      <c r="AH50"/>
    </row>
    <row r="51" spans="1:34" ht="15.95" customHeight="1" outlineLevel="1">
      <c r="A51" s="221" t="str">
        <f t="shared" si="28"/>
        <v>T III +V a</v>
      </c>
      <c r="B51" s="279">
        <f t="shared" si="29"/>
        <v>11</v>
      </c>
      <c r="C51" s="280">
        <f t="shared" si="30"/>
        <v>726</v>
      </c>
      <c r="D51" s="281">
        <f>D55</f>
        <v>0.96829521631408433</v>
      </c>
      <c r="E51" s="282">
        <f t="shared" si="31"/>
        <v>445.43516540880506</v>
      </c>
      <c r="F51" s="283">
        <f t="shared" si="32"/>
        <v>6.7490176577091674</v>
      </c>
      <c r="G51" s="284">
        <f t="shared" si="51"/>
        <v>6.7490176577091674</v>
      </c>
      <c r="H51" s="285">
        <f t="shared" si="52"/>
        <v>6.7490176577091674</v>
      </c>
      <c r="I51" s="286">
        <f t="shared" si="53"/>
        <v>58797.441833962272</v>
      </c>
      <c r="J51" s="396"/>
      <c r="K51" s="287">
        <f t="shared" si="35"/>
        <v>66</v>
      </c>
      <c r="L51" s="288">
        <f t="shared" si="36"/>
        <v>66</v>
      </c>
      <c r="M51" s="288">
        <f t="shared" si="37"/>
        <v>66</v>
      </c>
      <c r="N51" s="289">
        <f t="shared" si="38"/>
        <v>58797.441833962272</v>
      </c>
      <c r="O51" s="290">
        <f t="shared" si="39"/>
        <v>10890</v>
      </c>
      <c r="P51" s="291">
        <f t="shared" si="40"/>
        <v>69687.441833962279</v>
      </c>
      <c r="Q51" s="292">
        <f>E51/$F$45*$R$45</f>
        <v>445.43516540880506</v>
      </c>
      <c r="R51" s="283">
        <f t="shared" si="42"/>
        <v>6.7490176577091674</v>
      </c>
      <c r="S51" s="283">
        <f t="shared" si="43"/>
        <v>6.7490176577091674</v>
      </c>
      <c r="T51" s="293">
        <f t="shared" si="44"/>
        <v>6.7490176577091674</v>
      </c>
      <c r="U51" s="272"/>
      <c r="V51" s="294">
        <f t="shared" si="45"/>
        <v>445.43516540880506</v>
      </c>
      <c r="W51" s="283">
        <f t="shared" si="46"/>
        <v>6.7490176577091674</v>
      </c>
      <c r="X51" s="283">
        <f t="shared" si="47"/>
        <v>6.7490176577091674</v>
      </c>
      <c r="Y51" s="293">
        <f t="shared" si="48"/>
        <v>6.7490176577091674</v>
      </c>
      <c r="Z51" s="295">
        <f t="shared" si="49"/>
        <v>82.5</v>
      </c>
      <c r="AA51" s="296">
        <f t="shared" si="50"/>
        <v>527.93516540880501</v>
      </c>
      <c r="AB51" s="604">
        <f t="shared" si="54"/>
        <v>447.5</v>
      </c>
      <c r="AC51" s="605">
        <f>IF(TYPE1="LLS",VLOOKUP(A51,BASELOYERMAX,2),"")</f>
        <v>530</v>
      </c>
      <c r="AD51" s="606">
        <f>V51*B51</f>
        <v>4899.786819496856</v>
      </c>
      <c r="AE51" s="606">
        <f t="shared" ref="AE51:AE53" si="55">AB51-Q51</f>
        <v>2.0648345911949377</v>
      </c>
      <c r="AF51" s="220" t="s">
        <v>169</v>
      </c>
      <c r="AH51"/>
    </row>
    <row r="52" spans="1:34" ht="15.95" customHeight="1" outlineLevel="1">
      <c r="A52" s="221" t="str">
        <f t="shared" si="28"/>
        <v>T IV + V a</v>
      </c>
      <c r="B52" s="279">
        <f t="shared" si="29"/>
        <v>10</v>
      </c>
      <c r="C52" s="280">
        <f t="shared" si="30"/>
        <v>760</v>
      </c>
      <c r="D52" s="281">
        <f>D55</f>
        <v>0.96829521631408433</v>
      </c>
      <c r="E52" s="282">
        <f t="shared" si="31"/>
        <v>512.92534198589669</v>
      </c>
      <c r="F52" s="283">
        <f t="shared" si="32"/>
        <v>6.7490176577091674</v>
      </c>
      <c r="G52" s="284">
        <f t="shared" si="51"/>
        <v>6.7490176577091674</v>
      </c>
      <c r="H52" s="285">
        <f t="shared" si="52"/>
        <v>6.7490176577091674</v>
      </c>
      <c r="I52" s="286">
        <f t="shared" si="53"/>
        <v>61551.041038307609</v>
      </c>
      <c r="J52" s="396"/>
      <c r="K52" s="287">
        <f t="shared" si="35"/>
        <v>76</v>
      </c>
      <c r="L52" s="288">
        <f t="shared" si="36"/>
        <v>76</v>
      </c>
      <c r="M52" s="288">
        <f t="shared" si="37"/>
        <v>76</v>
      </c>
      <c r="N52" s="289">
        <f t="shared" si="38"/>
        <v>61551.041038307609</v>
      </c>
      <c r="O52" s="290">
        <f t="shared" si="39"/>
        <v>11400</v>
      </c>
      <c r="P52" s="291">
        <f t="shared" si="40"/>
        <v>72951.041038307609</v>
      </c>
      <c r="Q52" s="292">
        <f>E52/$F$45*$R$45</f>
        <v>512.92534198589669</v>
      </c>
      <c r="R52" s="283">
        <f t="shared" si="42"/>
        <v>6.7490176577091674</v>
      </c>
      <c r="S52" s="283">
        <f t="shared" si="43"/>
        <v>6.7490176577091674</v>
      </c>
      <c r="T52" s="293">
        <f t="shared" si="44"/>
        <v>6.7490176577091674</v>
      </c>
      <c r="U52" s="272"/>
      <c r="V52" s="294">
        <f t="shared" si="45"/>
        <v>512.92534198589669</v>
      </c>
      <c r="W52" s="283">
        <f t="shared" si="46"/>
        <v>6.7490176577091674</v>
      </c>
      <c r="X52" s="283">
        <f t="shared" si="47"/>
        <v>6.7490176577091674</v>
      </c>
      <c r="Y52" s="293">
        <f t="shared" si="48"/>
        <v>6.7490176577091674</v>
      </c>
      <c r="Z52" s="295">
        <f t="shared" si="49"/>
        <v>95</v>
      </c>
      <c r="AA52" s="296">
        <f t="shared" si="50"/>
        <v>607.92534198589669</v>
      </c>
      <c r="AB52" s="604">
        <f t="shared" si="54"/>
        <v>505</v>
      </c>
      <c r="AC52" s="605">
        <f>IF(TYPE1="LLS",VLOOKUP(A52,BASELOYERMAX,2),"")</f>
        <v>600</v>
      </c>
      <c r="AD52" s="606">
        <f>AB52*B52</f>
        <v>5050</v>
      </c>
      <c r="AE52" s="606">
        <f t="shared" si="55"/>
        <v>-7.9253419858966936</v>
      </c>
      <c r="AF52" s="220">
        <f>AE52/V52</f>
        <v>-1.5451258374585452E-2</v>
      </c>
      <c r="AH52"/>
    </row>
    <row r="53" spans="1:34" ht="15.95" customHeight="1" outlineLevel="1">
      <c r="A53" s="221" t="str">
        <f t="shared" si="28"/>
        <v>T V +V a</v>
      </c>
      <c r="B53" s="279">
        <f t="shared" si="29"/>
        <v>3</v>
      </c>
      <c r="C53" s="280">
        <f t="shared" si="30"/>
        <v>258</v>
      </c>
      <c r="D53" s="281">
        <f>D55</f>
        <v>0.96829521631408433</v>
      </c>
      <c r="E53" s="282">
        <f t="shared" si="31"/>
        <v>580.41551856298838</v>
      </c>
      <c r="F53" s="283">
        <f t="shared" si="32"/>
        <v>6.7490176577091674</v>
      </c>
      <c r="G53" s="284">
        <f t="shared" si="51"/>
        <v>6.7490176577091674</v>
      </c>
      <c r="H53" s="285">
        <f t="shared" si="52"/>
        <v>6.7490176577091674</v>
      </c>
      <c r="I53" s="286">
        <f t="shared" si="53"/>
        <v>20894.95866826758</v>
      </c>
      <c r="J53" s="396"/>
      <c r="K53" s="287">
        <f t="shared" si="35"/>
        <v>86</v>
      </c>
      <c r="L53" s="288">
        <f t="shared" si="36"/>
        <v>86</v>
      </c>
      <c r="M53" s="288">
        <f t="shared" si="37"/>
        <v>86</v>
      </c>
      <c r="N53" s="289">
        <f t="shared" si="38"/>
        <v>20894.95866826758</v>
      </c>
      <c r="O53" s="290">
        <f t="shared" si="39"/>
        <v>3870</v>
      </c>
      <c r="P53" s="291">
        <f t="shared" si="40"/>
        <v>24764.95866826758</v>
      </c>
      <c r="Q53" s="292">
        <f>E53/$F$45*$R$45</f>
        <v>580.41551856298838</v>
      </c>
      <c r="R53" s="283">
        <f t="shared" si="42"/>
        <v>6.7490176577091674</v>
      </c>
      <c r="S53" s="283">
        <f t="shared" si="43"/>
        <v>6.7490176577091674</v>
      </c>
      <c r="T53" s="293">
        <f t="shared" si="44"/>
        <v>6.7490176577091674</v>
      </c>
      <c r="U53" s="272"/>
      <c r="V53" s="294">
        <f t="shared" si="45"/>
        <v>580.41551856298838</v>
      </c>
      <c r="W53" s="283">
        <f t="shared" si="46"/>
        <v>6.7490176577091674</v>
      </c>
      <c r="X53" s="283">
        <f t="shared" si="47"/>
        <v>6.7490176577091674</v>
      </c>
      <c r="Y53" s="293">
        <f t="shared" si="48"/>
        <v>6.7490176577091674</v>
      </c>
      <c r="Z53" s="295">
        <f t="shared" si="49"/>
        <v>107.5</v>
      </c>
      <c r="AA53" s="296">
        <f t="shared" si="50"/>
        <v>687.91551856298838</v>
      </c>
      <c r="AB53" s="604">
        <f t="shared" si="54"/>
        <v>592.5</v>
      </c>
      <c r="AC53" s="605">
        <f>IF(TYPE1="LLS",VLOOKUP(A53,BASELOYERMAX,2),"")</f>
        <v>700</v>
      </c>
      <c r="AD53" s="606">
        <f>V53*B53</f>
        <v>1741.2465556889651</v>
      </c>
      <c r="AE53" s="606">
        <f t="shared" si="55"/>
        <v>12.084481437011618</v>
      </c>
      <c r="AF53" s="220" t="s">
        <v>169</v>
      </c>
      <c r="AH53"/>
    </row>
    <row r="54" spans="1:34" ht="15.95" customHeight="1" outlineLevel="1">
      <c r="A54" s="221" t="str">
        <f t="shared" si="28"/>
        <v>PARKINGS</v>
      </c>
      <c r="B54" s="279">
        <f t="shared" si="29"/>
        <v>35</v>
      </c>
      <c r="C54" s="280">
        <f t="shared" si="30"/>
        <v>437.5</v>
      </c>
      <c r="D54" s="281">
        <f>D55</f>
        <v>0.96829521631408433</v>
      </c>
      <c r="E54" s="282">
        <f t="shared" si="31"/>
        <v>84.362720721364596</v>
      </c>
      <c r="F54" s="283">
        <f t="shared" si="32"/>
        <v>6.7490176577091674</v>
      </c>
      <c r="G54" s="284" t="e">
        <f t="shared" si="51"/>
        <v>#DIV/0!</v>
      </c>
      <c r="H54" s="285" t="e">
        <f t="shared" si="52"/>
        <v>#DIV/0!</v>
      </c>
      <c r="I54" s="286">
        <f>E54*B54*12</f>
        <v>35432.342702973132</v>
      </c>
      <c r="J54" s="396"/>
      <c r="K54" s="287">
        <f t="shared" si="35"/>
        <v>0</v>
      </c>
      <c r="L54" s="288">
        <f t="shared" si="36"/>
        <v>0</v>
      </c>
      <c r="M54" s="288">
        <f t="shared" si="37"/>
        <v>12.5</v>
      </c>
      <c r="N54" s="289">
        <f t="shared" si="38"/>
        <v>35432.342702973132</v>
      </c>
      <c r="O54" s="290">
        <f t="shared" si="39"/>
        <v>0</v>
      </c>
      <c r="P54" s="291">
        <f t="shared" si="40"/>
        <v>35432.342702973132</v>
      </c>
      <c r="Q54" s="292">
        <f>E54/$F$45*$R$45</f>
        <v>84.362720721364596</v>
      </c>
      <c r="R54" s="283">
        <f t="shared" si="42"/>
        <v>6.7490176577091674</v>
      </c>
      <c r="S54" s="283" t="e">
        <f t="shared" si="43"/>
        <v>#DIV/0!</v>
      </c>
      <c r="T54" s="293" t="e">
        <f t="shared" si="44"/>
        <v>#DIV/0!</v>
      </c>
      <c r="U54" s="272"/>
      <c r="V54" s="294">
        <f t="shared" si="45"/>
        <v>84.362720721364596</v>
      </c>
      <c r="W54" s="283">
        <f t="shared" si="46"/>
        <v>6.7490176577091674</v>
      </c>
      <c r="X54" s="283" t="e">
        <f t="shared" si="47"/>
        <v>#DIV/0!</v>
      </c>
      <c r="Y54" s="293" t="e">
        <f t="shared" si="48"/>
        <v>#DIV/0!</v>
      </c>
      <c r="Z54" s="295">
        <f t="shared" si="49"/>
        <v>0</v>
      </c>
      <c r="AA54" s="296">
        <f t="shared" si="50"/>
        <v>84.362720721364596</v>
      </c>
      <c r="AB54" s="604">
        <f t="shared" si="54"/>
        <v>0</v>
      </c>
      <c r="AC54" s="605"/>
      <c r="AD54" s="606">
        <f>V54*B54</f>
        <v>2952.6952252477608</v>
      </c>
      <c r="AE54" s="613"/>
      <c r="AF54" s="220" t="s">
        <v>171</v>
      </c>
      <c r="AH54"/>
    </row>
    <row r="55" spans="1:34" ht="15.95" customHeight="1">
      <c r="A55" s="299" t="s">
        <v>120</v>
      </c>
      <c r="B55" s="300">
        <f>SUM(B49:B53)</f>
        <v>35</v>
      </c>
      <c r="C55" s="301">
        <f>SUM(C49:C54)</f>
        <v>2623.5</v>
      </c>
      <c r="D55" s="302">
        <f>0.685*(31*B55+C55)/C55</f>
        <v>0.96829521631408433</v>
      </c>
      <c r="E55" s="303">
        <f t="shared" si="31"/>
        <v>505.88708071428573</v>
      </c>
      <c r="F55" s="546">
        <f t="shared" ref="F55" si="56">LMDom*D55</f>
        <v>6.7490176577091674</v>
      </c>
      <c r="G55" s="305">
        <f t="shared" si="33"/>
        <v>8.099747403934126</v>
      </c>
      <c r="H55" s="306">
        <f t="shared" si="34"/>
        <v>8.099747403934126</v>
      </c>
      <c r="I55" s="307">
        <f>SUM(I49:I54)</f>
        <v>212472.57390000005</v>
      </c>
      <c r="J55" s="435"/>
      <c r="K55" s="308">
        <f>SH.LLS/$B$55</f>
        <v>62.457142857142856</v>
      </c>
      <c r="L55" s="309">
        <f>SU.LLS/$B$55</f>
        <v>62.457142857142856</v>
      </c>
      <c r="M55" s="310">
        <f>SF.LLS/$B$55</f>
        <v>74.957142857142856</v>
      </c>
      <c r="N55" s="311">
        <f>SUM(N49:N54)</f>
        <v>212472.57390000005</v>
      </c>
      <c r="O55" s="312">
        <f>SUM(O49:O54)</f>
        <v>32790</v>
      </c>
      <c r="P55" s="313">
        <f>SUM(P49:P54)</f>
        <v>245262.57390000005</v>
      </c>
      <c r="Q55" s="314">
        <f t="shared" si="41"/>
        <v>505.88708071428573</v>
      </c>
      <c r="R55" s="304">
        <f t="shared" si="42"/>
        <v>6.7490176577091674</v>
      </c>
      <c r="S55" s="305">
        <f t="shared" si="43"/>
        <v>8.099747403934126</v>
      </c>
      <c r="T55" s="315">
        <f t="shared" si="44"/>
        <v>8.099747403934126</v>
      </c>
      <c r="U55" s="272"/>
      <c r="V55" s="316">
        <f>Y56/12/B55</f>
        <v>505.88708071428584</v>
      </c>
      <c r="W55" s="304">
        <f t="shared" si="46"/>
        <v>6.7490176577091674</v>
      </c>
      <c r="X55" s="305">
        <f t="shared" si="47"/>
        <v>8.099747403934126</v>
      </c>
      <c r="Y55" s="306">
        <f t="shared" si="48"/>
        <v>8.099747403934126</v>
      </c>
      <c r="Z55" s="317">
        <f t="shared" si="49"/>
        <v>78.071428571428569</v>
      </c>
      <c r="AA55" s="318">
        <f>P55/12/B55</f>
        <v>583.9585092857144</v>
      </c>
      <c r="AB55" s="607"/>
      <c r="AC55" s="608"/>
      <c r="AD55" s="603"/>
      <c r="AE55" s="603"/>
      <c r="AH55"/>
    </row>
    <row r="56" spans="1:34" ht="15.95" customHeight="1" thickBot="1">
      <c r="A56" s="321" t="s">
        <v>176</v>
      </c>
      <c r="B56" s="102"/>
      <c r="C56" s="322">
        <f>SF.LLS-C55</f>
        <v>0</v>
      </c>
      <c r="D56" s="323"/>
      <c r="E56" s="324"/>
      <c r="F56" s="616">
        <f>LP_LLS*(1+AE56)</f>
        <v>6.7188086164059584</v>
      </c>
      <c r="G56" s="325"/>
      <c r="H56" s="324" t="s">
        <v>113</v>
      </c>
      <c r="I56" s="324">
        <f>(F55*SF.LLS*12)</f>
        <v>212472.57390000002</v>
      </c>
      <c r="J56" s="436"/>
      <c r="K56" s="326"/>
      <c r="L56" s="326"/>
      <c r="M56" s="326"/>
      <c r="N56" s="327"/>
      <c r="O56" s="327"/>
      <c r="P56" s="327"/>
      <c r="Q56" s="324"/>
      <c r="R56" s="323"/>
      <c r="S56" s="324" t="s">
        <v>113</v>
      </c>
      <c r="T56" s="324">
        <f>I55/$F$45*$R$45</f>
        <v>212472.57390000005</v>
      </c>
      <c r="U56" s="328"/>
      <c r="V56" s="324"/>
      <c r="W56" s="323"/>
      <c r="X56" s="324" t="s">
        <v>113</v>
      </c>
      <c r="Y56" s="324">
        <f>N55</f>
        <v>212472.57390000005</v>
      </c>
      <c r="Z56" s="329"/>
      <c r="AA56" s="328"/>
      <c r="AB56" s="353"/>
      <c r="AC56" s="355"/>
      <c r="AD56" s="611">
        <f>SUM(AD49:AD54)*12</f>
        <v>211521.53286169242</v>
      </c>
      <c r="AE56" s="615">
        <f>(AD56-T56)/Y56</f>
        <v>-4.4760649379398465E-3</v>
      </c>
      <c r="AH56"/>
    </row>
    <row r="57" spans="1:34" ht="15.95" customHeight="1">
      <c r="A57" s="595" t="s">
        <v>2</v>
      </c>
      <c r="B57" s="234"/>
      <c r="C57" s="331"/>
      <c r="D57" s="332"/>
      <c r="E57" s="333"/>
      <c r="F57" s="262">
        <f>LMDom</f>
        <v>6.97</v>
      </c>
      <c r="G57" s="263"/>
      <c r="H57" s="264"/>
      <c r="I57" s="265"/>
      <c r="J57" s="437"/>
      <c r="K57" s="334"/>
      <c r="L57" s="335"/>
      <c r="M57" s="335"/>
      <c r="N57" s="268"/>
      <c r="O57" s="269"/>
      <c r="P57" s="270"/>
      <c r="Q57" s="336"/>
      <c r="R57" s="262">
        <f>R48*0.8</f>
        <v>5.5760000000000005</v>
      </c>
      <c r="S57" s="263"/>
      <c r="T57" s="337"/>
      <c r="U57"/>
      <c r="V57" s="338"/>
      <c r="W57" s="274"/>
      <c r="X57" s="263"/>
      <c r="Y57" s="8"/>
      <c r="Z57" s="339">
        <v>1.25</v>
      </c>
      <c r="AA57" s="340"/>
      <c r="AB57" s="601"/>
      <c r="AC57" s="609"/>
      <c r="AD57" s="603"/>
      <c r="AE57" s="603"/>
      <c r="AH57"/>
    </row>
    <row r="58" spans="1:34" ht="15.95" customHeight="1" outlineLevel="1">
      <c r="A58" s="221" t="str">
        <f>$A17</f>
        <v>T I Bis a + V</v>
      </c>
      <c r="B58" s="279">
        <f>$V17</f>
        <v>4</v>
      </c>
      <c r="C58" s="341">
        <f>$AC17</f>
        <v>170</v>
      </c>
      <c r="D58" s="342">
        <f>D63</f>
        <v>0.96829521631408433</v>
      </c>
      <c r="E58" s="282">
        <f t="shared" ref="E58:E63" si="57">LMDomTS*D58*M58</f>
        <v>286.83325045263962</v>
      </c>
      <c r="F58" s="283">
        <f t="shared" ref="F58:F63" si="58">LMDomTS*D58</f>
        <v>6.7490176577091674</v>
      </c>
      <c r="G58" s="284">
        <f>$E58/L58</f>
        <v>9.5611083484213211</v>
      </c>
      <c r="H58" s="285">
        <f>$E58/K58</f>
        <v>9.5611083484213211</v>
      </c>
      <c r="I58" s="286">
        <f>E58*B58*12</f>
        <v>13767.996021726702</v>
      </c>
      <c r="J58" s="396"/>
      <c r="K58" s="343">
        <f>$J17</f>
        <v>30</v>
      </c>
      <c r="L58" s="344">
        <f>$R17</f>
        <v>30</v>
      </c>
      <c r="M58" s="344">
        <f>$U17</f>
        <v>42.5</v>
      </c>
      <c r="N58" s="289">
        <f>V58*B58*12</f>
        <v>13767.996021726702</v>
      </c>
      <c r="O58" s="290">
        <f>Z58*B58*12</f>
        <v>1800</v>
      </c>
      <c r="P58" s="291">
        <f>N58+O58</f>
        <v>15567.996021726702</v>
      </c>
      <c r="Q58" s="292">
        <f>E58/$F$45*$R$45</f>
        <v>286.83325045263962</v>
      </c>
      <c r="R58" s="283">
        <f>$Q58/M58</f>
        <v>6.7490176577091674</v>
      </c>
      <c r="S58" s="345">
        <f>$Q58/L58</f>
        <v>9.5611083484213211</v>
      </c>
      <c r="T58" s="346">
        <f>$Q58/K58</f>
        <v>9.5611083484213211</v>
      </c>
      <c r="U58"/>
      <c r="V58" s="294">
        <f>Q58</f>
        <v>286.83325045263962</v>
      </c>
      <c r="W58" s="283">
        <f>$Q58/M58</f>
        <v>6.7490176577091674</v>
      </c>
      <c r="X58" s="283">
        <f>$Q58/L58</f>
        <v>9.5611083484213211</v>
      </c>
      <c r="Y58" s="293">
        <f>$Q58/K58</f>
        <v>9.5611083484213211</v>
      </c>
      <c r="Z58" s="295">
        <f t="shared" ref="Z58:Z63" si="59">$Z$57*L58</f>
        <v>37.5</v>
      </c>
      <c r="AA58" s="296">
        <f>V58+Z58</f>
        <v>324.33325045263962</v>
      </c>
      <c r="AB58" s="604">
        <f>AC58-Z58</f>
        <v>252.5</v>
      </c>
      <c r="AC58" s="605">
        <f>IF(TYPE2="LLTS",VLOOKUP(A58,BASELOYERMAX,3),"")</f>
        <v>290</v>
      </c>
      <c r="AD58" s="606">
        <f>V58*B58</f>
        <v>1147.3330018105585</v>
      </c>
      <c r="AE58" s="606">
        <f>AB58-Q58</f>
        <v>-34.333250452639618</v>
      </c>
      <c r="AF58" s="612">
        <f>AE58/V58</f>
        <v>-0.11969759572315881</v>
      </c>
      <c r="AH58"/>
    </row>
    <row r="59" spans="1:34" ht="15.95" customHeight="1" outlineLevel="1">
      <c r="A59" s="221" t="str">
        <f t="shared" ref="A59:A62" si="60">$A18</f>
        <v>T II +V a</v>
      </c>
      <c r="B59" s="279">
        <f t="shared" ref="B59:B62" si="61">$V18</f>
        <v>7</v>
      </c>
      <c r="C59" s="341">
        <f t="shared" ref="C59:C62" si="62">$AC18</f>
        <v>409.5</v>
      </c>
      <c r="D59" s="342">
        <f>D63</f>
        <v>0.96829521631408433</v>
      </c>
      <c r="E59" s="282">
        <f t="shared" ref="E59:E62" si="63">LMDomTS*D59*M59</f>
        <v>394.8175329759863</v>
      </c>
      <c r="F59" s="283">
        <f t="shared" ref="F59:F62" si="64">LMDomTS*D59</f>
        <v>6.7490176577091674</v>
      </c>
      <c r="G59" s="284">
        <f t="shared" ref="G59:G62" si="65">$E59/L59</f>
        <v>8.5829898473040505</v>
      </c>
      <c r="H59" s="285">
        <f t="shared" ref="H59:H62" si="66">$E59/K59</f>
        <v>8.5829898473040505</v>
      </c>
      <c r="I59" s="286">
        <f t="shared" ref="I59:I62" si="67">E59*B59*12</f>
        <v>33164.672769982848</v>
      </c>
      <c r="J59" s="396"/>
      <c r="K59" s="343">
        <f t="shared" ref="K59:K62" si="68">$J18</f>
        <v>46</v>
      </c>
      <c r="L59" s="344">
        <f t="shared" ref="L59:L62" si="69">$R18</f>
        <v>46</v>
      </c>
      <c r="M59" s="344">
        <f t="shared" ref="M59:M62" si="70">$U18</f>
        <v>58.5</v>
      </c>
      <c r="N59" s="289">
        <f t="shared" ref="N59:N62" si="71">V59*B59*12</f>
        <v>33164.672769982848</v>
      </c>
      <c r="O59" s="290">
        <f t="shared" ref="O59:O62" si="72">Z59*B59*12</f>
        <v>4830</v>
      </c>
      <c r="P59" s="291">
        <f t="shared" ref="P59:P62" si="73">N59+O59</f>
        <v>37994.672769982848</v>
      </c>
      <c r="Q59" s="292">
        <f t="shared" ref="Q59:Q62" si="74">E59/$F$45*$R$45</f>
        <v>394.8175329759863</v>
      </c>
      <c r="R59" s="283">
        <f t="shared" ref="R59:R62" si="75">$Q59/M59</f>
        <v>6.7490176577091674</v>
      </c>
      <c r="S59" s="345">
        <f t="shared" ref="S59:S62" si="76">$Q59/L59</f>
        <v>8.5829898473040505</v>
      </c>
      <c r="T59" s="346">
        <f t="shared" ref="T59:T62" si="77">$Q59/K59</f>
        <v>8.5829898473040505</v>
      </c>
      <c r="U59"/>
      <c r="V59" s="294">
        <f t="shared" ref="V59:V62" si="78">Q59</f>
        <v>394.8175329759863</v>
      </c>
      <c r="W59" s="283">
        <f t="shared" ref="W59:W62" si="79">$Q59/M59</f>
        <v>6.7490176577091674</v>
      </c>
      <c r="X59" s="283">
        <f t="shared" ref="X59:X62" si="80">$Q59/L59</f>
        <v>8.5829898473040505</v>
      </c>
      <c r="Y59" s="293">
        <f t="shared" ref="Y59:Y62" si="81">$Q59/K59</f>
        <v>8.5829898473040505</v>
      </c>
      <c r="Z59" s="295">
        <f t="shared" si="59"/>
        <v>57.5</v>
      </c>
      <c r="AA59" s="296">
        <f t="shared" ref="AA59:AA62" si="82">V59+Z59</f>
        <v>452.3175329759863</v>
      </c>
      <c r="AB59" s="604">
        <f t="shared" ref="AB59:AB62" si="83">AC59-Z59</f>
        <v>312.5</v>
      </c>
      <c r="AC59" s="605">
        <f>IF(TYPE2="LLTS",VLOOKUP(A59,BASELOYERMAX,3),"")</f>
        <v>370</v>
      </c>
      <c r="AD59" s="606">
        <f>AB59*B59</f>
        <v>2187.5</v>
      </c>
      <c r="AE59" s="606">
        <f t="shared" ref="AE59:AE62" si="84">AB59-Q59</f>
        <v>-82.317532975986296</v>
      </c>
      <c r="AF59" s="612">
        <f t="shared" ref="AF59:AF62" si="85">AE59/V59</f>
        <v>-0.20849513028336825</v>
      </c>
      <c r="AH59"/>
    </row>
    <row r="60" spans="1:34" ht="15.95" customHeight="1" outlineLevel="1">
      <c r="A60" s="221" t="str">
        <f t="shared" si="60"/>
        <v>T III +V a</v>
      </c>
      <c r="B60" s="279">
        <f t="shared" si="61"/>
        <v>11</v>
      </c>
      <c r="C60" s="341">
        <f t="shared" si="62"/>
        <v>863.5</v>
      </c>
      <c r="D60" s="342">
        <f>D63</f>
        <v>0.96829521631408433</v>
      </c>
      <c r="E60" s="282">
        <f t="shared" si="63"/>
        <v>529.79788613016967</v>
      </c>
      <c r="F60" s="283">
        <f t="shared" si="64"/>
        <v>6.7490176577091674</v>
      </c>
      <c r="G60" s="284">
        <f t="shared" si="65"/>
        <v>8.0272406989419647</v>
      </c>
      <c r="H60" s="285">
        <f t="shared" si="66"/>
        <v>8.0272406989419647</v>
      </c>
      <c r="I60" s="286">
        <f t="shared" si="67"/>
        <v>69933.320969182387</v>
      </c>
      <c r="J60" s="396"/>
      <c r="K60" s="343">
        <f t="shared" si="68"/>
        <v>66</v>
      </c>
      <c r="L60" s="344">
        <f t="shared" si="69"/>
        <v>66</v>
      </c>
      <c r="M60" s="344">
        <f t="shared" si="70"/>
        <v>78.5</v>
      </c>
      <c r="N60" s="289">
        <f t="shared" si="71"/>
        <v>69933.320969182387</v>
      </c>
      <c r="O60" s="290">
        <f t="shared" si="72"/>
        <v>10890</v>
      </c>
      <c r="P60" s="291">
        <f t="shared" si="73"/>
        <v>80823.320969182387</v>
      </c>
      <c r="Q60" s="292">
        <f t="shared" si="74"/>
        <v>529.79788613016967</v>
      </c>
      <c r="R60" s="283">
        <f t="shared" si="75"/>
        <v>6.7490176577091674</v>
      </c>
      <c r="S60" s="345">
        <f t="shared" si="76"/>
        <v>8.0272406989419647</v>
      </c>
      <c r="T60" s="346">
        <f t="shared" si="77"/>
        <v>8.0272406989419647</v>
      </c>
      <c r="U60"/>
      <c r="V60" s="294">
        <f t="shared" si="78"/>
        <v>529.79788613016967</v>
      </c>
      <c r="W60" s="283">
        <f t="shared" si="79"/>
        <v>6.7490176577091674</v>
      </c>
      <c r="X60" s="283">
        <f t="shared" si="80"/>
        <v>8.0272406989419647</v>
      </c>
      <c r="Y60" s="293">
        <f t="shared" si="81"/>
        <v>8.0272406989419647</v>
      </c>
      <c r="Z60" s="295">
        <f t="shared" si="59"/>
        <v>82.5</v>
      </c>
      <c r="AA60" s="296">
        <f t="shared" si="82"/>
        <v>612.29788613016967</v>
      </c>
      <c r="AB60" s="604">
        <f t="shared" si="83"/>
        <v>387.5</v>
      </c>
      <c r="AC60" s="605">
        <f>IF(TYPE2="LLTS",VLOOKUP(A60,BASELOYERMAX,3),"")</f>
        <v>470</v>
      </c>
      <c r="AD60" s="606">
        <f>AB60*B60</f>
        <v>4262.5</v>
      </c>
      <c r="AE60" s="606">
        <f t="shared" si="84"/>
        <v>-142.29788613016967</v>
      </c>
      <c r="AF60" s="612">
        <f t="shared" si="85"/>
        <v>-0.26858900319433804</v>
      </c>
      <c r="AH60"/>
    </row>
    <row r="61" spans="1:34" ht="15.95" customHeight="1" outlineLevel="1">
      <c r="A61" s="221" t="str">
        <f t="shared" si="60"/>
        <v>T IV + V a</v>
      </c>
      <c r="B61" s="279">
        <f t="shared" si="61"/>
        <v>10</v>
      </c>
      <c r="C61" s="341">
        <f t="shared" si="62"/>
        <v>885</v>
      </c>
      <c r="D61" s="342">
        <f>D63</f>
        <v>0.96829521631408433</v>
      </c>
      <c r="E61" s="282">
        <f t="shared" si="63"/>
        <v>597.28806270726136</v>
      </c>
      <c r="F61" s="283">
        <f t="shared" si="64"/>
        <v>6.7490176577091674</v>
      </c>
      <c r="G61" s="284">
        <f t="shared" si="65"/>
        <v>7.8590534566744914</v>
      </c>
      <c r="H61" s="285">
        <f t="shared" si="66"/>
        <v>7.8590534566744914</v>
      </c>
      <c r="I61" s="286">
        <f t="shared" si="67"/>
        <v>71674.567524871367</v>
      </c>
      <c r="J61" s="396"/>
      <c r="K61" s="343">
        <f t="shared" si="68"/>
        <v>76</v>
      </c>
      <c r="L61" s="344">
        <f t="shared" si="69"/>
        <v>76</v>
      </c>
      <c r="M61" s="344">
        <f t="shared" si="70"/>
        <v>88.5</v>
      </c>
      <c r="N61" s="289">
        <f t="shared" si="71"/>
        <v>71674.567524871367</v>
      </c>
      <c r="O61" s="290">
        <f t="shared" si="72"/>
        <v>11400</v>
      </c>
      <c r="P61" s="291">
        <f t="shared" si="73"/>
        <v>83074.567524871367</v>
      </c>
      <c r="Q61" s="292">
        <f t="shared" si="74"/>
        <v>597.28806270726136</v>
      </c>
      <c r="R61" s="283">
        <f t="shared" si="75"/>
        <v>6.7490176577091683</v>
      </c>
      <c r="S61" s="345">
        <f t="shared" si="76"/>
        <v>7.8590534566744914</v>
      </c>
      <c r="T61" s="346">
        <f t="shared" si="77"/>
        <v>7.8590534566744914</v>
      </c>
      <c r="U61"/>
      <c r="V61" s="294">
        <f t="shared" si="78"/>
        <v>597.28806270726136</v>
      </c>
      <c r="W61" s="283">
        <f t="shared" si="79"/>
        <v>6.7490176577091683</v>
      </c>
      <c r="X61" s="283">
        <f t="shared" si="80"/>
        <v>7.8590534566744914</v>
      </c>
      <c r="Y61" s="293">
        <f t="shared" si="81"/>
        <v>7.8590534566744914</v>
      </c>
      <c r="Z61" s="295">
        <f t="shared" si="59"/>
        <v>95</v>
      </c>
      <c r="AA61" s="296">
        <f t="shared" si="82"/>
        <v>692.28806270726136</v>
      </c>
      <c r="AB61" s="604">
        <f t="shared" si="83"/>
        <v>425</v>
      </c>
      <c r="AC61" s="605">
        <f>IF(TYPE2="LLTS",VLOOKUP(A61,BASELOYERMAX,3),"")</f>
        <v>520</v>
      </c>
      <c r="AD61" s="606">
        <f>AB61*B61</f>
        <v>4250</v>
      </c>
      <c r="AE61" s="606">
        <f t="shared" si="84"/>
        <v>-172.28806270726136</v>
      </c>
      <c r="AF61" s="612">
        <f t="shared" si="85"/>
        <v>-0.28845053746152294</v>
      </c>
      <c r="AH61"/>
    </row>
    <row r="62" spans="1:34" ht="15.95" customHeight="1" outlineLevel="1">
      <c r="A62" s="221" t="str">
        <f t="shared" si="60"/>
        <v>T V +V a</v>
      </c>
      <c r="B62" s="279">
        <f t="shared" si="61"/>
        <v>3</v>
      </c>
      <c r="C62" s="341">
        <f t="shared" si="62"/>
        <v>295.5</v>
      </c>
      <c r="D62" s="342">
        <f>D63</f>
        <v>0.96829521631408433</v>
      </c>
      <c r="E62" s="282">
        <f t="shared" si="63"/>
        <v>664.77823928435294</v>
      </c>
      <c r="F62" s="283">
        <f t="shared" si="64"/>
        <v>6.7490176577091674</v>
      </c>
      <c r="G62" s="284">
        <f t="shared" si="65"/>
        <v>7.7299795265622437</v>
      </c>
      <c r="H62" s="285">
        <f t="shared" si="66"/>
        <v>7.7299795265622437</v>
      </c>
      <c r="I62" s="286">
        <f t="shared" si="67"/>
        <v>23932.016614236709</v>
      </c>
      <c r="J62" s="396"/>
      <c r="K62" s="343">
        <f t="shared" si="68"/>
        <v>86</v>
      </c>
      <c r="L62" s="344">
        <f t="shared" si="69"/>
        <v>86</v>
      </c>
      <c r="M62" s="344">
        <f t="shared" si="70"/>
        <v>98.5</v>
      </c>
      <c r="N62" s="289">
        <f t="shared" si="71"/>
        <v>23932.016614236709</v>
      </c>
      <c r="O62" s="290">
        <f t="shared" si="72"/>
        <v>3870</v>
      </c>
      <c r="P62" s="291">
        <f t="shared" si="73"/>
        <v>27802.016614236709</v>
      </c>
      <c r="Q62" s="292">
        <f t="shared" si="74"/>
        <v>664.77823928435294</v>
      </c>
      <c r="R62" s="283">
        <f t="shared" si="75"/>
        <v>6.7490176577091665</v>
      </c>
      <c r="S62" s="345">
        <f t="shared" si="76"/>
        <v>7.7299795265622437</v>
      </c>
      <c r="T62" s="346">
        <f t="shared" si="77"/>
        <v>7.7299795265622437</v>
      </c>
      <c r="U62"/>
      <c r="V62" s="294">
        <f t="shared" si="78"/>
        <v>664.77823928435294</v>
      </c>
      <c r="W62" s="283">
        <f t="shared" si="79"/>
        <v>6.7490176577091665</v>
      </c>
      <c r="X62" s="283">
        <f t="shared" si="80"/>
        <v>7.7299795265622437</v>
      </c>
      <c r="Y62" s="293">
        <f t="shared" si="81"/>
        <v>7.7299795265622437</v>
      </c>
      <c r="Z62" s="295">
        <f t="shared" si="59"/>
        <v>107.5</v>
      </c>
      <c r="AA62" s="296">
        <f t="shared" si="82"/>
        <v>772.27823928435294</v>
      </c>
      <c r="AB62" s="604">
        <f t="shared" si="83"/>
        <v>492.5</v>
      </c>
      <c r="AC62" s="605">
        <f>IF(TYPE2="LLTS",VLOOKUP(A62,BASELOYERMAX,3),"")</f>
        <v>600</v>
      </c>
      <c r="AD62" s="606">
        <f>AB62*B62</f>
        <v>1477.5</v>
      </c>
      <c r="AE62" s="606">
        <f t="shared" si="84"/>
        <v>-172.27823928435294</v>
      </c>
      <c r="AF62" s="612">
        <f t="shared" si="85"/>
        <v>-0.2591514419452326</v>
      </c>
      <c r="AH62"/>
    </row>
    <row r="63" spans="1:34" ht="15.95" customHeight="1">
      <c r="A63" s="299" t="s">
        <v>120</v>
      </c>
      <c r="B63" s="300">
        <f>SUM(B58:B62)</f>
        <v>35</v>
      </c>
      <c r="C63" s="348">
        <f>SUM(C58:C62)</f>
        <v>2623.5</v>
      </c>
      <c r="D63" s="302">
        <f>0.685*(31*B63+C63)/C63</f>
        <v>0.96829521631408433</v>
      </c>
      <c r="E63" s="303">
        <f t="shared" si="57"/>
        <v>505.88708071428573</v>
      </c>
      <c r="F63" s="546">
        <f t="shared" si="58"/>
        <v>6.7490176577091674</v>
      </c>
      <c r="G63" s="305">
        <f>$E63/L63</f>
        <v>8.099747403934126</v>
      </c>
      <c r="H63" s="306">
        <f>$E63/K63</f>
        <v>8.099747403934126</v>
      </c>
      <c r="I63" s="307">
        <f>SUM(I58:I62)</f>
        <v>212472.57390000002</v>
      </c>
      <c r="J63" s="435"/>
      <c r="K63" s="349">
        <f>SH.LLTS/B63</f>
        <v>62.457142857142856</v>
      </c>
      <c r="L63" s="350">
        <f>SU.LLTS/B63</f>
        <v>62.457142857142856</v>
      </c>
      <c r="M63" s="351">
        <f>SF.LLTS/B63</f>
        <v>74.957142857142856</v>
      </c>
      <c r="N63" s="311">
        <f>SUM(N58:N62)</f>
        <v>212472.57390000002</v>
      </c>
      <c r="O63" s="312">
        <f>SUM(O58:O62)</f>
        <v>32790</v>
      </c>
      <c r="P63" s="313">
        <f>SUM(P58:P62)</f>
        <v>245262.57390000002</v>
      </c>
      <c r="Q63" s="314">
        <f>E63/$F$45*$R$45</f>
        <v>505.88708071428573</v>
      </c>
      <c r="R63" s="304">
        <f>$Q63/M63</f>
        <v>6.7490176577091674</v>
      </c>
      <c r="S63" s="305">
        <f>$Q63/L63</f>
        <v>8.099747403934126</v>
      </c>
      <c r="T63" s="315">
        <f>$Q63/K63</f>
        <v>8.099747403934126</v>
      </c>
      <c r="U63" s="352"/>
      <c r="V63" s="316">
        <f>Y64/12/B63</f>
        <v>505.88708071428573</v>
      </c>
      <c r="W63" s="304">
        <f>$Q63/M63</f>
        <v>6.7490176577091674</v>
      </c>
      <c r="X63" s="305">
        <f>$Q63/L63</f>
        <v>8.099747403934126</v>
      </c>
      <c r="Y63" s="306">
        <f>$Q63/K63</f>
        <v>8.099747403934126</v>
      </c>
      <c r="Z63" s="317">
        <f t="shared" si="59"/>
        <v>78.071428571428569</v>
      </c>
      <c r="AA63" s="318">
        <f>V63+Z63</f>
        <v>583.95850928571429</v>
      </c>
      <c r="AB63" s="607"/>
      <c r="AC63" s="610"/>
      <c r="AD63" s="603"/>
      <c r="AE63" s="603"/>
      <c r="AH63"/>
    </row>
    <row r="64" spans="1:34" ht="15.95" customHeight="1" thickBot="1">
      <c r="A64" s="321"/>
      <c r="B64" s="102"/>
      <c r="C64" s="322">
        <f>SF.LLTS-C63</f>
        <v>0</v>
      </c>
      <c r="D64" s="102"/>
      <c r="E64" s="353"/>
      <c r="F64" s="102"/>
      <c r="G64" s="102"/>
      <c r="H64" s="324" t="s">
        <v>113</v>
      </c>
      <c r="I64" s="353">
        <f>(F63*SF.LLTS*12)</f>
        <v>212472.57390000002</v>
      </c>
      <c r="J64" s="353"/>
      <c r="K64" s="354"/>
      <c r="L64" s="354"/>
      <c r="M64" s="326"/>
      <c r="N64" s="327"/>
      <c r="O64" s="327"/>
      <c r="P64" s="327"/>
      <c r="Q64" s="353"/>
      <c r="R64" s="102"/>
      <c r="S64" s="324" t="s">
        <v>113</v>
      </c>
      <c r="T64" s="353">
        <f>I63/$F$45*$R$45</f>
        <v>212472.57390000002</v>
      </c>
      <c r="U64" s="328"/>
      <c r="V64" s="353"/>
      <c r="W64" s="102"/>
      <c r="X64" s="324" t="s">
        <v>113</v>
      </c>
      <c r="Y64" s="353">
        <f>N63</f>
        <v>212472.57390000002</v>
      </c>
      <c r="Z64" s="353"/>
      <c r="AA64" s="353"/>
      <c r="AB64" s="353"/>
      <c r="AC64" s="355"/>
      <c r="AD64" s="611">
        <f>SUM(AD58:AD62)*12</f>
        <v>159897.99602172669</v>
      </c>
      <c r="AE64" s="615">
        <f>(AD64-T64)/Y64</f>
        <v>-0.24744171406808246</v>
      </c>
      <c r="AH64"/>
    </row>
    <row r="65" spans="1:34" ht="15.95" customHeight="1">
      <c r="A65" s="330" t="s">
        <v>59</v>
      </c>
      <c r="B65" s="234"/>
      <c r="C65" s="331"/>
      <c r="D65" s="332"/>
      <c r="E65" s="333"/>
      <c r="F65" s="262"/>
      <c r="G65" s="263"/>
      <c r="H65" s="264"/>
      <c r="I65" s="265"/>
      <c r="J65" s="437"/>
      <c r="K65" s="334"/>
      <c r="L65" s="335"/>
      <c r="M65" s="335"/>
      <c r="N65" s="268"/>
      <c r="O65" s="269"/>
      <c r="P65" s="270"/>
      <c r="Q65" s="336"/>
      <c r="R65" s="262"/>
      <c r="S65" s="263"/>
      <c r="T65" s="337"/>
      <c r="U65"/>
      <c r="V65" s="338"/>
      <c r="W65" s="274"/>
      <c r="X65" s="263"/>
      <c r="Y65" s="8"/>
      <c r="Z65" s="339"/>
      <c r="AA65" s="340"/>
      <c r="AB65" s="277"/>
      <c r="AC65" s="278"/>
      <c r="AH65"/>
    </row>
    <row r="66" spans="1:34" ht="15.95" hidden="1" customHeight="1" outlineLevel="1">
      <c r="A66" s="221" t="str">
        <f>+A25</f>
        <v>COMMERCE 1</v>
      </c>
      <c r="B66" s="279">
        <f>+V25</f>
        <v>0</v>
      </c>
      <c r="C66" s="341">
        <f>+AC25</f>
        <v>0</v>
      </c>
      <c r="D66" s="281"/>
      <c r="E66" s="282"/>
      <c r="F66" s="283"/>
      <c r="G66" s="284"/>
      <c r="H66" s="285"/>
      <c r="I66" s="286"/>
      <c r="J66" s="396"/>
      <c r="K66" s="287"/>
      <c r="L66" s="288"/>
      <c r="M66" s="288"/>
      <c r="N66" s="289"/>
      <c r="O66" s="290"/>
      <c r="P66" s="291"/>
      <c r="Q66" s="292"/>
      <c r="R66" s="283"/>
      <c r="S66" s="283"/>
      <c r="T66" s="346"/>
      <c r="U66"/>
      <c r="V66" s="294"/>
      <c r="W66" s="283"/>
      <c r="X66" s="283"/>
      <c r="Y66" s="293"/>
      <c r="Z66" s="295"/>
      <c r="AA66" s="296"/>
      <c r="AB66" s="297"/>
      <c r="AC66" s="298"/>
      <c r="AH66"/>
    </row>
    <row r="67" spans="1:34" ht="15.95" hidden="1" customHeight="1" outlineLevel="1">
      <c r="A67" s="221" t="str">
        <f>+A26</f>
        <v>COMMERCE 2</v>
      </c>
      <c r="B67" s="279">
        <f>+V26</f>
        <v>0</v>
      </c>
      <c r="C67" s="341">
        <f>+AC26</f>
        <v>0</v>
      </c>
      <c r="D67" s="281"/>
      <c r="E67" s="282"/>
      <c r="F67" s="283"/>
      <c r="G67" s="284"/>
      <c r="H67" s="285"/>
      <c r="I67" s="286"/>
      <c r="J67" s="396"/>
      <c r="K67" s="287"/>
      <c r="L67" s="288"/>
      <c r="M67" s="288"/>
      <c r="N67" s="289"/>
      <c r="O67" s="290"/>
      <c r="P67" s="291"/>
      <c r="Q67" s="292"/>
      <c r="R67" s="283"/>
      <c r="S67" s="283"/>
      <c r="T67" s="346"/>
      <c r="U67"/>
      <c r="V67" s="294"/>
      <c r="W67" s="283"/>
      <c r="X67" s="283"/>
      <c r="Y67" s="293"/>
      <c r="Z67" s="295"/>
      <c r="AA67" s="296"/>
      <c r="AB67" s="297"/>
      <c r="AC67" s="298"/>
      <c r="AH67"/>
    </row>
    <row r="68" spans="1:34" ht="15.95" hidden="1" customHeight="1" outlineLevel="1">
      <c r="A68" s="221" t="str">
        <f>+A27</f>
        <v>COMMERCE 3</v>
      </c>
      <c r="B68" s="279">
        <f>+V27</f>
        <v>0</v>
      </c>
      <c r="C68" s="341">
        <f>+AC27</f>
        <v>0</v>
      </c>
      <c r="D68" s="281"/>
      <c r="E68" s="282"/>
      <c r="F68" s="283"/>
      <c r="G68" s="284"/>
      <c r="H68" s="285"/>
      <c r="I68" s="286"/>
      <c r="J68" s="396"/>
      <c r="K68" s="287"/>
      <c r="L68" s="288"/>
      <c r="M68" s="288"/>
      <c r="N68" s="289"/>
      <c r="O68" s="290"/>
      <c r="P68" s="291"/>
      <c r="Q68" s="292"/>
      <c r="R68" s="283"/>
      <c r="S68" s="283"/>
      <c r="T68" s="346"/>
      <c r="U68"/>
      <c r="V68" s="294"/>
      <c r="W68" s="283"/>
      <c r="X68" s="283"/>
      <c r="Y68" s="293"/>
      <c r="Z68" s="295"/>
      <c r="AA68" s="296"/>
      <c r="AB68" s="297"/>
      <c r="AC68" s="298"/>
      <c r="AH68"/>
    </row>
    <row r="69" spans="1:34" ht="15.95" hidden="1" customHeight="1" outlineLevel="1">
      <c r="A69" s="221" t="str">
        <f>+A28</f>
        <v>COMMERCE 4</v>
      </c>
      <c r="B69" s="279">
        <f>+V28</f>
        <v>0</v>
      </c>
      <c r="C69" s="341">
        <f>+AC28</f>
        <v>0</v>
      </c>
      <c r="D69" s="281"/>
      <c r="E69" s="282"/>
      <c r="F69" s="283"/>
      <c r="G69" s="284"/>
      <c r="H69" s="285"/>
      <c r="I69" s="286"/>
      <c r="J69" s="396"/>
      <c r="K69" s="287"/>
      <c r="L69" s="288"/>
      <c r="M69" s="288"/>
      <c r="N69" s="289"/>
      <c r="O69" s="290"/>
      <c r="P69" s="291"/>
      <c r="Q69" s="292"/>
      <c r="R69" s="283"/>
      <c r="S69" s="283"/>
      <c r="T69" s="356"/>
      <c r="U69"/>
      <c r="V69" s="294"/>
      <c r="W69" s="283"/>
      <c r="X69" s="283"/>
      <c r="Y69" s="293"/>
      <c r="Z69" s="295"/>
      <c r="AA69" s="296"/>
      <c r="AB69" s="297"/>
      <c r="AC69" s="298"/>
      <c r="AH69"/>
    </row>
    <row r="70" spans="1:34" ht="15.95" customHeight="1" collapsed="1">
      <c r="A70" s="299"/>
      <c r="B70" s="300">
        <f>SUM(B66:B69)</f>
        <v>0</v>
      </c>
      <c r="C70" s="348">
        <f>SUM(C66:C69)</f>
        <v>0</v>
      </c>
      <c r="D70" s="347"/>
      <c r="E70" s="303"/>
      <c r="F70" s="304"/>
      <c r="G70" s="305"/>
      <c r="H70" s="306"/>
      <c r="I70" s="307"/>
      <c r="J70" s="435"/>
      <c r="K70" s="308"/>
      <c r="L70" s="309"/>
      <c r="M70" s="310"/>
      <c r="N70" s="311"/>
      <c r="O70" s="312"/>
      <c r="P70" s="313"/>
      <c r="Q70" s="314"/>
      <c r="R70" s="304"/>
      <c r="S70" s="305"/>
      <c r="T70" s="315"/>
      <c r="U70" s="352"/>
      <c r="V70" s="316"/>
      <c r="W70" s="304"/>
      <c r="X70" s="305"/>
      <c r="Y70" s="306"/>
      <c r="Z70" s="317"/>
      <c r="AA70" s="318"/>
      <c r="AB70" s="319"/>
      <c r="AC70" s="320"/>
      <c r="AH70"/>
    </row>
    <row r="71" spans="1:34" ht="15.95" customHeight="1" thickBot="1">
      <c r="A71" s="357"/>
      <c r="B71" s="358"/>
      <c r="C71" s="322"/>
      <c r="D71" s="358"/>
      <c r="E71" s="359"/>
      <c r="F71" s="358"/>
      <c r="G71" s="358"/>
      <c r="H71" s="360"/>
      <c r="I71" s="359"/>
      <c r="J71" s="438"/>
      <c r="K71" s="591"/>
      <c r="L71" s="591"/>
      <c r="M71" s="361"/>
      <c r="N71" s="362"/>
      <c r="O71" s="362"/>
      <c r="P71" s="362"/>
      <c r="Q71" s="359"/>
      <c r="R71" s="358"/>
      <c r="S71" s="360"/>
      <c r="T71" s="359"/>
      <c r="U71" s="328"/>
      <c r="V71" s="359"/>
      <c r="W71" s="358"/>
      <c r="X71" s="360"/>
      <c r="Y71" s="359"/>
      <c r="Z71" s="359"/>
      <c r="AA71" s="359"/>
      <c r="AB71" s="359"/>
      <c r="AC71" s="363"/>
      <c r="AH71"/>
    </row>
    <row r="72" spans="1:34" ht="15.95" customHeight="1" thickBot="1">
      <c r="A72" s="364" t="s">
        <v>12</v>
      </c>
      <c r="B72" s="365">
        <f>B55+B63+B70</f>
        <v>70</v>
      </c>
      <c r="C72" s="366">
        <f>C55+C63+C70</f>
        <v>5247</v>
      </c>
      <c r="D72" s="367">
        <f>0.685*(31*B72+C72)/C72</f>
        <v>0.96829521631408433</v>
      </c>
      <c r="E72" s="368">
        <f>I72/12/B72</f>
        <v>505.88708071428573</v>
      </c>
      <c r="F72" s="369">
        <f>I72/12/SF.T</f>
        <v>6.7490176577091674</v>
      </c>
      <c r="G72" s="370">
        <f>E72/L72</f>
        <v>8.099747403934126</v>
      </c>
      <c r="H72" s="371">
        <f>E72/K72</f>
        <v>8.099747403934126</v>
      </c>
      <c r="I72" s="372">
        <f>I55+I63+I70</f>
        <v>424945.14780000004</v>
      </c>
      <c r="J72" s="439"/>
      <c r="K72" s="373">
        <f>SH.T/B72</f>
        <v>62.457142857142856</v>
      </c>
      <c r="L72" s="374">
        <f>SU.T/B72</f>
        <v>62.457142857142856</v>
      </c>
      <c r="M72" s="374">
        <f>SF.T/B72</f>
        <v>74.957142857142856</v>
      </c>
      <c r="N72" s="375">
        <f>N55+N63+N70</f>
        <v>424945.14780000004</v>
      </c>
      <c r="O72" s="376">
        <f>O55+O63+O70</f>
        <v>65580</v>
      </c>
      <c r="P72" s="377">
        <f>P55+P63+P70</f>
        <v>490525.14780000004</v>
      </c>
      <c r="Q72" s="378">
        <f>E72/$F$45*$R$45</f>
        <v>505.88708071428573</v>
      </c>
      <c r="R72" s="369">
        <f>$Q72/M72</f>
        <v>6.7490176577091674</v>
      </c>
      <c r="S72" s="379">
        <f>$Q72/L72</f>
        <v>8.099747403934126</v>
      </c>
      <c r="T72" s="380">
        <f>$Q72/K72</f>
        <v>8.099747403934126</v>
      </c>
      <c r="U72"/>
      <c r="V72" s="381">
        <f>Y73/12/B72</f>
        <v>505.88708071428573</v>
      </c>
      <c r="W72" s="382">
        <f>$Q72/M72</f>
        <v>6.7490176577091674</v>
      </c>
      <c r="X72" s="370">
        <f>$Q72/L72</f>
        <v>8.099747403934126</v>
      </c>
      <c r="Y72" s="383">
        <f>$Q72/K72</f>
        <v>8.099747403934126</v>
      </c>
      <c r="Z72" s="384">
        <f>O72/12/B72</f>
        <v>78.071428571428569</v>
      </c>
      <c r="AA72" s="380">
        <f>P72/12/B72</f>
        <v>583.95850928571429</v>
      </c>
      <c r="AB72" s="385"/>
      <c r="AC72" s="386"/>
      <c r="AH72"/>
    </row>
    <row r="73" spans="1:34" ht="15.95" customHeight="1">
      <c r="A73" s="387" t="s">
        <v>114</v>
      </c>
      <c r="B73" s="388">
        <f>Nbre-B72</f>
        <v>0</v>
      </c>
      <c r="C73" s="389">
        <f>SF.T-C72</f>
        <v>0</v>
      </c>
      <c r="D73" s="388"/>
      <c r="E73" s="390"/>
      <c r="G73" s="391"/>
      <c r="H73" s="392" t="s">
        <v>113</v>
      </c>
      <c r="I73" s="393">
        <f>F72*SF.T*12</f>
        <v>424945.14780000004</v>
      </c>
      <c r="J73" s="393"/>
      <c r="K73" s="394"/>
      <c r="L73" s="394"/>
      <c r="M73" s="394"/>
      <c r="N73" s="199"/>
      <c r="O73" s="199"/>
      <c r="P73" s="199"/>
      <c r="Q73" s="395"/>
      <c r="R73" s="396"/>
      <c r="S73" s="392" t="s">
        <v>113</v>
      </c>
      <c r="T73" s="393">
        <f>T56+T64</f>
        <v>424945.14780000004</v>
      </c>
      <c r="U73" s="213"/>
      <c r="V73" s="395"/>
      <c r="W73" s="396"/>
      <c r="X73" s="392" t="s">
        <v>113</v>
      </c>
      <c r="Y73" s="393">
        <f>Y56+Y64+Y70</f>
        <v>424945.14780000004</v>
      </c>
      <c r="AA73"/>
      <c r="AB73"/>
      <c r="AC73" s="194"/>
      <c r="AH73"/>
    </row>
    <row r="74" spans="1:34" ht="15.95" customHeight="1">
      <c r="A74" s="125"/>
      <c r="B74" s="128"/>
      <c r="C74" s="129"/>
      <c r="D74" s="129"/>
      <c r="E74" s="130"/>
      <c r="F74" s="397"/>
      <c r="G74" s="397"/>
      <c r="H74" s="398"/>
      <c r="I74" s="397"/>
      <c r="J74" s="397"/>
      <c r="K74" s="394"/>
      <c r="L74" s="394"/>
      <c r="M74" s="394"/>
      <c r="N74" s="211"/>
      <c r="O74" s="211"/>
      <c r="P74" s="211"/>
      <c r="Q74" s="399"/>
      <c r="R74" s="397"/>
      <c r="S74" s="400"/>
      <c r="T74" s="401">
        <f>(I73/$F$45*$R$45)-T73</f>
        <v>0</v>
      </c>
      <c r="U74" s="402"/>
      <c r="V74" s="403"/>
      <c r="W74" s="404"/>
      <c r="X74" s="404"/>
      <c r="Y74" s="402"/>
      <c r="Z74" s="404"/>
      <c r="AA74" s="402"/>
      <c r="AB74" s="404"/>
      <c r="AC74" s="405"/>
      <c r="AH74"/>
    </row>
    <row r="75" spans="1:34" ht="15.95" customHeight="1" thickBot="1">
      <c r="A75" s="406"/>
      <c r="B75" s="407"/>
      <c r="C75" s="408"/>
      <c r="D75" s="408"/>
      <c r="E75" s="409"/>
      <c r="F75" s="409"/>
      <c r="G75" s="409"/>
      <c r="H75" s="409"/>
      <c r="I75" s="408"/>
      <c r="J75" s="440"/>
      <c r="K75" s="408"/>
      <c r="L75" s="408"/>
      <c r="M75" s="408"/>
      <c r="N75" s="408"/>
      <c r="O75" s="408"/>
      <c r="P75" s="408"/>
      <c r="Q75" s="408"/>
      <c r="R75" s="408"/>
      <c r="S75" s="408"/>
      <c r="T75" s="408"/>
      <c r="U75" s="409"/>
      <c r="V75" s="409"/>
      <c r="W75" s="409"/>
      <c r="X75" s="409"/>
      <c r="Y75" s="409"/>
      <c r="Z75" s="409"/>
      <c r="AA75" s="409"/>
      <c r="AB75" s="409"/>
      <c r="AC75" s="410"/>
      <c r="AH75"/>
    </row>
    <row r="76" spans="1:34">
      <c r="A76" s="133"/>
      <c r="B76" s="153"/>
      <c r="D76" s="133"/>
      <c r="G76" s="133"/>
      <c r="H76" s="133"/>
      <c r="I76" s="133"/>
      <c r="P76" s="133"/>
      <c r="U76" s="133"/>
      <c r="V76" s="133"/>
      <c r="W76" s="133"/>
      <c r="X76" s="133"/>
    </row>
    <row r="77" spans="1:34" ht="11.25" customHeight="1">
      <c r="A77" s="133"/>
      <c r="B77" s="153"/>
      <c r="D77" s="133" t="s">
        <v>3</v>
      </c>
      <c r="E77" s="133" t="s">
        <v>3</v>
      </c>
      <c r="G77" s="133"/>
      <c r="H77" s="133" t="s">
        <v>3</v>
      </c>
      <c r="I77" s="133"/>
      <c r="P77" s="133"/>
      <c r="U77" s="133"/>
      <c r="V77" s="133"/>
      <c r="W77" s="133"/>
      <c r="X77" s="133"/>
    </row>
    <row r="78" spans="1:34">
      <c r="A78" s="133"/>
      <c r="B78" s="153"/>
      <c r="D78" s="133"/>
      <c r="G78" s="133"/>
      <c r="H78" s="133"/>
      <c r="I78" s="133"/>
      <c r="P78" s="133"/>
      <c r="U78" s="133"/>
      <c r="V78" s="133"/>
      <c r="W78" s="133"/>
      <c r="X78" s="133"/>
    </row>
    <row r="79" spans="1:34">
      <c r="A79" s="133"/>
      <c r="B79" s="153"/>
      <c r="D79" s="133"/>
      <c r="G79" s="133"/>
      <c r="H79" s="133"/>
      <c r="I79" s="133"/>
      <c r="P79" s="133"/>
      <c r="U79" s="133"/>
      <c r="V79" s="133"/>
      <c r="W79" s="133"/>
      <c r="X79" s="133"/>
    </row>
    <row r="80" spans="1:34">
      <c r="A80" s="133"/>
      <c r="B80" s="153"/>
      <c r="D80" s="133"/>
      <c r="G80" s="133"/>
      <c r="H80" s="133"/>
      <c r="I80" s="133"/>
      <c r="P80" s="133"/>
      <c r="U80" s="133"/>
      <c r="V80" s="133"/>
      <c r="W80" s="133"/>
      <c r="X80" s="133"/>
    </row>
    <row r="81" spans="1:24">
      <c r="A81" s="133"/>
      <c r="B81" s="153"/>
      <c r="D81" s="133"/>
      <c r="G81" s="133"/>
      <c r="H81" s="133"/>
      <c r="I81" s="133"/>
      <c r="P81" s="133"/>
      <c r="U81" s="133"/>
      <c r="V81" s="133"/>
      <c r="W81" s="133"/>
      <c r="X81" s="133"/>
    </row>
    <row r="82" spans="1:24">
      <c r="A82" s="133"/>
      <c r="B82" s="153"/>
      <c r="C82" s="420" t="s">
        <v>125</v>
      </c>
      <c r="D82" s="421" t="s">
        <v>126</v>
      </c>
      <c r="E82" s="422">
        <v>10</v>
      </c>
      <c r="F82" s="423" t="s">
        <v>122</v>
      </c>
      <c r="G82" s="133"/>
      <c r="H82" s="133"/>
      <c r="I82" s="133"/>
      <c r="P82" s="133"/>
      <c r="U82" s="133"/>
      <c r="V82" s="133"/>
      <c r="W82" s="133"/>
      <c r="X82" s="133"/>
    </row>
    <row r="83" spans="1:24">
      <c r="A83" s="133"/>
      <c r="B83" s="153"/>
      <c r="C83" s="420" t="s">
        <v>127</v>
      </c>
      <c r="D83" s="421" t="s">
        <v>128</v>
      </c>
      <c r="E83" s="422">
        <v>12</v>
      </c>
      <c r="F83" s="423" t="s">
        <v>129</v>
      </c>
      <c r="G83" s="133"/>
      <c r="H83" s="133"/>
      <c r="I83" s="133"/>
      <c r="P83" s="133"/>
      <c r="U83" s="133"/>
      <c r="V83" s="133"/>
      <c r="W83" s="133"/>
      <c r="X83" s="133"/>
    </row>
    <row r="84" spans="1:24">
      <c r="A84" s="133"/>
      <c r="B84" s="153"/>
      <c r="C84" s="420" t="s">
        <v>130</v>
      </c>
      <c r="D84" s="421" t="s">
        <v>128</v>
      </c>
      <c r="E84" s="422">
        <v>12</v>
      </c>
      <c r="F84" s="423" t="s">
        <v>129</v>
      </c>
      <c r="G84" s="133"/>
      <c r="H84" s="133"/>
      <c r="I84" s="133"/>
      <c r="P84" s="133"/>
      <c r="U84" s="133"/>
      <c r="V84" s="133"/>
      <c r="W84" s="133"/>
      <c r="X84" s="133"/>
    </row>
    <row r="85" spans="1:24">
      <c r="A85" s="133"/>
      <c r="B85" s="153"/>
      <c r="C85" s="420" t="s">
        <v>131</v>
      </c>
      <c r="D85" s="421" t="s">
        <v>132</v>
      </c>
      <c r="E85" s="422">
        <v>20</v>
      </c>
      <c r="F85" s="423" t="s">
        <v>47</v>
      </c>
      <c r="G85" s="133"/>
      <c r="H85" s="133"/>
      <c r="I85" s="133"/>
      <c r="P85" s="133"/>
      <c r="U85" s="133"/>
      <c r="V85" s="133"/>
      <c r="W85" s="133"/>
      <c r="X85" s="133"/>
    </row>
    <row r="86" spans="1:24">
      <c r="A86" s="133"/>
      <c r="B86" s="153"/>
      <c r="C86" s="420" t="s">
        <v>48</v>
      </c>
      <c r="D86" s="421" t="s">
        <v>49</v>
      </c>
      <c r="E86" s="422">
        <v>25</v>
      </c>
      <c r="F86" s="423" t="s">
        <v>50</v>
      </c>
      <c r="G86" s="133"/>
      <c r="H86" s="133"/>
      <c r="I86" s="133"/>
      <c r="P86" s="133"/>
      <c r="U86" s="133"/>
      <c r="V86" s="133"/>
      <c r="W86" s="133"/>
      <c r="X86" s="133"/>
    </row>
    <row r="87" spans="1:24">
      <c r="A87" s="133"/>
      <c r="B87" s="153"/>
      <c r="C87" s="420" t="s">
        <v>133</v>
      </c>
      <c r="D87" s="421" t="s">
        <v>49</v>
      </c>
      <c r="E87" s="422">
        <v>30</v>
      </c>
      <c r="F87" s="423" t="s">
        <v>50</v>
      </c>
      <c r="G87" s="133"/>
      <c r="H87" s="133"/>
      <c r="I87" s="133"/>
      <c r="P87" s="133"/>
      <c r="U87" s="133"/>
      <c r="V87" s="133"/>
      <c r="W87" s="133"/>
      <c r="X87" s="133"/>
    </row>
    <row r="88" spans="1:24">
      <c r="A88" s="133"/>
      <c r="B88" s="153"/>
      <c r="C88" s="420" t="s">
        <v>51</v>
      </c>
      <c r="D88" s="421" t="s">
        <v>52</v>
      </c>
      <c r="E88" s="422">
        <v>35</v>
      </c>
      <c r="F88" s="423" t="s">
        <v>53</v>
      </c>
      <c r="G88" s="133"/>
      <c r="H88" s="133"/>
      <c r="I88" s="133"/>
      <c r="P88" s="133"/>
      <c r="U88" s="133"/>
      <c r="V88" s="133"/>
      <c r="W88" s="133"/>
      <c r="X88" s="133"/>
    </row>
    <row r="89" spans="1:24">
      <c r="A89" s="133"/>
      <c r="B89" s="153"/>
      <c r="C89" s="420" t="s">
        <v>134</v>
      </c>
      <c r="D89" s="421" t="s">
        <v>52</v>
      </c>
      <c r="E89" s="422">
        <v>40</v>
      </c>
      <c r="F89" s="423" t="s">
        <v>53</v>
      </c>
      <c r="G89" s="133"/>
      <c r="H89" s="133"/>
      <c r="I89" s="133"/>
      <c r="P89" s="133"/>
      <c r="U89" s="133"/>
      <c r="V89" s="133"/>
      <c r="W89" s="133"/>
      <c r="X89" s="133"/>
    </row>
    <row r="90" spans="1:24">
      <c r="A90" s="133"/>
      <c r="B90" s="153"/>
      <c r="C90" s="420" t="s">
        <v>54</v>
      </c>
      <c r="D90" s="421" t="s">
        <v>55</v>
      </c>
      <c r="E90" s="422">
        <v>45</v>
      </c>
      <c r="F90" s="423" t="s">
        <v>56</v>
      </c>
      <c r="G90" s="133"/>
      <c r="H90" s="133"/>
      <c r="I90" s="133"/>
      <c r="P90" s="133"/>
      <c r="U90" s="133"/>
      <c r="V90" s="133"/>
      <c r="W90" s="133"/>
      <c r="X90" s="133"/>
    </row>
    <row r="91" spans="1:24">
      <c r="A91" s="133"/>
      <c r="B91" s="153"/>
      <c r="C91" s="420" t="s">
        <v>135</v>
      </c>
      <c r="D91" s="421" t="s">
        <v>55</v>
      </c>
      <c r="E91" s="422">
        <v>50</v>
      </c>
      <c r="F91" s="423" t="s">
        <v>56</v>
      </c>
      <c r="G91" s="133"/>
      <c r="H91" s="133"/>
      <c r="I91" s="133"/>
      <c r="P91" s="133"/>
      <c r="U91" s="133"/>
      <c r="V91" s="133"/>
      <c r="W91" s="133"/>
      <c r="X91" s="133"/>
    </row>
    <row r="92" spans="1:24">
      <c r="C92" s="420" t="s">
        <v>136</v>
      </c>
      <c r="D92" s="421" t="s">
        <v>57</v>
      </c>
      <c r="E92" s="422">
        <v>55</v>
      </c>
      <c r="F92" s="423" t="s">
        <v>58</v>
      </c>
    </row>
    <row r="93" spans="1:24">
      <c r="C93" s="420" t="s">
        <v>137</v>
      </c>
      <c r="D93" s="421" t="s">
        <v>57</v>
      </c>
      <c r="E93" s="422">
        <v>60</v>
      </c>
      <c r="F93" s="423" t="s">
        <v>58</v>
      </c>
    </row>
    <row r="94" spans="1:24">
      <c r="C94" s="420" t="s">
        <v>138</v>
      </c>
      <c r="D94" s="421" t="s">
        <v>139</v>
      </c>
      <c r="E94" s="422">
        <v>65</v>
      </c>
      <c r="F94" s="423" t="s">
        <v>123</v>
      </c>
    </row>
  </sheetData>
  <mergeCells count="26">
    <mergeCell ref="V46:Y46"/>
    <mergeCell ref="N45:P45"/>
    <mergeCell ref="C46:C47"/>
    <mergeCell ref="D46:D47"/>
    <mergeCell ref="E46:H46"/>
    <mergeCell ref="K46:M46"/>
    <mergeCell ref="Q46:T46"/>
    <mergeCell ref="AB44:AC44"/>
    <mergeCell ref="A29:B29"/>
    <mergeCell ref="A31:B31"/>
    <mergeCell ref="U32:U33"/>
    <mergeCell ref="E35:E37"/>
    <mergeCell ref="H35:H37"/>
    <mergeCell ref="Q35:Q38"/>
    <mergeCell ref="T35:T37"/>
    <mergeCell ref="T40:T41"/>
    <mergeCell ref="V40:W40"/>
    <mergeCell ref="V41:W41"/>
    <mergeCell ref="E44:I44"/>
    <mergeCell ref="V44:AA44"/>
    <mergeCell ref="A22:B22"/>
    <mergeCell ref="D1:F1"/>
    <mergeCell ref="F2:I2"/>
    <mergeCell ref="K5:M5"/>
    <mergeCell ref="X5:AC5"/>
    <mergeCell ref="A14:B14"/>
  </mergeCells>
  <printOptions horizontalCentered="1" verticalCentered="1" gridLines="1" gridLinesSet="0"/>
  <pageMargins left="0.39370078740157483" right="0.39370078740157483" top="0.59055118110236227" bottom="0.51181102362204722" header="0.27559055118110237" footer="0.27559055118110237"/>
  <pageSetup paperSize="9" scale="18" orientation="portrait" r:id="rId1"/>
  <headerFooter alignWithMargins="0">
    <oddHeader xml:space="preserve">&amp;L&amp;"Lucida Sans Unicode,Gras"&amp;18SODEGIS&amp;C&amp;"Arial,Gras"&amp;18FICHE PROGRAMME&amp;R&amp;"Arial,Gras"&amp;16PRG 2018&amp;"Arial,Normal"&amp;10
</oddHeader>
    <oddFooter>&amp;L&amp;14&amp;D&amp;C&amp;"Arial Narrow,Normal"&amp;14Page&amp;P/&amp;N</oddFooter>
  </headerFooter>
  <rowBreaks count="1" manualBreakCount="1">
    <brk id="43" max="3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C13" sqref="C13"/>
    </sheetView>
  </sheetViews>
  <sheetFormatPr baseColWidth="10" defaultRowHeight="12.75"/>
  <sheetData>
    <row r="1" spans="1:4">
      <c r="A1" s="657" t="s">
        <v>172</v>
      </c>
      <c r="B1" s="657"/>
      <c r="C1" s="657"/>
      <c r="D1" s="657"/>
    </row>
    <row r="2" spans="1:4">
      <c r="A2" s="173"/>
      <c r="B2" s="151" t="s">
        <v>1</v>
      </c>
      <c r="C2" s="151" t="s">
        <v>2</v>
      </c>
      <c r="D2" s="151" t="s">
        <v>173</v>
      </c>
    </row>
    <row r="3" spans="1:4">
      <c r="A3" s="173" t="s">
        <v>130</v>
      </c>
      <c r="B3" s="153">
        <v>318</v>
      </c>
      <c r="C3" s="153">
        <v>290</v>
      </c>
      <c r="D3" s="153"/>
    </row>
    <row r="4" spans="1:4">
      <c r="A4" s="173" t="s">
        <v>48</v>
      </c>
      <c r="B4" s="153">
        <v>400</v>
      </c>
      <c r="C4" s="153">
        <v>370</v>
      </c>
      <c r="D4" s="153"/>
    </row>
    <row r="5" spans="1:4">
      <c r="A5" s="173" t="s">
        <v>51</v>
      </c>
      <c r="B5" s="153">
        <v>530</v>
      </c>
      <c r="C5" s="153">
        <v>470</v>
      </c>
      <c r="D5" s="153"/>
    </row>
    <row r="6" spans="1:4">
      <c r="A6" s="173" t="s">
        <v>54</v>
      </c>
      <c r="B6" s="153">
        <v>600</v>
      </c>
      <c r="C6" s="153">
        <v>520</v>
      </c>
      <c r="D6" s="153"/>
    </row>
    <row r="7" spans="1:4">
      <c r="A7" s="173" t="s">
        <v>136</v>
      </c>
      <c r="B7" s="153">
        <v>700</v>
      </c>
      <c r="C7" s="153">
        <v>600</v>
      </c>
      <c r="D7" s="153"/>
    </row>
  </sheetData>
  <sortState ref="A3:D7">
    <sortCondition ref="A3:A7"/>
  </sortState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28</vt:i4>
      </vt:variant>
    </vt:vector>
  </HeadingPairs>
  <TitlesOfParts>
    <vt:vector size="30" baseType="lpstr">
      <vt:lpstr>Loyers</vt:lpstr>
      <vt:lpstr>Max</vt:lpstr>
      <vt:lpstr>BASELOYERMAX</vt:lpstr>
      <vt:lpstr>Loyers!LMDom</vt:lpstr>
      <vt:lpstr>Loyers!LMDomTS</vt:lpstr>
      <vt:lpstr>Loyers!LP_LLS</vt:lpstr>
      <vt:lpstr>Loyers!LP_LLTS</vt:lpstr>
      <vt:lpstr>Loyers!Nbre</vt:lpstr>
      <vt:lpstr>Loyers!NbreCOMM</vt:lpstr>
      <vt:lpstr>Loyers!NbreLLS</vt:lpstr>
      <vt:lpstr>Loyers!NbreLLTS</vt:lpstr>
      <vt:lpstr>Loyers!nom</vt:lpstr>
      <vt:lpstr>Loyers!S.LCR</vt:lpstr>
      <vt:lpstr>Loyers!SF.COMM</vt:lpstr>
      <vt:lpstr>Loyers!SF.LLS</vt:lpstr>
      <vt:lpstr>Loyers!SF.LLTS</vt:lpstr>
      <vt:lpstr>Loyers!SF.T</vt:lpstr>
      <vt:lpstr>Loyers!SH.COMM</vt:lpstr>
      <vt:lpstr>Loyers!SH.LLS</vt:lpstr>
      <vt:lpstr>Loyers!SH.LLTS</vt:lpstr>
      <vt:lpstr>Loyers!SH.T</vt:lpstr>
      <vt:lpstr>Loyers!SHOB</vt:lpstr>
      <vt:lpstr>Loyers!SP</vt:lpstr>
      <vt:lpstr>Loyers!SU.COMM</vt:lpstr>
      <vt:lpstr>Loyers!SU.LLS</vt:lpstr>
      <vt:lpstr>Loyers!SU.LLTS</vt:lpstr>
      <vt:lpstr>Loyers!SU.T</vt:lpstr>
      <vt:lpstr>TYPE1</vt:lpstr>
      <vt:lpstr>TYPE2</vt:lpstr>
      <vt:lpstr>Loyers!Zone_d_impression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BLANDINO</dc:creator>
  <cp:lastModifiedBy>LAVALLEZ Pascal</cp:lastModifiedBy>
  <cp:lastPrinted>2018-07-30T04:42:11Z</cp:lastPrinted>
  <dcterms:created xsi:type="dcterms:W3CDTF">2001-04-03T04:51:45Z</dcterms:created>
  <dcterms:modified xsi:type="dcterms:W3CDTF">2018-10-26T11:43:04Z</dcterms:modified>
</cp:coreProperties>
</file>