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upou\Desktop\"/>
    </mc:Choice>
  </mc:AlternateContent>
  <bookViews>
    <workbookView xWindow="2955" yWindow="90" windowWidth="19440" windowHeight="14535"/>
  </bookViews>
  <sheets>
    <sheet name="Catalogue" sheetId="1" r:id="rId1"/>
    <sheet name="Clients" sheetId="2" r:id="rId2"/>
    <sheet name="Commerciaux" sheetId="4" r:id="rId3"/>
    <sheet name="Bon de commande modèle" sheetId="3" r:id="rId4"/>
    <sheet name="BC156" sheetId="5" r:id="rId5"/>
    <sheet name="BC157" sheetId="6" r:id="rId6"/>
    <sheet name="BC158" sheetId="7" r:id="rId7"/>
    <sheet name="BC159" sheetId="8" r:id="rId8"/>
    <sheet name="BC160" sheetId="9" r:id="rId9"/>
    <sheet name="BC161" sheetId="10" r:id="rId10"/>
    <sheet name="Formules" sheetId="11" r:id="rId11"/>
  </sheets>
  <definedNames>
    <definedName name="Catalogue">Catalogue!$A$1:$F$34</definedName>
    <definedName name="Clients">Clients!$A$1:$H$77</definedName>
    <definedName name="CodeCli">Clients!$F$1:$F$77</definedName>
    <definedName name="CodeCOM">Commerciaux!$A$1:$A$6</definedName>
    <definedName name="Commerciaux">Commerciaux!$A$1:$H$6</definedName>
    <definedName name="Reference">Catalogue!$A$1:$A$34</definedName>
  </definedNames>
  <calcPr calcId="152511"/>
  <fileRecoveryPr repairLoad="1"/>
</workbook>
</file>

<file path=xl/calcChain.xml><?xml version="1.0" encoding="utf-8"?>
<calcChain xmlns="http://schemas.openxmlformats.org/spreadsheetml/2006/main">
  <c r="M2" i="2" l="1"/>
  <c r="M2" i="1" s="1"/>
  <c r="O4" i="1"/>
  <c r="K3" i="1"/>
  <c r="K4" i="1"/>
  <c r="K5" i="1"/>
  <c r="K6" i="1"/>
  <c r="K7" i="1"/>
  <c r="K8" i="1"/>
  <c r="K9" i="1"/>
  <c r="L3" i="1"/>
  <c r="O3" i="1" s="1"/>
  <c r="L4" i="1"/>
  <c r="L5" i="1"/>
  <c r="L6" i="1"/>
  <c r="L7" i="1"/>
  <c r="L8" i="1"/>
  <c r="L9" i="1"/>
  <c r="L2" i="1"/>
  <c r="K2" i="1"/>
  <c r="J4" i="1"/>
  <c r="J3" i="1"/>
  <c r="J5" i="1"/>
  <c r="J6" i="1"/>
  <c r="J7" i="1"/>
  <c r="J8" i="1"/>
  <c r="J9" i="1"/>
  <c r="J2" i="1"/>
  <c r="O2" i="1" l="1"/>
  <c r="K8" i="2" l="1"/>
  <c r="G4" i="3" s="1"/>
  <c r="D5" i="3"/>
  <c r="L7" i="2"/>
  <c r="G1" i="3" s="1"/>
  <c r="K6" i="2"/>
  <c r="E7" i="3" s="1"/>
  <c r="K5" i="2"/>
  <c r="D7" i="3" s="1"/>
  <c r="K4" i="2"/>
  <c r="D6" i="3" s="1"/>
  <c r="L2" i="2" l="1"/>
  <c r="F5" i="3" s="1"/>
  <c r="G15" i="11" l="1"/>
  <c r="F15" i="11"/>
  <c r="D15" i="11"/>
  <c r="C15" i="11"/>
  <c r="B15" i="11"/>
  <c r="G14" i="11"/>
  <c r="F14" i="11"/>
  <c r="D14" i="11"/>
  <c r="C14" i="11"/>
  <c r="B14" i="11"/>
  <c r="G13" i="11"/>
  <c r="F13" i="11"/>
  <c r="D13" i="11"/>
  <c r="C13" i="11"/>
  <c r="B13" i="11"/>
  <c r="G12" i="11"/>
  <c r="F12" i="11"/>
  <c r="D12" i="11"/>
  <c r="C12" i="11"/>
  <c r="B12" i="11"/>
  <c r="G11" i="11"/>
  <c r="F11" i="11"/>
  <c r="D11" i="11"/>
  <c r="C11" i="11"/>
  <c r="B11" i="11"/>
  <c r="G10" i="11"/>
  <c r="G16" i="11" s="1"/>
  <c r="F10" i="11"/>
  <c r="D10" i="11"/>
  <c r="C10" i="11"/>
  <c r="B10" i="11"/>
  <c r="G7" i="11"/>
  <c r="E7" i="11"/>
  <c r="D7" i="11"/>
  <c r="B7" i="11"/>
  <c r="D6" i="11"/>
  <c r="B6" i="11"/>
  <c r="F5" i="11"/>
  <c r="D5" i="11"/>
  <c r="F11" i="10"/>
  <c r="F13" i="10"/>
  <c r="F14" i="10"/>
  <c r="F15" i="10"/>
  <c r="F10" i="10"/>
  <c r="F12" i="9"/>
  <c r="F13" i="9"/>
  <c r="F14" i="9"/>
  <c r="F15" i="9"/>
  <c r="F10" i="9"/>
  <c r="F11" i="8"/>
  <c r="F12" i="8"/>
  <c r="F13" i="8"/>
  <c r="F14" i="8"/>
  <c r="F15" i="8"/>
  <c r="F10" i="8"/>
  <c r="F11" i="7"/>
  <c r="F12" i="7"/>
  <c r="F13" i="7"/>
  <c r="F14" i="7"/>
  <c r="F15" i="7"/>
  <c r="F10" i="7"/>
  <c r="G10" i="7" s="1"/>
  <c r="F11" i="6"/>
  <c r="F12" i="6"/>
  <c r="F13" i="6"/>
  <c r="F14" i="6"/>
  <c r="F15" i="6"/>
  <c r="F10" i="6"/>
  <c r="F11" i="5"/>
  <c r="F12" i="5"/>
  <c r="F13" i="5"/>
  <c r="F14" i="5"/>
  <c r="F15" i="5"/>
  <c r="F10" i="5"/>
  <c r="G10" i="5" s="1"/>
  <c r="F11" i="3"/>
  <c r="F12" i="3"/>
  <c r="F13" i="3"/>
  <c r="F14" i="3"/>
  <c r="F15" i="3"/>
  <c r="F10" i="3"/>
  <c r="G7" i="10"/>
  <c r="F12" i="10" s="1"/>
  <c r="G12" i="10" s="1"/>
  <c r="E7" i="10"/>
  <c r="G7" i="9"/>
  <c r="F11" i="9" s="1"/>
  <c r="E7" i="9"/>
  <c r="G7" i="8"/>
  <c r="E7" i="8"/>
  <c r="G7" i="7"/>
  <c r="E7" i="7"/>
  <c r="G7" i="6"/>
  <c r="E7" i="6"/>
  <c r="G7" i="5"/>
  <c r="E7" i="5"/>
  <c r="D10" i="3"/>
  <c r="G15" i="10"/>
  <c r="D15" i="10"/>
  <c r="C15" i="10"/>
  <c r="B15" i="10"/>
  <c r="G14" i="10"/>
  <c r="D14" i="10"/>
  <c r="C14" i="10"/>
  <c r="B14" i="10"/>
  <c r="G13" i="10"/>
  <c r="D13" i="10"/>
  <c r="C13" i="10"/>
  <c r="B13" i="10"/>
  <c r="D12" i="10"/>
  <c r="C12" i="10"/>
  <c r="B12" i="10"/>
  <c r="D11" i="10"/>
  <c r="G11" i="10"/>
  <c r="C11" i="10"/>
  <c r="B11" i="10"/>
  <c r="D10" i="10"/>
  <c r="G10" i="10"/>
  <c r="C10" i="10"/>
  <c r="B10" i="10"/>
  <c r="D7" i="10"/>
  <c r="B7" i="10"/>
  <c r="D6" i="10"/>
  <c r="B6" i="10"/>
  <c r="F5" i="10"/>
  <c r="D5" i="10"/>
  <c r="G15" i="9"/>
  <c r="D15" i="9"/>
  <c r="C15" i="9"/>
  <c r="B15" i="9"/>
  <c r="G14" i="9"/>
  <c r="D14" i="9"/>
  <c r="C14" i="9"/>
  <c r="B14" i="9"/>
  <c r="G13" i="9"/>
  <c r="D13" i="9"/>
  <c r="C13" i="9"/>
  <c r="B13" i="9"/>
  <c r="D12" i="9"/>
  <c r="G12" i="9"/>
  <c r="C12" i="9"/>
  <c r="B12" i="9"/>
  <c r="D11" i="9"/>
  <c r="G11" i="9" s="1"/>
  <c r="C11" i="9"/>
  <c r="B11" i="9"/>
  <c r="D10" i="9"/>
  <c r="G10" i="9" s="1"/>
  <c r="C10" i="9"/>
  <c r="B10" i="9"/>
  <c r="D7" i="9"/>
  <c r="B7" i="9"/>
  <c r="D6" i="9"/>
  <c r="B6" i="9"/>
  <c r="F5" i="9"/>
  <c r="D5" i="9"/>
  <c r="G15" i="8"/>
  <c r="D15" i="8"/>
  <c r="C15" i="8"/>
  <c r="B15" i="8"/>
  <c r="G14" i="8"/>
  <c r="D14" i="8"/>
  <c r="C14" i="8"/>
  <c r="B14" i="8"/>
  <c r="G13" i="8"/>
  <c r="D13" i="8"/>
  <c r="C13" i="8"/>
  <c r="B13" i="8"/>
  <c r="D12" i="8"/>
  <c r="G12" i="8"/>
  <c r="C12" i="8"/>
  <c r="B12" i="8"/>
  <c r="D11" i="8"/>
  <c r="G11" i="8" s="1"/>
  <c r="C11" i="8"/>
  <c r="B11" i="8"/>
  <c r="D10" i="8"/>
  <c r="G10" i="8" s="1"/>
  <c r="C10" i="8"/>
  <c r="B10" i="8"/>
  <c r="D7" i="8"/>
  <c r="B7" i="8"/>
  <c r="D6" i="8"/>
  <c r="B6" i="8"/>
  <c r="F5" i="8"/>
  <c r="D5" i="8"/>
  <c r="G15" i="7"/>
  <c r="D15" i="7"/>
  <c r="C15" i="7"/>
  <c r="B15" i="7"/>
  <c r="G14" i="7"/>
  <c r="D14" i="7"/>
  <c r="C14" i="7"/>
  <c r="B14" i="7"/>
  <c r="G13" i="7"/>
  <c r="D13" i="7"/>
  <c r="C13" i="7"/>
  <c r="B13" i="7"/>
  <c r="D12" i="7"/>
  <c r="C12" i="7"/>
  <c r="B12" i="7"/>
  <c r="D11" i="7"/>
  <c r="G11" i="7"/>
  <c r="C11" i="7"/>
  <c r="B11" i="7"/>
  <c r="D10" i="7"/>
  <c r="C10" i="7"/>
  <c r="B10" i="7"/>
  <c r="D7" i="7"/>
  <c r="B7" i="7"/>
  <c r="D6" i="7"/>
  <c r="B6" i="7"/>
  <c r="F5" i="7"/>
  <c r="D5" i="7"/>
  <c r="G15" i="6"/>
  <c r="D15" i="6"/>
  <c r="C15" i="6"/>
  <c r="B15" i="6"/>
  <c r="G14" i="6"/>
  <c r="D14" i="6"/>
  <c r="C14" i="6"/>
  <c r="B14" i="6"/>
  <c r="G13" i="6"/>
  <c r="D13" i="6"/>
  <c r="C13" i="6"/>
  <c r="B13" i="6"/>
  <c r="D12" i="6"/>
  <c r="G12" i="6"/>
  <c r="C12" i="6"/>
  <c r="B12" i="6"/>
  <c r="D11" i="6"/>
  <c r="G11" i="6"/>
  <c r="C11" i="6"/>
  <c r="B11" i="6"/>
  <c r="D10" i="6"/>
  <c r="C10" i="6"/>
  <c r="B10" i="6"/>
  <c r="D7" i="6"/>
  <c r="B7" i="6"/>
  <c r="D6" i="6"/>
  <c r="B6" i="6"/>
  <c r="F5" i="6"/>
  <c r="D5" i="6"/>
  <c r="G15" i="5"/>
  <c r="D15" i="5"/>
  <c r="C15" i="5"/>
  <c r="B15" i="5"/>
  <c r="G14" i="5"/>
  <c r="D14" i="5"/>
  <c r="C14" i="5"/>
  <c r="B14" i="5"/>
  <c r="G13" i="5"/>
  <c r="D13" i="5"/>
  <c r="C13" i="5"/>
  <c r="B13" i="5"/>
  <c r="D12" i="5"/>
  <c r="C12" i="5"/>
  <c r="B12" i="5"/>
  <c r="D11" i="5"/>
  <c r="G11" i="5"/>
  <c r="C11" i="5"/>
  <c r="B11" i="5"/>
  <c r="D10" i="5"/>
  <c r="C10" i="5"/>
  <c r="B10" i="5"/>
  <c r="D7" i="5"/>
  <c r="B7" i="5"/>
  <c r="D6" i="5"/>
  <c r="B6" i="5"/>
  <c r="F5" i="5"/>
  <c r="D5" i="5"/>
  <c r="B7" i="3"/>
  <c r="B6" i="3"/>
  <c r="G13" i="3"/>
  <c r="G15" i="3"/>
  <c r="G10" i="3"/>
  <c r="D11" i="3"/>
  <c r="G11" i="3"/>
  <c r="D12" i="3"/>
  <c r="G12" i="3"/>
  <c r="D13" i="3"/>
  <c r="D14" i="3"/>
  <c r="G14" i="3"/>
  <c r="D15" i="3"/>
  <c r="C11" i="3"/>
  <c r="C12" i="3"/>
  <c r="C13" i="3"/>
  <c r="C14" i="3"/>
  <c r="C15" i="3"/>
  <c r="C10" i="3"/>
  <c r="B11" i="3"/>
  <c r="B12" i="3"/>
  <c r="B13" i="3"/>
  <c r="B14" i="3"/>
  <c r="B15" i="3"/>
  <c r="B10" i="3"/>
  <c r="G10" i="6" l="1"/>
  <c r="G16" i="6" s="1"/>
  <c r="G16" i="3"/>
  <c r="G16" i="5"/>
  <c r="G12" i="5"/>
  <c r="G12" i="7"/>
  <c r="G16" i="7" s="1"/>
  <c r="G16" i="10"/>
  <c r="G16" i="8"/>
  <c r="G16" i="9"/>
</calcChain>
</file>

<file path=xl/sharedStrings.xml><?xml version="1.0" encoding="utf-8"?>
<sst xmlns="http://schemas.openxmlformats.org/spreadsheetml/2006/main" count="853" uniqueCount="487">
  <si>
    <t>Référence</t>
  </si>
  <si>
    <t>Type</t>
  </si>
  <si>
    <t>Désignation</t>
  </si>
  <si>
    <t>Contenances</t>
  </si>
  <si>
    <t>Prix</t>
  </si>
  <si>
    <t>CodeTVA</t>
  </si>
  <si>
    <t>REF20</t>
  </si>
  <si>
    <t>Vins rouges et rosés</t>
  </si>
  <si>
    <t>Bordeaux Château Le Pradel</t>
  </si>
  <si>
    <t>REF21</t>
  </si>
  <si>
    <t>Bordeaux Château L'Hérisson</t>
  </si>
  <si>
    <t>REF22</t>
  </si>
  <si>
    <t>Touraine Château de Chenonceau</t>
  </si>
  <si>
    <t>REF23</t>
  </si>
  <si>
    <t>Bordeaux supérieur Château Barat</t>
  </si>
  <si>
    <t>REF24</t>
  </si>
  <si>
    <t>Château Mendoce Côtes de Bourg</t>
  </si>
  <si>
    <t>REF25</t>
  </si>
  <si>
    <t>Côtes du Rhône La ferme de Gicon</t>
  </si>
  <si>
    <t>REF26</t>
  </si>
  <si>
    <t>Côtes de Provence Victorin d'Estragues</t>
  </si>
  <si>
    <t>REF30</t>
  </si>
  <si>
    <t>Vins Mousseux</t>
  </si>
  <si>
    <t>Champagne JB Michel 1er cru brut</t>
  </si>
  <si>
    <t>REF31</t>
  </si>
  <si>
    <t>Bordeaux blanc Longue Rive</t>
  </si>
  <si>
    <t>REF32</t>
  </si>
  <si>
    <t>Crémant de Bourgogne</t>
  </si>
  <si>
    <t>REF33</t>
  </si>
  <si>
    <t>Cidre doux fermier</t>
  </si>
  <si>
    <t>REF34</t>
  </si>
  <si>
    <t>Champagne Magnum JB Michel 1er cru brut</t>
  </si>
  <si>
    <t>REF35</t>
  </si>
  <si>
    <t>Champagne Magnum Möet et Chandon</t>
  </si>
  <si>
    <t>REF40</t>
  </si>
  <si>
    <t>Jus eaux et sodas</t>
  </si>
  <si>
    <t>Eau Evian 1,5 litres</t>
  </si>
  <si>
    <t>REF41</t>
  </si>
  <si>
    <t>Jus d'orange 100% 1 litre</t>
  </si>
  <si>
    <t>REF42</t>
  </si>
  <si>
    <t>Coca Cola 1,5 litres</t>
  </si>
  <si>
    <t>REF43</t>
  </si>
  <si>
    <t>Orangina 1 litre</t>
  </si>
  <si>
    <t>REF44</t>
  </si>
  <si>
    <t>Jus de Pamplemousse 1 litre</t>
  </si>
  <si>
    <t>REF45</t>
  </si>
  <si>
    <t>Cocktail de fruits1 litre</t>
  </si>
  <si>
    <t>REF46</t>
  </si>
  <si>
    <t>Perrier 1 litre</t>
  </si>
  <si>
    <t>REF47</t>
  </si>
  <si>
    <t>Badoit 1 litre</t>
  </si>
  <si>
    <t>REF48</t>
  </si>
  <si>
    <t>Schweppes 1,5 litres</t>
  </si>
  <si>
    <t>REF49</t>
  </si>
  <si>
    <t>Grosse bouteille Evian</t>
  </si>
  <si>
    <t>REF50</t>
  </si>
  <si>
    <t>Boissons alcoolisées</t>
  </si>
  <si>
    <t>Whisky JB</t>
  </si>
  <si>
    <t>REF51</t>
  </si>
  <si>
    <t>Gin Gordon</t>
  </si>
  <si>
    <t>REF52</t>
  </si>
  <si>
    <t>Vodka Absolute</t>
  </si>
  <si>
    <t>REF53</t>
  </si>
  <si>
    <t>Ricard</t>
  </si>
  <si>
    <t>REF54</t>
  </si>
  <si>
    <t>Scotch whisky Cardhu</t>
  </si>
  <si>
    <t>REF55</t>
  </si>
  <si>
    <t>REF60</t>
  </si>
  <si>
    <t>Cocktails</t>
  </si>
  <si>
    <t>Sangria (petite bouteille)</t>
  </si>
  <si>
    <t>REF61</t>
  </si>
  <si>
    <t>Punch (petite bouteille)</t>
  </si>
  <si>
    <t>REF62</t>
  </si>
  <si>
    <t>Sangria Fiesta (cubitainer)</t>
  </si>
  <si>
    <t>REF63</t>
  </si>
  <si>
    <t>Punch Fiesta (cubitainer)</t>
  </si>
  <si>
    <t>CodeCLI</t>
  </si>
  <si>
    <t>Nom</t>
  </si>
  <si>
    <t>Prénom</t>
  </si>
  <si>
    <t>Adresse</t>
  </si>
  <si>
    <t>CP</t>
  </si>
  <si>
    <t>Ville</t>
  </si>
  <si>
    <t>ZoneCOM</t>
  </si>
  <si>
    <t>Catégorie</t>
  </si>
  <si>
    <t>CLT001</t>
  </si>
  <si>
    <t>Aimé</t>
  </si>
  <si>
    <t>20 avenue Victor Hugo</t>
  </si>
  <si>
    <t>LILLE</t>
  </si>
  <si>
    <t>Z01</t>
  </si>
  <si>
    <t>Revendeur</t>
  </si>
  <si>
    <t>CLT002</t>
  </si>
  <si>
    <t>Benjamin</t>
  </si>
  <si>
    <t>231 rue Berthelot</t>
  </si>
  <si>
    <t>VALENCIENNES</t>
  </si>
  <si>
    <t>Z02</t>
  </si>
  <si>
    <t>Cafetier</t>
  </si>
  <si>
    <t>CLT003</t>
  </si>
  <si>
    <t>Thierry</t>
  </si>
  <si>
    <t>23 rue des glacis</t>
  </si>
  <si>
    <t>DOUAI</t>
  </si>
  <si>
    <t>Z03</t>
  </si>
  <si>
    <t>Hotelier</t>
  </si>
  <si>
    <t>CLT004</t>
  </si>
  <si>
    <t>Stanislas</t>
  </si>
  <si>
    <t>106 avenue des Wetz</t>
  </si>
  <si>
    <t>CAMBRAI</t>
  </si>
  <si>
    <t>CLT005</t>
  </si>
  <si>
    <t>Stéphane</t>
  </si>
  <si>
    <t>56 rue des rouets</t>
  </si>
  <si>
    <t>FOURMIES</t>
  </si>
  <si>
    <t>Z04</t>
  </si>
  <si>
    <t>Restaurateur</t>
  </si>
  <si>
    <t>CLT006</t>
  </si>
  <si>
    <t>Etienne</t>
  </si>
  <si>
    <t>16, rue de Belleray</t>
  </si>
  <si>
    <t>VERDUN</t>
  </si>
  <si>
    <t>Z99</t>
  </si>
  <si>
    <t>CLT007</t>
  </si>
  <si>
    <t>François</t>
  </si>
  <si>
    <t>11, avenue Flaubert</t>
  </si>
  <si>
    <t>BAR LE DUC</t>
  </si>
  <si>
    <t>CLT008</t>
  </si>
  <si>
    <t>Daniel</t>
  </si>
  <si>
    <t>14, Fbg Saint Honoré</t>
  </si>
  <si>
    <t>CLT009</t>
  </si>
  <si>
    <t>Edmond</t>
  </si>
  <si>
    <t>11, rue du Tertre</t>
  </si>
  <si>
    <t>STENAY</t>
  </si>
  <si>
    <t>CLT010</t>
  </si>
  <si>
    <t>Charles</t>
  </si>
  <si>
    <t>2, place Mendes France</t>
  </si>
  <si>
    <t>CLT011</t>
  </si>
  <si>
    <t>Frédéric</t>
  </si>
  <si>
    <t>87, rue de la commanderie</t>
  </si>
  <si>
    <t>CLT012</t>
  </si>
  <si>
    <t>Véronique</t>
  </si>
  <si>
    <t>276, avenue de la Marne</t>
  </si>
  <si>
    <t>MARCQ</t>
  </si>
  <si>
    <t>CLT013</t>
  </si>
  <si>
    <t>Jimmy</t>
  </si>
  <si>
    <t>110, rue des foulons</t>
  </si>
  <si>
    <t>ROUBAIX</t>
  </si>
  <si>
    <t>CLT014</t>
  </si>
  <si>
    <t>Sébastien</t>
  </si>
  <si>
    <t>941, rue Charles Bourseul</t>
  </si>
  <si>
    <t>CLT015</t>
  </si>
  <si>
    <t>Raynald</t>
  </si>
  <si>
    <t>Rue de la mairie</t>
  </si>
  <si>
    <t>FLERS</t>
  </si>
  <si>
    <t>CLT016</t>
  </si>
  <si>
    <t>Isabelle</t>
  </si>
  <si>
    <t>Place du général de Gaulle</t>
  </si>
  <si>
    <t>RAIMBEAUCOURT</t>
  </si>
  <si>
    <t>CLT017</t>
  </si>
  <si>
    <t>Mustapha</t>
  </si>
  <si>
    <t>464-472, rue de Douai BP42</t>
  </si>
  <si>
    <t>SIN LE NOBLE</t>
  </si>
  <si>
    <t>CLT018</t>
  </si>
  <si>
    <t>Péguy</t>
  </si>
  <si>
    <t>Route de Cambrai</t>
  </si>
  <si>
    <t>CLT019</t>
  </si>
  <si>
    <t>Gérard</t>
  </si>
  <si>
    <t>113, rue boucher de Perthes</t>
  </si>
  <si>
    <t>CLT020</t>
  </si>
  <si>
    <t>Hervé</t>
  </si>
  <si>
    <t>27, rue du stade</t>
  </si>
  <si>
    <t>SECLIN</t>
  </si>
  <si>
    <t>CLT021</t>
  </si>
  <si>
    <t>Christophe</t>
  </si>
  <si>
    <t>18, impasse des réveurs</t>
  </si>
  <si>
    <t>LESQUIN</t>
  </si>
  <si>
    <t>CLT022</t>
  </si>
  <si>
    <t>Philippe</t>
  </si>
  <si>
    <t>Nathalie</t>
  </si>
  <si>
    <t>191, rue Saint Albin</t>
  </si>
  <si>
    <t>CLT023</t>
  </si>
  <si>
    <t>Eric</t>
  </si>
  <si>
    <t>10, place du marché</t>
  </si>
  <si>
    <t>CLT024</t>
  </si>
  <si>
    <t>Sonia</t>
  </si>
  <si>
    <t>8, place du général de Gaulle</t>
  </si>
  <si>
    <t>CLT025</t>
  </si>
  <si>
    <t>Laurent</t>
  </si>
  <si>
    <t>26 bis, rue Vaillant Couturier</t>
  </si>
  <si>
    <t>CLT026</t>
  </si>
  <si>
    <t>167, rue Jean Jaurés</t>
  </si>
  <si>
    <t>CONDE</t>
  </si>
  <si>
    <t>CLT027</t>
  </si>
  <si>
    <t>Sandrine</t>
  </si>
  <si>
    <t>53, rue de Belfort</t>
  </si>
  <si>
    <t>CLT028</t>
  </si>
  <si>
    <t>Stéphanie</t>
  </si>
  <si>
    <t>45, rue des résistants</t>
  </si>
  <si>
    <t>LA SENTINELLE</t>
  </si>
  <si>
    <t>CLT029</t>
  </si>
  <si>
    <t>Arnaud</t>
  </si>
  <si>
    <t>ZI La renaissance</t>
  </si>
  <si>
    <t>MAUBEUGE</t>
  </si>
  <si>
    <t>CLT030</t>
  </si>
  <si>
    <t>1, rue des girondins</t>
  </si>
  <si>
    <t>CLT031</t>
  </si>
  <si>
    <t>Marie noelle</t>
  </si>
  <si>
    <t>Rue Orphée Variscotte</t>
  </si>
  <si>
    <t>MERVILLE</t>
  </si>
  <si>
    <t>Z05</t>
  </si>
  <si>
    <t>CLT032</t>
  </si>
  <si>
    <t>Mickael</t>
  </si>
  <si>
    <t>Rue Brossolette</t>
  </si>
  <si>
    <t>BOUSSOIS</t>
  </si>
  <si>
    <t>CLT033</t>
  </si>
  <si>
    <t>Jérome</t>
  </si>
  <si>
    <t>100, rue du calvaire</t>
  </si>
  <si>
    <t>TRELON</t>
  </si>
  <si>
    <t>CLT034</t>
  </si>
  <si>
    <t>Laurence</t>
  </si>
  <si>
    <t>21, mail Saint Martin</t>
  </si>
  <si>
    <t>CLT035</t>
  </si>
  <si>
    <t>Lionet</t>
  </si>
  <si>
    <t>12, rue des combattants</t>
  </si>
  <si>
    <t>ORCHIES</t>
  </si>
  <si>
    <t>CLT036</t>
  </si>
  <si>
    <t>Franck</t>
  </si>
  <si>
    <t>130, rue des chartreux</t>
  </si>
  <si>
    <t>TOURCOING</t>
  </si>
  <si>
    <t>CLT037</t>
  </si>
  <si>
    <t>Anne</t>
  </si>
  <si>
    <t>288, rue de Cambrai</t>
  </si>
  <si>
    <t>CLT038</t>
  </si>
  <si>
    <t>Yvan</t>
  </si>
  <si>
    <t>10, rue du petit séminaire</t>
  </si>
  <si>
    <t>CLT039</t>
  </si>
  <si>
    <t>Malika</t>
  </si>
  <si>
    <t>710, rue Jean Perrin (ZI Dorignies)</t>
  </si>
  <si>
    <t>CLT040</t>
  </si>
  <si>
    <t>11, rue de Vitry</t>
  </si>
  <si>
    <t>NOYELLES</t>
  </si>
  <si>
    <t>CLT041</t>
  </si>
  <si>
    <t>234, rue Lefebvre d'Orval</t>
  </si>
  <si>
    <t>CLT042</t>
  </si>
  <si>
    <t>82, rue de l'abbaye des prés</t>
  </si>
  <si>
    <t>AULNOY</t>
  </si>
  <si>
    <t>CLT043</t>
  </si>
  <si>
    <t>Raphael</t>
  </si>
  <si>
    <t>44, rue de la gare</t>
  </si>
  <si>
    <t>DUNKERQUE</t>
  </si>
  <si>
    <t>CLT044</t>
  </si>
  <si>
    <t>David</t>
  </si>
  <si>
    <t>47, rue du bois Chaland. LISSES</t>
  </si>
  <si>
    <t>EVRY</t>
  </si>
  <si>
    <t>CLT045</t>
  </si>
  <si>
    <t>113, place Schuman</t>
  </si>
  <si>
    <t>CLT046</t>
  </si>
  <si>
    <t>Xavier</t>
  </si>
  <si>
    <t>Grand place</t>
  </si>
  <si>
    <t>AVESNES</t>
  </si>
  <si>
    <t>CLT047</t>
  </si>
  <si>
    <t>Valérie</t>
  </si>
  <si>
    <t>5, place des frères Beaumont</t>
  </si>
  <si>
    <t>ARMENTIERES</t>
  </si>
  <si>
    <t>CLT048</t>
  </si>
  <si>
    <t>Patrick</t>
  </si>
  <si>
    <t>9, square des chateliers</t>
  </si>
  <si>
    <t>CLT049</t>
  </si>
  <si>
    <t>Antoine</t>
  </si>
  <si>
    <t>225, Avenue Foch</t>
  </si>
  <si>
    <t>LOUVROIL</t>
  </si>
  <si>
    <t>CLT050</t>
  </si>
  <si>
    <t>Nicolas</t>
  </si>
  <si>
    <t>11, rue Pasteur</t>
  </si>
  <si>
    <t>CLT051</t>
  </si>
  <si>
    <t>Thérése</t>
  </si>
  <si>
    <t>Parc industriel Les prés Loribes</t>
  </si>
  <si>
    <t>GRAVELINES</t>
  </si>
  <si>
    <t>CLT052</t>
  </si>
  <si>
    <t>Olivier</t>
  </si>
  <si>
    <t>17, boulevard Jeanne d'arc</t>
  </si>
  <si>
    <t>HAUTMONT</t>
  </si>
  <si>
    <t>CLT053</t>
  </si>
  <si>
    <t>Patrice</t>
  </si>
  <si>
    <t>78, rue saint Sulpice</t>
  </si>
  <si>
    <t>BRUAY</t>
  </si>
  <si>
    <t>CLT054</t>
  </si>
  <si>
    <t>Kamel</t>
  </si>
  <si>
    <t>884, Bd de la république</t>
  </si>
  <si>
    <t>JEUMONT</t>
  </si>
  <si>
    <t>CLT055</t>
  </si>
  <si>
    <t>Karine</t>
  </si>
  <si>
    <t>11, avenue du Général de Gaulle</t>
  </si>
  <si>
    <t>CLT056</t>
  </si>
  <si>
    <t>Rémi</t>
  </si>
  <si>
    <t>Chemin des croix</t>
  </si>
  <si>
    <t>CLT057</t>
  </si>
  <si>
    <t>Marylise</t>
  </si>
  <si>
    <t>Rue Caullery ZI Dorignies</t>
  </si>
  <si>
    <t>ASSEVENT</t>
  </si>
  <si>
    <t>CLT058</t>
  </si>
  <si>
    <t>Manuel</t>
  </si>
  <si>
    <t>67, avenue des potiers</t>
  </si>
  <si>
    <t>CLT059</t>
  </si>
  <si>
    <t>sandrine</t>
  </si>
  <si>
    <t>2, rue Saint Michel</t>
  </si>
  <si>
    <t>CLT060</t>
  </si>
  <si>
    <t>Sylvie</t>
  </si>
  <si>
    <t>16, rue des postes</t>
  </si>
  <si>
    <t>CLT061</t>
  </si>
  <si>
    <t>61, chemin des postes</t>
  </si>
  <si>
    <t>CLT062</t>
  </si>
  <si>
    <t>Renato</t>
  </si>
  <si>
    <t>31, avenue Clémenceau</t>
  </si>
  <si>
    <t>CLT063</t>
  </si>
  <si>
    <t>Route de Troyes</t>
  </si>
  <si>
    <t>CHATILLON</t>
  </si>
  <si>
    <t>CLT064</t>
  </si>
  <si>
    <t>Laétitia</t>
  </si>
  <si>
    <t>194, Bd Faidherbe</t>
  </si>
  <si>
    <t>CLT065</t>
  </si>
  <si>
    <t>Jocelyne</t>
  </si>
  <si>
    <t>ZI Fosse Bonnel</t>
  </si>
  <si>
    <t>CLT066</t>
  </si>
  <si>
    <t>Myriam</t>
  </si>
  <si>
    <t>Fosse Delloye</t>
  </si>
  <si>
    <t>CLT067</t>
  </si>
  <si>
    <t>Florence</t>
  </si>
  <si>
    <t>11, rue des blanchisseurs</t>
  </si>
  <si>
    <t>LAMBERSART</t>
  </si>
  <si>
    <t>CLT068</t>
  </si>
  <si>
    <t>frédéric</t>
  </si>
  <si>
    <t>264, rue Henri Bocquet</t>
  </si>
  <si>
    <t>CLT069</t>
  </si>
  <si>
    <t>Christelle</t>
  </si>
  <si>
    <t>340, place du Barlet</t>
  </si>
  <si>
    <t>CLT070</t>
  </si>
  <si>
    <t>97, rue Jean Jaurés</t>
  </si>
  <si>
    <t>CLT071</t>
  </si>
  <si>
    <t>Annie</t>
  </si>
  <si>
    <t>428, rue d'Esquerchin</t>
  </si>
  <si>
    <t>CLT072</t>
  </si>
  <si>
    <t>Caroline</t>
  </si>
  <si>
    <t>49, Boulevard Jeanne d'arc</t>
  </si>
  <si>
    <t>CLT073</t>
  </si>
  <si>
    <t>Boris</t>
  </si>
  <si>
    <t>720, Faubourg de Paris</t>
  </si>
  <si>
    <t>CLT074</t>
  </si>
  <si>
    <t>Sarah</t>
  </si>
  <si>
    <t>21, rue Gabriel Péri</t>
  </si>
  <si>
    <t>MARQUETTE</t>
  </si>
  <si>
    <t>CLT075</t>
  </si>
  <si>
    <t>Rachid</t>
  </si>
  <si>
    <t>57, rue de Grigny</t>
  </si>
  <si>
    <t>ARRAS</t>
  </si>
  <si>
    <t>CLT076</t>
  </si>
  <si>
    <t>Yannick</t>
  </si>
  <si>
    <t>62, rue Saint Sulpice</t>
  </si>
  <si>
    <t>SAINT AMAND</t>
  </si>
  <si>
    <t>CodeCOM</t>
  </si>
  <si>
    <t>Date de naissance</t>
  </si>
  <si>
    <t>Date d'entrée</t>
  </si>
  <si>
    <t>COM01</t>
  </si>
  <si>
    <t>CHARRUE</t>
  </si>
  <si>
    <t>Alain</t>
  </si>
  <si>
    <t>24 rue du Bourg</t>
  </si>
  <si>
    <t>Douai</t>
  </si>
  <si>
    <t>COM02</t>
  </si>
  <si>
    <t>DUREISSEIX</t>
  </si>
  <si>
    <t>Régine</t>
  </si>
  <si>
    <t>57 rue des postes</t>
  </si>
  <si>
    <t>Cambrai</t>
  </si>
  <si>
    <t>COM03</t>
  </si>
  <si>
    <t>REDONNET</t>
  </si>
  <si>
    <t>441 avenue Flaubert</t>
  </si>
  <si>
    <t>Lille</t>
  </si>
  <si>
    <t>COM04</t>
  </si>
  <si>
    <t>CARON</t>
  </si>
  <si>
    <t>Pascal</t>
  </si>
  <si>
    <t>264 rue Couturier</t>
  </si>
  <si>
    <t>Maubeuge</t>
  </si>
  <si>
    <t>COM05</t>
  </si>
  <si>
    <t>JENNY</t>
  </si>
  <si>
    <t>Hugues</t>
  </si>
  <si>
    <t>224 rue de Paris</t>
  </si>
  <si>
    <t>N° :</t>
  </si>
  <si>
    <t>Quantité</t>
  </si>
  <si>
    <t>Total</t>
  </si>
  <si>
    <t>Remise</t>
  </si>
  <si>
    <t>Total HT</t>
  </si>
  <si>
    <t>ETABLISSEMENTS DOUAI-BOISSONS</t>
  </si>
  <si>
    <t>35, rue de Sin le noble</t>
  </si>
  <si>
    <t>BON DE COMMANDE du :</t>
  </si>
  <si>
    <t>Code Com :</t>
  </si>
  <si>
    <t>Code Client :</t>
  </si>
  <si>
    <t>BIENVENU</t>
  </si>
  <si>
    <t>BEGHIN</t>
  </si>
  <si>
    <t>SZYMANSKI</t>
  </si>
  <si>
    <t>STYRNA</t>
  </si>
  <si>
    <t>DEDEYSTERE</t>
  </si>
  <si>
    <t>CUNEL</t>
  </si>
  <si>
    <t>DELVART</t>
  </si>
  <si>
    <t>BOUCHEZ</t>
  </si>
  <si>
    <t>FILDER</t>
  </si>
  <si>
    <t>BERTHE</t>
  </si>
  <si>
    <t>BLERVAQUE</t>
  </si>
  <si>
    <t>BOUANCHEAU</t>
  </si>
  <si>
    <t>CWIKLINSKI</t>
  </si>
  <si>
    <t>DEREGNAUCOURT</t>
  </si>
  <si>
    <t>GOUBET</t>
  </si>
  <si>
    <t>TERA</t>
  </si>
  <si>
    <t>LARIVIERRE</t>
  </si>
  <si>
    <t>LEPEZ</t>
  </si>
  <si>
    <t>MESLEM</t>
  </si>
  <si>
    <t>PAUL</t>
  </si>
  <si>
    <t>PHILIPPE</t>
  </si>
  <si>
    <t>PRISSETTE</t>
  </si>
  <si>
    <t>VINCOURT</t>
  </si>
  <si>
    <t>BARGIELA</t>
  </si>
  <si>
    <t>BENEDET</t>
  </si>
  <si>
    <t>BEUGIN</t>
  </si>
  <si>
    <t>BISSIAU</t>
  </si>
  <si>
    <t>CAPLIEZ</t>
  </si>
  <si>
    <t>DANEL</t>
  </si>
  <si>
    <t>DOUALLE</t>
  </si>
  <si>
    <t>DURAND</t>
  </si>
  <si>
    <t>DUTIILLEUL</t>
  </si>
  <si>
    <t>PERNET</t>
  </si>
  <si>
    <t>SIX</t>
  </si>
  <si>
    <t>WIART</t>
  </si>
  <si>
    <t>BARALE</t>
  </si>
  <si>
    <t>BAUWENS</t>
  </si>
  <si>
    <t>BRIER</t>
  </si>
  <si>
    <t>COGET</t>
  </si>
  <si>
    <t>COGEZ</t>
  </si>
  <si>
    <t>DUPRIEZ</t>
  </si>
  <si>
    <t>DUSQUESNOY</t>
  </si>
  <si>
    <t>GAUTHIER</t>
  </si>
  <si>
    <t>LEMICHE</t>
  </si>
  <si>
    <t>LEQUEUX</t>
  </si>
  <si>
    <t>LIAGRE</t>
  </si>
  <si>
    <t>MARLE</t>
  </si>
  <si>
    <t>NOTOT</t>
  </si>
  <si>
    <t>ONGENAE</t>
  </si>
  <si>
    <t>PERU</t>
  </si>
  <si>
    <t>PICHON</t>
  </si>
  <si>
    <t>SARPAUX</t>
  </si>
  <si>
    <t>SMATA</t>
  </si>
  <si>
    <t>BOITELLE</t>
  </si>
  <si>
    <t>BOUILLET</t>
  </si>
  <si>
    <t>DELEPINE</t>
  </si>
  <si>
    <t>FLAMENT</t>
  </si>
  <si>
    <t>GODERIS</t>
  </si>
  <si>
    <t>HOTTON</t>
  </si>
  <si>
    <t>KUTZA</t>
  </si>
  <si>
    <t>MOUGE</t>
  </si>
  <si>
    <t>NOTELET</t>
  </si>
  <si>
    <t>PAILLARD</t>
  </si>
  <si>
    <t>PALICKI</t>
  </si>
  <si>
    <t>PIALOT</t>
  </si>
  <si>
    <t>LE TELLIER</t>
  </si>
  <si>
    <t>LEVENT</t>
  </si>
  <si>
    <t>LIEBERT</t>
  </si>
  <si>
    <t>MARNEF</t>
  </si>
  <si>
    <t>RETRAINT</t>
  </si>
  <si>
    <t>PEZIN</t>
  </si>
  <si>
    <t>VASSEUR</t>
  </si>
  <si>
    <t>COSTA</t>
  </si>
  <si>
    <t>SAGET</t>
  </si>
  <si>
    <t>59500 DOUAI</t>
  </si>
  <si>
    <t>Immatri</t>
  </si>
  <si>
    <t>EH 612 AB</t>
  </si>
  <si>
    <t>BH 510 BK</t>
  </si>
  <si>
    <t>EK 827 AD</t>
  </si>
  <si>
    <t>EC 247 FD</t>
  </si>
  <si>
    <t>EB 111 AA</t>
  </si>
  <si>
    <t>Date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</si>
  <si>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</si>
  <si>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</si>
  <si>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</si>
  <si>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</si>
  <si>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</si>
  <si>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</si>
  <si>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</si>
  <si>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</si>
  <si>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adresse</t>
  </si>
  <si>
    <t>cp</t>
  </si>
  <si>
    <t>ville</t>
  </si>
  <si>
    <t>code client</t>
  </si>
  <si>
    <t>nom et prénom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</si>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</sst>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@@\ @@@"/>
    <numFmt numFmtId="166" formatCode="_-* #,##0.00\ [$€]_-;\-* #,##0.00\ [$€]_-;_-* &quot;-&quot;??\ [$€]_-;_-@_-"/>
    <numFmt numFmtId="167" formatCode="[$-40C]d\-mmm\-yy;@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</font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6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</cellStyleXfs>
  <cellXfs count="63">
    <xf numFmtId="0" fontId="0" fillId="0" borderId="0" xfId="0"/>
    <xf numFmtId="0" fontId="10" fillId="5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43" fontId="9" fillId="0" borderId="1" xfId="2" applyFont="1" applyBorder="1"/>
    <xf numFmtId="0" fontId="3" fillId="0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0" fontId="5" fillId="6" borderId="1" xfId="0" applyFont="1" applyFill="1" applyBorder="1" applyAlignment="1">
      <alignment horizontal="center"/>
    </xf>
    <xf numFmtId="15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5" fontId="3" fillId="0" borderId="1" xfId="0" applyNumberFormat="1" applyFont="1" applyFill="1" applyBorder="1" applyAlignment="1">
      <alignment horizontal="center" wrapText="1"/>
    </xf>
    <xf numFmtId="0" fontId="0" fillId="0" borderId="0" xfId="0" applyBorder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0" fontId="10" fillId="2" borderId="4" xfId="0" applyFont="1" applyFill="1" applyBorder="1" applyAlignment="1">
      <alignment horizontal="center"/>
    </xf>
    <xf numFmtId="166" fontId="9" fillId="2" borderId="1" xfId="1" applyFont="1" applyFill="1" applyBorder="1"/>
    <xf numFmtId="0" fontId="7" fillId="0" borderId="0" xfId="0" applyFont="1" applyFill="1" applyBorder="1" applyAlignment="1">
      <alignment horizontal="right"/>
    </xf>
    <xf numFmtId="0" fontId="0" fillId="0" borderId="0" xfId="0" applyFill="1" applyBorder="1"/>
    <xf numFmtId="0" fontId="10" fillId="3" borderId="0" xfId="0" applyFont="1" applyFill="1" applyBorder="1" applyAlignment="1">
      <alignment horizontal="right"/>
    </xf>
    <xf numFmtId="43" fontId="9" fillId="4" borderId="1" xfId="2" applyFont="1" applyFill="1" applyBorder="1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4" borderId="8" xfId="0" applyFont="1" applyFill="1" applyBorder="1" applyAlignment="1">
      <alignment horizontal="center"/>
    </xf>
    <xf numFmtId="0" fontId="0" fillId="0" borderId="8" xfId="0" applyBorder="1"/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44" fontId="9" fillId="2" borderId="10" xfId="1" applyNumberFormat="1" applyFont="1" applyFill="1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6" fillId="0" borderId="12" xfId="0" applyFont="1" applyFill="1" applyBorder="1" applyAlignment="1">
      <alignment horizontal="right"/>
    </xf>
    <xf numFmtId="0" fontId="6" fillId="3" borderId="13" xfId="0" applyFont="1" applyFill="1" applyBorder="1" applyAlignment="1">
      <alignment horizontal="right"/>
    </xf>
    <xf numFmtId="167" fontId="6" fillId="4" borderId="14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0" fillId="3" borderId="7" xfId="0" applyFont="1" applyFill="1" applyBorder="1" applyAlignment="1">
      <alignment horizontal="right"/>
    </xf>
    <xf numFmtId="0" fontId="6" fillId="4" borderId="7" xfId="0" applyFont="1" applyFill="1" applyBorder="1" applyAlignment="1">
      <alignment horizontal="center"/>
    </xf>
    <xf numFmtId="0" fontId="1" fillId="0" borderId="1" xfId="3" applyFont="1" applyFill="1" applyBorder="1" applyAlignment="1">
      <alignment wrapText="1"/>
    </xf>
    <xf numFmtId="44" fontId="10" fillId="2" borderId="15" xfId="1" applyNumberFormat="1" applyFont="1" applyFill="1" applyBorder="1"/>
    <xf numFmtId="10" fontId="9" fillId="2" borderId="1" xfId="4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0" fillId="7" borderId="0" xfId="0" applyFill="1"/>
    <xf numFmtId="0" fontId="6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left"/>
    </xf>
    <xf numFmtId="0" fontId="10" fillId="2" borderId="18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right"/>
    </xf>
    <xf numFmtId="0" fontId="10" fillId="3" borderId="6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left"/>
    </xf>
    <xf numFmtId="0" fontId="10" fillId="2" borderId="21" xfId="0" applyFont="1" applyFill="1" applyBorder="1" applyAlignment="1">
      <alignment horizontal="left"/>
    </xf>
    <xf numFmtId="14" fontId="0" fillId="0" borderId="0" xfId="0" applyNumberFormat="1"/>
    <xf numFmtId="9" fontId="0" fillId="0" borderId="0" xfId="0" applyNumberFormat="1"/>
  </cellXfs>
  <cellStyles count="5">
    <cellStyle name="Euro" xfId="1"/>
    <cellStyle name="Milliers" xfId="2" builtinId="3"/>
    <cellStyle name="Normal" xfId="0" builtinId="0"/>
    <cellStyle name="Normal_Clients" xfId="3"/>
    <cellStyle name="Pourcentag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34"/>
  <sheetViews>
    <sheetView tabSelected="1" workbookViewId="0">
      <selection activeCell="K10" sqref="K10"/>
    </sheetView>
  </sheetViews>
  <sheetFormatPr baseColWidth="10" defaultColWidth="9.140625" defaultRowHeight="15" x14ac:dyDescent="0.25"/>
  <cols>
    <col min="1" max="1" width="10.140625" bestFit="1" customWidth="1"/>
    <col min="2" max="2" width="19.140625" bestFit="1" customWidth="1"/>
    <col min="3" max="3" width="39.5703125" bestFit="1" customWidth="1"/>
    <col min="4" max="4" width="12.42578125" bestFit="1" customWidth="1"/>
    <col min="5" max="5" width="8.42578125" bestFit="1" customWidth="1"/>
    <col min="9" max="9" width="8" customWidth="1"/>
    <col min="10" max="10" width="18.85546875" bestFit="1" customWidth="1"/>
    <col min="11" max="11" width="26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M1" t="s">
        <v>383</v>
      </c>
      <c r="N1" t="s">
        <v>485</v>
      </c>
      <c r="O1" t="s">
        <v>486</v>
      </c>
    </row>
    <row r="2" spans="1:15" x14ac:dyDescent="0.25">
      <c r="A2" s="4" t="s">
        <v>6</v>
      </c>
      <c r="B2" s="2" t="s">
        <v>7</v>
      </c>
      <c r="C2" s="2" t="s">
        <v>8</v>
      </c>
      <c r="D2" s="5">
        <v>0.75</v>
      </c>
      <c r="E2" s="3">
        <v>4.5999999999999996</v>
      </c>
      <c r="F2" s="4">
        <v>1</v>
      </c>
      <c r="H2" t="s">
        <v>472</v>
      </c>
      <c r="I2" t="s">
        <v>6</v>
      </c>
      <c r="J2" t="str">
        <f>IF(I2="","",VLOOKUP(I2,Catalogue,2,FALSE))</f>
        <v>Vins rouges et rosés</v>
      </c>
      <c r="K2" t="str">
        <f>IF(I2="","",VLOOKUP(I2,Catalogue,3,FALSE))</f>
        <v>Bordeaux Château Le Pradel</v>
      </c>
      <c r="L2">
        <f>IF(I2="","",VLOOKUP(I2,Catalogue,5,FALSE))</f>
        <v>4.5999999999999996</v>
      </c>
      <c r="M2" s="62">
        <f>IF(AND(Clients!M2="revendeur",N2&gt;50),10%,IF(AND(Clients!M2="Revendeur",N2&lt;10),2%,IF(AND(Clients!M2&lt;&gt;"revendeur",N2&gt;=50),10%,IF(AND(Clients!M2&lt;&gt;"revendeur",N2&lt;10),0%,5%))))</f>
        <v>0</v>
      </c>
      <c r="O2">
        <f>L2*(1-M2)*N2</f>
        <v>0</v>
      </c>
    </row>
    <row r="3" spans="1:15" x14ac:dyDescent="0.25">
      <c r="A3" s="4" t="s">
        <v>9</v>
      </c>
      <c r="B3" s="2" t="s">
        <v>7</v>
      </c>
      <c r="C3" s="2" t="s">
        <v>10</v>
      </c>
      <c r="D3" s="5">
        <v>0.75</v>
      </c>
      <c r="E3" s="3">
        <v>6.19</v>
      </c>
      <c r="F3" s="4">
        <v>1</v>
      </c>
      <c r="H3" t="s">
        <v>473</v>
      </c>
      <c r="I3" t="s">
        <v>17</v>
      </c>
      <c r="J3" t="str">
        <f>IF(I3="","",VLOOKUP(I3,Catalogue,2,FALSE))</f>
        <v>Vins rouges et rosés</v>
      </c>
      <c r="K3" t="str">
        <f>IF(I3="","",VLOOKUP(I3,Catalogue,3,FALSE))</f>
        <v>Côtes du Rhône La ferme de Gicon</v>
      </c>
      <c r="L3">
        <f>IF(I3="","",VLOOKUP(I3,Catalogue,5,FALSE))</f>
        <v>4.5199999999999996</v>
      </c>
      <c r="O3">
        <f t="shared" ref="O3:O4" si="0">L3*(1-M3)*N3</f>
        <v>0</v>
      </c>
    </row>
    <row r="4" spans="1:15" x14ac:dyDescent="0.25">
      <c r="A4" s="4" t="s">
        <v>11</v>
      </c>
      <c r="B4" s="2" t="s">
        <v>7</v>
      </c>
      <c r="C4" s="2" t="s">
        <v>12</v>
      </c>
      <c r="D4" s="5">
        <v>0.75</v>
      </c>
      <c r="E4" s="3">
        <v>7.94</v>
      </c>
      <c r="F4" s="4">
        <v>1</v>
      </c>
      <c r="H4" t="s">
        <v>474</v>
      </c>
      <c r="I4" t="s">
        <v>34</v>
      </c>
      <c r="J4" t="str">
        <f>IF(I4="","",VLOOKUP(I4,Catalogue,2,FALSE))</f>
        <v>Jus eaux et sodas</v>
      </c>
      <c r="K4" t="str">
        <f>IF(I4="","",VLOOKUP(I4,Catalogue,3,FALSE))</f>
        <v>Eau Evian 1,5 litres</v>
      </c>
      <c r="L4">
        <f>IF(I4="","",VLOOKUP(I4,Catalogue,5,FALSE))</f>
        <v>1.1000000000000001</v>
      </c>
      <c r="O4">
        <f t="shared" si="0"/>
        <v>0</v>
      </c>
    </row>
    <row r="5" spans="1:15" x14ac:dyDescent="0.25">
      <c r="A5" s="4" t="s">
        <v>13</v>
      </c>
      <c r="B5" s="2" t="s">
        <v>7</v>
      </c>
      <c r="C5" s="2" t="s">
        <v>14</v>
      </c>
      <c r="D5" s="5">
        <v>0.75</v>
      </c>
      <c r="E5" s="3">
        <v>8.86</v>
      </c>
      <c r="F5" s="4">
        <v>1</v>
      </c>
      <c r="H5" t="s">
        <v>475</v>
      </c>
      <c r="J5" t="str">
        <f>IF(I5="","",VLOOKUP(I5,Catalogue,2,FALSE))</f>
        <v/>
      </c>
      <c r="K5" t="str">
        <f>IF(I5="","",VLOOKUP(I5,Catalogue,3,FALSE))</f>
        <v/>
      </c>
      <c r="L5" t="str">
        <f>IF(I5="","",VLOOKUP(I5,Catalogue,5,FALSE))</f>
        <v/>
      </c>
    </row>
    <row r="6" spans="1:15" x14ac:dyDescent="0.25">
      <c r="A6" s="4" t="s">
        <v>15</v>
      </c>
      <c r="B6" s="2" t="s">
        <v>7</v>
      </c>
      <c r="C6" s="2" t="s">
        <v>16</v>
      </c>
      <c r="D6" s="5">
        <v>0.75</v>
      </c>
      <c r="E6" s="3">
        <v>11.45</v>
      </c>
      <c r="F6" s="4">
        <v>1</v>
      </c>
      <c r="H6" t="s">
        <v>476</v>
      </c>
      <c r="J6" t="str">
        <f>IF(I6="","",VLOOKUP(I6,Catalogue,2,FALSE))</f>
        <v/>
      </c>
      <c r="K6" t="str">
        <f>IF(I6="","",VLOOKUP(I6,Catalogue,3,FALSE))</f>
        <v/>
      </c>
      <c r="L6" t="str">
        <f>IF(I6="","",VLOOKUP(I6,Catalogue,5,FALSE))</f>
        <v/>
      </c>
    </row>
    <row r="7" spans="1:15" x14ac:dyDescent="0.25">
      <c r="A7" s="4" t="s">
        <v>17</v>
      </c>
      <c r="B7" s="2" t="s">
        <v>7</v>
      </c>
      <c r="C7" s="2" t="s">
        <v>18</v>
      </c>
      <c r="D7" s="5">
        <v>0.75</v>
      </c>
      <c r="E7" s="3">
        <v>4.5199999999999996</v>
      </c>
      <c r="F7" s="4">
        <v>1</v>
      </c>
      <c r="H7" t="s">
        <v>477</v>
      </c>
      <c r="J7" t="str">
        <f>IF(I7="","",VLOOKUP(I7,Catalogue,2,FALSE))</f>
        <v/>
      </c>
      <c r="K7" t="str">
        <f>IF(I7="","",VLOOKUP(I7,Catalogue,3,FALSE))</f>
        <v/>
      </c>
      <c r="L7" t="str">
        <f>IF(I7="","",VLOOKUP(I7,Catalogue,5,FALSE))</f>
        <v/>
      </c>
    </row>
    <row r="8" spans="1:15" x14ac:dyDescent="0.25">
      <c r="A8" s="4" t="s">
        <v>19</v>
      </c>
      <c r="B8" s="2" t="s">
        <v>7</v>
      </c>
      <c r="C8" s="2" t="s">
        <v>20</v>
      </c>
      <c r="D8" s="5">
        <v>0.75</v>
      </c>
      <c r="E8" s="3">
        <v>4.3499999999999996</v>
      </c>
      <c r="F8" s="4">
        <v>1</v>
      </c>
      <c r="H8" t="s">
        <v>478</v>
      </c>
      <c r="J8" t="str">
        <f>IF(I8="","",VLOOKUP(I8,Catalogue,2,FALSE))</f>
        <v/>
      </c>
      <c r="K8" t="str">
        <f>IF(I8="","",VLOOKUP(I8,Catalogue,3,FALSE))</f>
        <v/>
      </c>
      <c r="L8" t="str">
        <f>IF(I8="","",VLOOKUP(I8,Catalogue,5,FALSE))</f>
        <v/>
      </c>
    </row>
    <row r="9" spans="1:15" x14ac:dyDescent="0.25">
      <c r="A9" s="4" t="s">
        <v>21</v>
      </c>
      <c r="B9" s="2" t="s">
        <v>22</v>
      </c>
      <c r="C9" s="2" t="s">
        <v>23</v>
      </c>
      <c r="D9" s="5">
        <v>0.75</v>
      </c>
      <c r="E9" s="3">
        <v>14.97</v>
      </c>
      <c r="F9" s="4">
        <v>1</v>
      </c>
      <c r="H9" t="s">
        <v>479</v>
      </c>
      <c r="J9" t="str">
        <f>IF(I9="","",VLOOKUP(I9,Catalogue,2,FALSE))</f>
        <v/>
      </c>
      <c r="K9" t="str">
        <f>IF(I9="","",VLOOKUP(I9,Catalogue,3,FALSE))</f>
        <v/>
      </c>
      <c r="L9" t="str">
        <f>IF(I9="","",VLOOKUP(I9,Catalogue,5,FALSE))</f>
        <v/>
      </c>
    </row>
    <row r="10" spans="1:15" x14ac:dyDescent="0.25">
      <c r="A10" s="4" t="s">
        <v>24</v>
      </c>
      <c r="B10" s="2" t="s">
        <v>22</v>
      </c>
      <c r="C10" s="2" t="s">
        <v>25</v>
      </c>
      <c r="D10" s="5">
        <v>0.75</v>
      </c>
      <c r="E10" s="3">
        <v>4.01</v>
      </c>
      <c r="F10" s="4">
        <v>1</v>
      </c>
    </row>
    <row r="11" spans="1:15" x14ac:dyDescent="0.25">
      <c r="A11" s="4" t="s">
        <v>26</v>
      </c>
      <c r="B11" s="2" t="s">
        <v>22</v>
      </c>
      <c r="C11" s="2" t="s">
        <v>27</v>
      </c>
      <c r="D11" s="5">
        <v>0.75</v>
      </c>
      <c r="E11" s="3">
        <v>7.11</v>
      </c>
      <c r="F11" s="4">
        <v>1</v>
      </c>
    </row>
    <row r="12" spans="1:15" x14ac:dyDescent="0.25">
      <c r="A12" s="4" t="s">
        <v>28</v>
      </c>
      <c r="B12" s="2" t="s">
        <v>22</v>
      </c>
      <c r="C12" s="2" t="s">
        <v>29</v>
      </c>
      <c r="D12" s="5">
        <v>0.75</v>
      </c>
      <c r="E12" s="3">
        <v>2.93</v>
      </c>
      <c r="F12" s="4">
        <v>1</v>
      </c>
    </row>
    <row r="13" spans="1:15" x14ac:dyDescent="0.25">
      <c r="A13" s="4" t="s">
        <v>30</v>
      </c>
      <c r="B13" s="2" t="s">
        <v>22</v>
      </c>
      <c r="C13" s="2" t="s">
        <v>31</v>
      </c>
      <c r="D13" s="5">
        <v>1.5</v>
      </c>
      <c r="E13" s="3">
        <v>22.16</v>
      </c>
      <c r="F13" s="4">
        <v>1</v>
      </c>
    </row>
    <row r="14" spans="1:15" x14ac:dyDescent="0.25">
      <c r="A14" s="4" t="s">
        <v>32</v>
      </c>
      <c r="B14" s="2" t="s">
        <v>22</v>
      </c>
      <c r="C14" s="2" t="s">
        <v>33</v>
      </c>
      <c r="D14" s="5">
        <v>1.5</v>
      </c>
      <c r="E14" s="3">
        <v>25.25</v>
      </c>
      <c r="F14" s="4">
        <v>1</v>
      </c>
    </row>
    <row r="15" spans="1:15" x14ac:dyDescent="0.25">
      <c r="A15" s="4" t="s">
        <v>34</v>
      </c>
      <c r="B15" s="2" t="s">
        <v>35</v>
      </c>
      <c r="C15" s="2" t="s">
        <v>36</v>
      </c>
      <c r="D15" s="5">
        <v>1.5</v>
      </c>
      <c r="E15" s="3">
        <v>1.1000000000000001</v>
      </c>
      <c r="F15" s="4">
        <v>2</v>
      </c>
    </row>
    <row r="16" spans="1:15" x14ac:dyDescent="0.25">
      <c r="A16" s="4" t="s">
        <v>37</v>
      </c>
      <c r="B16" s="2" t="s">
        <v>35</v>
      </c>
      <c r="C16" s="2" t="s">
        <v>38</v>
      </c>
      <c r="D16" s="5">
        <v>1</v>
      </c>
      <c r="E16" s="3">
        <v>1.52</v>
      </c>
      <c r="F16" s="4">
        <v>2</v>
      </c>
    </row>
    <row r="17" spans="1:6" x14ac:dyDescent="0.25">
      <c r="A17" s="4" t="s">
        <v>39</v>
      </c>
      <c r="B17" s="2" t="s">
        <v>35</v>
      </c>
      <c r="C17" s="2" t="s">
        <v>40</v>
      </c>
      <c r="D17" s="5">
        <v>1.5</v>
      </c>
      <c r="E17" s="3">
        <v>1.71</v>
      </c>
      <c r="F17" s="4">
        <v>2</v>
      </c>
    </row>
    <row r="18" spans="1:6" x14ac:dyDescent="0.25">
      <c r="A18" s="4" t="s">
        <v>41</v>
      </c>
      <c r="B18" s="2" t="s">
        <v>35</v>
      </c>
      <c r="C18" s="2" t="s">
        <v>42</v>
      </c>
      <c r="D18" s="5">
        <v>1</v>
      </c>
      <c r="E18" s="3">
        <v>1.42</v>
      </c>
      <c r="F18" s="4">
        <v>2</v>
      </c>
    </row>
    <row r="19" spans="1:6" x14ac:dyDescent="0.25">
      <c r="A19" s="4" t="s">
        <v>43</v>
      </c>
      <c r="B19" s="2" t="s">
        <v>35</v>
      </c>
      <c r="C19" s="2" t="s">
        <v>44</v>
      </c>
      <c r="D19" s="5">
        <v>1</v>
      </c>
      <c r="E19" s="3">
        <v>1.9</v>
      </c>
      <c r="F19" s="4">
        <v>2</v>
      </c>
    </row>
    <row r="20" spans="1:6" x14ac:dyDescent="0.25">
      <c r="A20" s="4" t="s">
        <v>45</v>
      </c>
      <c r="B20" s="2" t="s">
        <v>35</v>
      </c>
      <c r="C20" s="2" t="s">
        <v>46</v>
      </c>
      <c r="D20" s="5">
        <v>1</v>
      </c>
      <c r="E20" s="3">
        <v>1.8</v>
      </c>
      <c r="F20" s="4">
        <v>2</v>
      </c>
    </row>
    <row r="21" spans="1:6" x14ac:dyDescent="0.25">
      <c r="A21" s="4" t="s">
        <v>47</v>
      </c>
      <c r="B21" s="2" t="s">
        <v>35</v>
      </c>
      <c r="C21" s="2" t="s">
        <v>48</v>
      </c>
      <c r="D21" s="5">
        <v>1</v>
      </c>
      <c r="E21" s="3">
        <v>1.52</v>
      </c>
      <c r="F21" s="4">
        <v>2</v>
      </c>
    </row>
    <row r="22" spans="1:6" x14ac:dyDescent="0.25">
      <c r="A22" s="4" t="s">
        <v>49</v>
      </c>
      <c r="B22" s="2" t="s">
        <v>35</v>
      </c>
      <c r="C22" s="2" t="s">
        <v>50</v>
      </c>
      <c r="D22" s="5">
        <v>1</v>
      </c>
      <c r="E22" s="3">
        <v>1.52</v>
      </c>
      <c r="F22" s="4">
        <v>2</v>
      </c>
    </row>
    <row r="23" spans="1:6" x14ac:dyDescent="0.25">
      <c r="A23" s="4" t="s">
        <v>51</v>
      </c>
      <c r="B23" s="2" t="s">
        <v>35</v>
      </c>
      <c r="C23" s="2" t="s">
        <v>52</v>
      </c>
      <c r="D23" s="5">
        <v>1.5</v>
      </c>
      <c r="E23" s="3">
        <v>1.71</v>
      </c>
      <c r="F23" s="4">
        <v>2</v>
      </c>
    </row>
    <row r="24" spans="1:6" x14ac:dyDescent="0.25">
      <c r="A24" s="4" t="s">
        <v>53</v>
      </c>
      <c r="B24" s="2" t="s">
        <v>35</v>
      </c>
      <c r="C24" s="2" t="s">
        <v>54</v>
      </c>
      <c r="D24" s="5">
        <v>3</v>
      </c>
      <c r="E24" s="3">
        <v>2.2000000000000002</v>
      </c>
      <c r="F24" s="4">
        <v>2</v>
      </c>
    </row>
    <row r="25" spans="1:6" x14ac:dyDescent="0.25">
      <c r="A25" s="4" t="s">
        <v>55</v>
      </c>
      <c r="B25" s="2" t="s">
        <v>56</v>
      </c>
      <c r="C25" s="2" t="s">
        <v>57</v>
      </c>
      <c r="D25" s="5">
        <v>0.75</v>
      </c>
      <c r="E25" s="3">
        <v>16.22</v>
      </c>
      <c r="F25" s="4">
        <v>1</v>
      </c>
    </row>
    <row r="26" spans="1:6" x14ac:dyDescent="0.25">
      <c r="A26" s="4" t="s">
        <v>58</v>
      </c>
      <c r="B26" s="2" t="s">
        <v>56</v>
      </c>
      <c r="C26" s="2" t="s">
        <v>59</v>
      </c>
      <c r="D26" s="5">
        <v>0.75</v>
      </c>
      <c r="E26" s="3">
        <v>13.04</v>
      </c>
      <c r="F26" s="4">
        <v>1</v>
      </c>
    </row>
    <row r="27" spans="1:6" x14ac:dyDescent="0.25">
      <c r="A27" s="4" t="s">
        <v>60</v>
      </c>
      <c r="B27" s="2" t="s">
        <v>56</v>
      </c>
      <c r="C27" s="2" t="s">
        <v>61</v>
      </c>
      <c r="D27" s="5">
        <v>0.75</v>
      </c>
      <c r="E27" s="3">
        <v>14.63</v>
      </c>
      <c r="F27" s="4">
        <v>1</v>
      </c>
    </row>
    <row r="28" spans="1:6" x14ac:dyDescent="0.25">
      <c r="A28" s="4" t="s">
        <v>62</v>
      </c>
      <c r="B28" s="2" t="s">
        <v>56</v>
      </c>
      <c r="C28" s="2" t="s">
        <v>63</v>
      </c>
      <c r="D28" s="5">
        <v>0.75</v>
      </c>
      <c r="E28" s="3">
        <v>12.96</v>
      </c>
      <c r="F28" s="4">
        <v>1</v>
      </c>
    </row>
    <row r="29" spans="1:6" x14ac:dyDescent="0.25">
      <c r="A29" s="4" t="s">
        <v>64</v>
      </c>
      <c r="B29" s="2" t="s">
        <v>56</v>
      </c>
      <c r="C29" s="2" t="s">
        <v>65</v>
      </c>
      <c r="D29" s="5">
        <v>0.75</v>
      </c>
      <c r="E29" s="3">
        <v>20.149999999999999</v>
      </c>
      <c r="F29" s="4">
        <v>1</v>
      </c>
    </row>
    <row r="30" spans="1:6" x14ac:dyDescent="0.25">
      <c r="A30" s="4" t="s">
        <v>66</v>
      </c>
      <c r="B30" s="2" t="s">
        <v>56</v>
      </c>
      <c r="C30" s="2" t="s">
        <v>65</v>
      </c>
      <c r="D30" s="5">
        <v>1.5</v>
      </c>
      <c r="E30" s="3">
        <v>37.200000000000003</v>
      </c>
      <c r="F30" s="4">
        <v>1</v>
      </c>
    </row>
    <row r="31" spans="1:6" x14ac:dyDescent="0.25">
      <c r="A31" s="4" t="s">
        <v>67</v>
      </c>
      <c r="B31" s="2" t="s">
        <v>68</v>
      </c>
      <c r="C31" s="2" t="s">
        <v>69</v>
      </c>
      <c r="D31" s="5">
        <v>0.5</v>
      </c>
      <c r="E31" s="3">
        <v>4.8499999999999996</v>
      </c>
      <c r="F31" s="4">
        <v>1</v>
      </c>
    </row>
    <row r="32" spans="1:6" x14ac:dyDescent="0.25">
      <c r="A32" s="4" t="s">
        <v>70</v>
      </c>
      <c r="B32" s="2" t="s">
        <v>68</v>
      </c>
      <c r="C32" s="2" t="s">
        <v>71</v>
      </c>
      <c r="D32" s="5">
        <v>0.5</v>
      </c>
      <c r="E32" s="3">
        <v>5.35</v>
      </c>
      <c r="F32" s="4">
        <v>1</v>
      </c>
    </row>
    <row r="33" spans="1:6" x14ac:dyDescent="0.25">
      <c r="A33" s="4" t="s">
        <v>72</v>
      </c>
      <c r="B33" s="2" t="s">
        <v>68</v>
      </c>
      <c r="C33" s="2" t="s">
        <v>73</v>
      </c>
      <c r="D33" s="5">
        <v>3</v>
      </c>
      <c r="E33" s="3">
        <v>12.79</v>
      </c>
      <c r="F33" s="4">
        <v>1</v>
      </c>
    </row>
    <row r="34" spans="1:6" x14ac:dyDescent="0.25">
      <c r="A34" s="4" t="s">
        <v>74</v>
      </c>
      <c r="B34" s="2" t="s">
        <v>68</v>
      </c>
      <c r="C34" s="2" t="s">
        <v>75</v>
      </c>
      <c r="D34" s="5">
        <v>3</v>
      </c>
      <c r="E34" s="3">
        <v>14.55</v>
      </c>
      <c r="F34" s="4">
        <v>1</v>
      </c>
    </row>
  </sheetData>
  <printOptions horizontalCentered="1"/>
  <pageMargins left="0.39370078740157483" right="0.39370078740157483" top="0.59055118110236227" bottom="0.59055118110236227" header="0.31496062992125984" footer="0.31496062992125984"/>
  <pageSetup paperSize="9" scale="96" orientation="portrait" r:id="rId1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77"/>
  <sheetViews>
    <sheetView workbookViewId="0">
      <selection activeCell="M4" sqref="M4"/>
    </sheetView>
  </sheetViews>
  <sheetFormatPr baseColWidth="10" defaultRowHeight="15" x14ac:dyDescent="0.25"/>
  <cols>
    <col min="1" max="1" width="14" customWidth="1"/>
    <col min="2" max="2" width="12" customWidth="1"/>
    <col min="3" max="3" width="30.42578125" customWidth="1"/>
    <col min="4" max="4" width="7.42578125" style="14" customWidth="1"/>
    <col min="5" max="5" width="18.140625" customWidth="1"/>
    <col min="6" max="6" width="8.28515625" style="14" customWidth="1"/>
    <col min="7" max="7" width="10.28515625" style="14" customWidth="1"/>
    <col min="8" max="8" width="12.5703125" customWidth="1"/>
    <col min="10" max="10" width="15.7109375" customWidth="1"/>
  </cols>
  <sheetData>
    <row r="1" spans="1:13" ht="15" customHeight="1" x14ac:dyDescent="0.25">
      <c r="A1" s="7" t="s">
        <v>77</v>
      </c>
      <c r="B1" s="7" t="s">
        <v>78</v>
      </c>
      <c r="C1" s="7" t="s">
        <v>79</v>
      </c>
      <c r="D1" s="7" t="s">
        <v>80</v>
      </c>
      <c r="E1" s="7" t="s">
        <v>81</v>
      </c>
      <c r="F1" s="7" t="s">
        <v>76</v>
      </c>
      <c r="G1" s="7" t="s">
        <v>82</v>
      </c>
      <c r="H1" s="7" t="s">
        <v>83</v>
      </c>
    </row>
    <row r="2" spans="1:13" ht="15" customHeight="1" x14ac:dyDescent="0.25">
      <c r="A2" s="45" t="s">
        <v>390</v>
      </c>
      <c r="B2" s="6" t="s">
        <v>85</v>
      </c>
      <c r="C2" s="6" t="s">
        <v>86</v>
      </c>
      <c r="D2" s="15">
        <v>59000</v>
      </c>
      <c r="E2" s="6" t="s">
        <v>87</v>
      </c>
      <c r="F2" s="13" t="s">
        <v>84</v>
      </c>
      <c r="G2" s="13" t="s">
        <v>88</v>
      </c>
      <c r="H2" s="6" t="s">
        <v>89</v>
      </c>
      <c r="J2" t="s">
        <v>484</v>
      </c>
      <c r="K2" s="45" t="s">
        <v>394</v>
      </c>
      <c r="L2" s="49" t="str">
        <f>VLOOKUP(K2,Clients,2,FALSE)</f>
        <v>Stéphane</v>
      </c>
      <c r="M2" t="str">
        <f>VLOOKUP(K2,Clients,8,FALSE)</f>
        <v>Restaurateur</v>
      </c>
    </row>
    <row r="3" spans="1:13" ht="15" customHeight="1" x14ac:dyDescent="0.25">
      <c r="A3" s="45" t="s">
        <v>391</v>
      </c>
      <c r="B3" s="6" t="s">
        <v>91</v>
      </c>
      <c r="C3" s="6" t="s">
        <v>92</v>
      </c>
      <c r="D3" s="15">
        <v>59300</v>
      </c>
      <c r="E3" s="6" t="s">
        <v>93</v>
      </c>
      <c r="F3" s="13" t="s">
        <v>90</v>
      </c>
      <c r="G3" s="13" t="s">
        <v>94</v>
      </c>
      <c r="H3" s="6" t="s">
        <v>95</v>
      </c>
    </row>
    <row r="4" spans="1:13" ht="15" customHeight="1" x14ac:dyDescent="0.25">
      <c r="A4" s="45" t="s">
        <v>392</v>
      </c>
      <c r="B4" s="6" t="s">
        <v>97</v>
      </c>
      <c r="C4" s="6" t="s">
        <v>98</v>
      </c>
      <c r="D4" s="15">
        <v>59500</v>
      </c>
      <c r="E4" s="6" t="s">
        <v>99</v>
      </c>
      <c r="F4" s="13" t="s">
        <v>96</v>
      </c>
      <c r="G4" s="13" t="s">
        <v>100</v>
      </c>
      <c r="H4" s="6" t="s">
        <v>101</v>
      </c>
      <c r="J4" t="s">
        <v>480</v>
      </c>
      <c r="K4" t="str">
        <f>VLOOKUP($K$2,Clients,3,FALSE)</f>
        <v>56 rue des rouets</v>
      </c>
    </row>
    <row r="5" spans="1:13" ht="15" customHeight="1" x14ac:dyDescent="0.25">
      <c r="A5" s="45" t="s">
        <v>393</v>
      </c>
      <c r="B5" s="6" t="s">
        <v>103</v>
      </c>
      <c r="C5" s="6" t="s">
        <v>104</v>
      </c>
      <c r="D5" s="15">
        <v>59400</v>
      </c>
      <c r="E5" s="6" t="s">
        <v>105</v>
      </c>
      <c r="F5" s="13" t="s">
        <v>102</v>
      </c>
      <c r="G5" s="13" t="s">
        <v>100</v>
      </c>
      <c r="H5" s="6" t="s">
        <v>89</v>
      </c>
      <c r="J5" t="s">
        <v>481</v>
      </c>
      <c r="K5">
        <f>VLOOKUP($K$2,Clients,4,FALSE)</f>
        <v>59610</v>
      </c>
    </row>
    <row r="6" spans="1:13" ht="15" customHeight="1" x14ac:dyDescent="0.25">
      <c r="A6" s="45" t="s">
        <v>394</v>
      </c>
      <c r="B6" s="6" t="s">
        <v>107</v>
      </c>
      <c r="C6" s="6" t="s">
        <v>108</v>
      </c>
      <c r="D6" s="15">
        <v>59610</v>
      </c>
      <c r="E6" s="6" t="s">
        <v>109</v>
      </c>
      <c r="F6" s="13" t="s">
        <v>106</v>
      </c>
      <c r="G6" s="13" t="s">
        <v>110</v>
      </c>
      <c r="H6" s="6" t="s">
        <v>111</v>
      </c>
      <c r="J6" t="s">
        <v>482</v>
      </c>
      <c r="K6" t="str">
        <f>VLOOKUP($K$2,Clients,5,FALSE)</f>
        <v>FOURMIES</v>
      </c>
    </row>
    <row r="7" spans="1:13" ht="15" customHeight="1" x14ac:dyDescent="0.25">
      <c r="A7" s="45" t="s">
        <v>395</v>
      </c>
      <c r="B7" s="6" t="s">
        <v>113</v>
      </c>
      <c r="C7" s="6" t="s">
        <v>114</v>
      </c>
      <c r="D7" s="15">
        <v>55100</v>
      </c>
      <c r="E7" s="6" t="s">
        <v>115</v>
      </c>
      <c r="F7" s="13" t="s">
        <v>112</v>
      </c>
      <c r="G7" s="13" t="s">
        <v>116</v>
      </c>
      <c r="H7" s="6" t="s">
        <v>89</v>
      </c>
      <c r="J7" t="s">
        <v>471</v>
      </c>
      <c r="L7" s="61">
        <f ca="1">TODAY()</f>
        <v>43237</v>
      </c>
    </row>
    <row r="8" spans="1:13" ht="15" customHeight="1" x14ac:dyDescent="0.25">
      <c r="A8" s="45" t="s">
        <v>396</v>
      </c>
      <c r="B8" s="6" t="s">
        <v>118</v>
      </c>
      <c r="C8" s="6" t="s">
        <v>119</v>
      </c>
      <c r="D8" s="15">
        <v>55000</v>
      </c>
      <c r="E8" s="6" t="s">
        <v>120</v>
      </c>
      <c r="F8" s="13" t="s">
        <v>117</v>
      </c>
      <c r="G8" s="13" t="s">
        <v>116</v>
      </c>
      <c r="H8" s="6" t="s">
        <v>101</v>
      </c>
      <c r="J8" t="s">
        <v>483</v>
      </c>
      <c r="K8" t="str">
        <f>VLOOKUP(K2,Clients,6,FALSE)</f>
        <v>CLT005</v>
      </c>
    </row>
    <row r="9" spans="1:13" ht="15" customHeight="1" x14ac:dyDescent="0.25">
      <c r="A9" s="45" t="s">
        <v>397</v>
      </c>
      <c r="B9" s="6" t="s">
        <v>122</v>
      </c>
      <c r="C9" s="6" t="s">
        <v>123</v>
      </c>
      <c r="D9" s="15">
        <v>55100</v>
      </c>
      <c r="E9" s="6" t="s">
        <v>115</v>
      </c>
      <c r="F9" s="13" t="s">
        <v>121</v>
      </c>
      <c r="G9" s="13" t="s">
        <v>116</v>
      </c>
      <c r="H9" s="6" t="s">
        <v>111</v>
      </c>
    </row>
    <row r="10" spans="1:13" ht="15" customHeight="1" x14ac:dyDescent="0.25">
      <c r="A10" s="45" t="s">
        <v>398</v>
      </c>
      <c r="B10" s="6" t="s">
        <v>125</v>
      </c>
      <c r="C10" s="6" t="s">
        <v>126</v>
      </c>
      <c r="D10" s="15">
        <v>55700</v>
      </c>
      <c r="E10" s="6" t="s">
        <v>127</v>
      </c>
      <c r="F10" s="13" t="s">
        <v>124</v>
      </c>
      <c r="G10" s="13" t="s">
        <v>116</v>
      </c>
      <c r="H10" s="6" t="s">
        <v>89</v>
      </c>
    </row>
    <row r="11" spans="1:13" ht="15" customHeight="1" x14ac:dyDescent="0.25">
      <c r="A11" s="45" t="s">
        <v>399</v>
      </c>
      <c r="B11" s="6" t="s">
        <v>129</v>
      </c>
      <c r="C11" s="6" t="s">
        <v>130</v>
      </c>
      <c r="D11" s="15">
        <v>59000</v>
      </c>
      <c r="E11" s="6" t="s">
        <v>87</v>
      </c>
      <c r="F11" s="13" t="s">
        <v>128</v>
      </c>
      <c r="G11" s="13" t="s">
        <v>88</v>
      </c>
      <c r="H11" s="6" t="s">
        <v>95</v>
      </c>
    </row>
    <row r="12" spans="1:13" ht="15" customHeight="1" x14ac:dyDescent="0.25">
      <c r="A12" s="45" t="s">
        <v>400</v>
      </c>
      <c r="B12" s="6" t="s">
        <v>132</v>
      </c>
      <c r="C12" s="6" t="s">
        <v>133</v>
      </c>
      <c r="D12" s="15">
        <v>59500</v>
      </c>
      <c r="E12" s="6" t="s">
        <v>99</v>
      </c>
      <c r="F12" s="13" t="s">
        <v>131</v>
      </c>
      <c r="G12" s="13" t="s">
        <v>100</v>
      </c>
      <c r="H12" s="6" t="s">
        <v>89</v>
      </c>
    </row>
    <row r="13" spans="1:13" ht="15" customHeight="1" x14ac:dyDescent="0.25">
      <c r="A13" s="45" t="s">
        <v>401</v>
      </c>
      <c r="B13" s="6" t="s">
        <v>135</v>
      </c>
      <c r="C13" s="6" t="s">
        <v>136</v>
      </c>
      <c r="D13" s="15">
        <v>59700</v>
      </c>
      <c r="E13" s="6" t="s">
        <v>137</v>
      </c>
      <c r="F13" s="13" t="s">
        <v>134</v>
      </c>
      <c r="G13" s="13" t="s">
        <v>88</v>
      </c>
      <c r="H13" s="6" t="s">
        <v>101</v>
      </c>
    </row>
    <row r="14" spans="1:13" ht="15" customHeight="1" x14ac:dyDescent="0.25">
      <c r="A14" s="45" t="s">
        <v>372</v>
      </c>
      <c r="B14" s="6" t="s">
        <v>139</v>
      </c>
      <c r="C14" s="6" t="s">
        <v>140</v>
      </c>
      <c r="D14" s="15">
        <v>59100</v>
      </c>
      <c r="E14" s="6" t="s">
        <v>141</v>
      </c>
      <c r="F14" s="13" t="s">
        <v>138</v>
      </c>
      <c r="G14" s="13" t="s">
        <v>88</v>
      </c>
      <c r="H14" s="6" t="s">
        <v>95</v>
      </c>
    </row>
    <row r="15" spans="1:13" ht="15" customHeight="1" x14ac:dyDescent="0.25">
      <c r="A15" s="45" t="s">
        <v>402</v>
      </c>
      <c r="B15" s="6" t="s">
        <v>143</v>
      </c>
      <c r="C15" s="6" t="s">
        <v>144</v>
      </c>
      <c r="D15" s="15">
        <v>59500</v>
      </c>
      <c r="E15" s="6" t="s">
        <v>99</v>
      </c>
      <c r="F15" s="13" t="s">
        <v>142</v>
      </c>
      <c r="G15" s="13" t="s">
        <v>100</v>
      </c>
      <c r="H15" s="6" t="s">
        <v>89</v>
      </c>
    </row>
    <row r="16" spans="1:13" ht="15" customHeight="1" x14ac:dyDescent="0.25">
      <c r="A16" s="45" t="s">
        <v>403</v>
      </c>
      <c r="B16" s="6" t="s">
        <v>146</v>
      </c>
      <c r="C16" s="6" t="s">
        <v>147</v>
      </c>
      <c r="D16" s="15">
        <v>59128</v>
      </c>
      <c r="E16" s="6" t="s">
        <v>148</v>
      </c>
      <c r="F16" s="13" t="s">
        <v>145</v>
      </c>
      <c r="G16" s="13" t="s">
        <v>100</v>
      </c>
      <c r="H16" s="6" t="s">
        <v>101</v>
      </c>
    </row>
    <row r="17" spans="1:8" ht="15" customHeight="1" x14ac:dyDescent="0.25">
      <c r="A17" s="45" t="s">
        <v>404</v>
      </c>
      <c r="B17" s="6" t="s">
        <v>150</v>
      </c>
      <c r="C17" s="6" t="s">
        <v>151</v>
      </c>
      <c r="D17" s="15">
        <v>59283</v>
      </c>
      <c r="E17" s="6" t="s">
        <v>152</v>
      </c>
      <c r="F17" s="13" t="s">
        <v>149</v>
      </c>
      <c r="G17" s="13" t="s">
        <v>100</v>
      </c>
      <c r="H17" s="6" t="s">
        <v>95</v>
      </c>
    </row>
    <row r="18" spans="1:8" ht="15" customHeight="1" x14ac:dyDescent="0.25">
      <c r="A18" s="45" t="s">
        <v>405</v>
      </c>
      <c r="B18" s="6" t="s">
        <v>154</v>
      </c>
      <c r="C18" s="6" t="s">
        <v>155</v>
      </c>
      <c r="D18" s="15">
        <v>59450</v>
      </c>
      <c r="E18" s="6" t="s">
        <v>156</v>
      </c>
      <c r="F18" s="13" t="s">
        <v>153</v>
      </c>
      <c r="G18" s="13" t="s">
        <v>100</v>
      </c>
      <c r="H18" s="6" t="s">
        <v>111</v>
      </c>
    </row>
    <row r="19" spans="1:8" ht="15" customHeight="1" x14ac:dyDescent="0.25">
      <c r="A19" s="45" t="s">
        <v>406</v>
      </c>
      <c r="B19" s="6" t="s">
        <v>158</v>
      </c>
      <c r="C19" s="6" t="s">
        <v>159</v>
      </c>
      <c r="D19" s="15">
        <v>59507</v>
      </c>
      <c r="E19" s="6" t="s">
        <v>99</v>
      </c>
      <c r="F19" s="13" t="s">
        <v>157</v>
      </c>
      <c r="G19" s="13" t="s">
        <v>100</v>
      </c>
      <c r="H19" s="6" t="s">
        <v>89</v>
      </c>
    </row>
    <row r="20" spans="1:8" ht="15" customHeight="1" x14ac:dyDescent="0.25">
      <c r="A20" s="45" t="s">
        <v>407</v>
      </c>
      <c r="B20" s="6" t="s">
        <v>161</v>
      </c>
      <c r="C20" s="6" t="s">
        <v>162</v>
      </c>
      <c r="D20" s="15">
        <v>59100</v>
      </c>
      <c r="E20" s="6" t="s">
        <v>141</v>
      </c>
      <c r="F20" s="13" t="s">
        <v>160</v>
      </c>
      <c r="G20" s="13" t="s">
        <v>88</v>
      </c>
      <c r="H20" s="6" t="s">
        <v>111</v>
      </c>
    </row>
    <row r="21" spans="1:8" ht="15" customHeight="1" x14ac:dyDescent="0.25">
      <c r="A21" s="45" t="s">
        <v>408</v>
      </c>
      <c r="B21" s="6" t="s">
        <v>164</v>
      </c>
      <c r="C21" s="6" t="s">
        <v>165</v>
      </c>
      <c r="D21" s="15">
        <v>59113</v>
      </c>
      <c r="E21" s="6" t="s">
        <v>166</v>
      </c>
      <c r="F21" s="13" t="s">
        <v>163</v>
      </c>
      <c r="G21" s="13" t="s">
        <v>88</v>
      </c>
      <c r="H21" s="6" t="s">
        <v>89</v>
      </c>
    </row>
    <row r="22" spans="1:8" ht="15" customHeight="1" x14ac:dyDescent="0.25">
      <c r="A22" s="45" t="s">
        <v>409</v>
      </c>
      <c r="B22" s="6" t="s">
        <v>168</v>
      </c>
      <c r="C22" s="6" t="s">
        <v>169</v>
      </c>
      <c r="D22" s="15">
        <v>59810</v>
      </c>
      <c r="E22" s="6" t="s">
        <v>170</v>
      </c>
      <c r="F22" s="13" t="s">
        <v>167</v>
      </c>
      <c r="G22" s="13" t="s">
        <v>88</v>
      </c>
      <c r="H22" s="6" t="s">
        <v>101</v>
      </c>
    </row>
    <row r="23" spans="1:8" ht="15" customHeight="1" x14ac:dyDescent="0.25">
      <c r="A23" s="45" t="s">
        <v>410</v>
      </c>
      <c r="B23" s="6" t="s">
        <v>173</v>
      </c>
      <c r="C23" s="6" t="s">
        <v>174</v>
      </c>
      <c r="D23" s="15">
        <v>59100</v>
      </c>
      <c r="E23" s="6" t="s">
        <v>141</v>
      </c>
      <c r="F23" s="13" t="s">
        <v>171</v>
      </c>
      <c r="G23" s="13" t="s">
        <v>88</v>
      </c>
      <c r="H23" s="6" t="s">
        <v>95</v>
      </c>
    </row>
    <row r="24" spans="1:8" ht="15" customHeight="1" x14ac:dyDescent="0.25">
      <c r="A24" s="45" t="s">
        <v>411</v>
      </c>
      <c r="B24" s="6" t="s">
        <v>176</v>
      </c>
      <c r="C24" s="6" t="s">
        <v>177</v>
      </c>
      <c r="D24" s="15">
        <v>59400</v>
      </c>
      <c r="E24" s="6" t="s">
        <v>105</v>
      </c>
      <c r="F24" s="13" t="s">
        <v>175</v>
      </c>
      <c r="G24" s="13" t="s">
        <v>100</v>
      </c>
      <c r="H24" s="6" t="s">
        <v>111</v>
      </c>
    </row>
    <row r="25" spans="1:8" ht="15" customHeight="1" x14ac:dyDescent="0.25">
      <c r="A25" s="45" t="s">
        <v>412</v>
      </c>
      <c r="B25" s="6" t="s">
        <v>179</v>
      </c>
      <c r="C25" s="6" t="s">
        <v>180</v>
      </c>
      <c r="D25" s="15">
        <v>59023</v>
      </c>
      <c r="E25" s="6" t="s">
        <v>87</v>
      </c>
      <c r="F25" s="13" t="s">
        <v>178</v>
      </c>
      <c r="G25" s="13" t="s">
        <v>88</v>
      </c>
      <c r="H25" s="6" t="s">
        <v>89</v>
      </c>
    </row>
    <row r="26" spans="1:8" ht="15" customHeight="1" x14ac:dyDescent="0.25">
      <c r="A26" s="45" t="s">
        <v>413</v>
      </c>
      <c r="B26" s="6" t="s">
        <v>182</v>
      </c>
      <c r="C26" s="6" t="s">
        <v>183</v>
      </c>
      <c r="D26" s="15">
        <v>59300</v>
      </c>
      <c r="E26" s="6" t="s">
        <v>93</v>
      </c>
      <c r="F26" s="13" t="s">
        <v>181</v>
      </c>
      <c r="G26" s="13" t="s">
        <v>94</v>
      </c>
      <c r="H26" s="6" t="s">
        <v>95</v>
      </c>
    </row>
    <row r="27" spans="1:8" ht="15" customHeight="1" x14ac:dyDescent="0.25">
      <c r="A27" s="45" t="s">
        <v>414</v>
      </c>
      <c r="B27" s="6" t="s">
        <v>172</v>
      </c>
      <c r="C27" s="6" t="s">
        <v>185</v>
      </c>
      <c r="D27" s="15">
        <v>59163</v>
      </c>
      <c r="E27" s="6" t="s">
        <v>186</v>
      </c>
      <c r="F27" s="13" t="s">
        <v>184</v>
      </c>
      <c r="G27" s="13" t="s">
        <v>94</v>
      </c>
      <c r="H27" s="6" t="s">
        <v>101</v>
      </c>
    </row>
    <row r="28" spans="1:8" ht="15" customHeight="1" x14ac:dyDescent="0.25">
      <c r="A28" s="45" t="s">
        <v>415</v>
      </c>
      <c r="B28" s="6" t="s">
        <v>188</v>
      </c>
      <c r="C28" s="6" t="s">
        <v>189</v>
      </c>
      <c r="D28" s="15">
        <v>59400</v>
      </c>
      <c r="E28" s="6" t="s">
        <v>105</v>
      </c>
      <c r="F28" s="13" t="s">
        <v>187</v>
      </c>
      <c r="G28" s="13" t="s">
        <v>100</v>
      </c>
      <c r="H28" s="6" t="s">
        <v>89</v>
      </c>
    </row>
    <row r="29" spans="1:8" ht="15" customHeight="1" x14ac:dyDescent="0.25">
      <c r="A29" s="45" t="s">
        <v>416</v>
      </c>
      <c r="B29" s="6" t="s">
        <v>191</v>
      </c>
      <c r="C29" s="6" t="s">
        <v>192</v>
      </c>
      <c r="D29" s="15">
        <v>59174</v>
      </c>
      <c r="E29" s="6" t="s">
        <v>193</v>
      </c>
      <c r="F29" s="13" t="s">
        <v>190</v>
      </c>
      <c r="G29" s="13" t="s">
        <v>94</v>
      </c>
      <c r="H29" s="6" t="s">
        <v>95</v>
      </c>
    </row>
    <row r="30" spans="1:8" ht="15" customHeight="1" x14ac:dyDescent="0.25">
      <c r="A30" s="45" t="s">
        <v>417</v>
      </c>
      <c r="B30" s="6" t="s">
        <v>195</v>
      </c>
      <c r="C30" s="6" t="s">
        <v>196</v>
      </c>
      <c r="D30" s="15">
        <v>59600</v>
      </c>
      <c r="E30" s="6" t="s">
        <v>197</v>
      </c>
      <c r="F30" s="13" t="s">
        <v>194</v>
      </c>
      <c r="G30" s="13" t="s">
        <v>110</v>
      </c>
      <c r="H30" s="6" t="s">
        <v>111</v>
      </c>
    </row>
    <row r="31" spans="1:8" ht="15" customHeight="1" x14ac:dyDescent="0.25">
      <c r="A31" s="45" t="s">
        <v>418</v>
      </c>
      <c r="B31" s="6" t="s">
        <v>168</v>
      </c>
      <c r="C31" s="6" t="s">
        <v>199</v>
      </c>
      <c r="D31" s="15">
        <v>59000</v>
      </c>
      <c r="E31" s="6" t="s">
        <v>87</v>
      </c>
      <c r="F31" s="13" t="s">
        <v>198</v>
      </c>
      <c r="G31" s="13" t="s">
        <v>88</v>
      </c>
      <c r="H31" s="6" t="s">
        <v>89</v>
      </c>
    </row>
    <row r="32" spans="1:8" ht="15" customHeight="1" x14ac:dyDescent="0.25">
      <c r="A32" s="45" t="s">
        <v>419</v>
      </c>
      <c r="B32" s="6" t="s">
        <v>201</v>
      </c>
      <c r="C32" s="6" t="s">
        <v>202</v>
      </c>
      <c r="D32" s="15">
        <v>59660</v>
      </c>
      <c r="E32" s="6" t="s">
        <v>203</v>
      </c>
      <c r="F32" s="13" t="s">
        <v>200</v>
      </c>
      <c r="G32" s="13" t="s">
        <v>204</v>
      </c>
      <c r="H32" s="6" t="s">
        <v>89</v>
      </c>
    </row>
    <row r="33" spans="1:8" ht="15" customHeight="1" x14ac:dyDescent="0.25">
      <c r="A33" s="45" t="s">
        <v>420</v>
      </c>
      <c r="B33" s="6" t="s">
        <v>206</v>
      </c>
      <c r="C33" s="6" t="s">
        <v>207</v>
      </c>
      <c r="D33" s="15">
        <v>59168</v>
      </c>
      <c r="E33" s="6" t="s">
        <v>208</v>
      </c>
      <c r="F33" s="13" t="s">
        <v>205</v>
      </c>
      <c r="G33" s="13" t="s">
        <v>110</v>
      </c>
      <c r="H33" s="6" t="s">
        <v>111</v>
      </c>
    </row>
    <row r="34" spans="1:8" ht="15" customHeight="1" x14ac:dyDescent="0.25">
      <c r="A34" s="45" t="s">
        <v>421</v>
      </c>
      <c r="B34" s="6" t="s">
        <v>210</v>
      </c>
      <c r="C34" s="6" t="s">
        <v>211</v>
      </c>
      <c r="D34" s="15">
        <v>59132</v>
      </c>
      <c r="E34" s="6" t="s">
        <v>212</v>
      </c>
      <c r="F34" s="13" t="s">
        <v>209</v>
      </c>
      <c r="G34" s="13" t="s">
        <v>110</v>
      </c>
      <c r="H34" s="6" t="s">
        <v>101</v>
      </c>
    </row>
    <row r="35" spans="1:8" ht="15" customHeight="1" x14ac:dyDescent="0.25">
      <c r="A35" s="45" t="s">
        <v>422</v>
      </c>
      <c r="B35" s="6" t="s">
        <v>214</v>
      </c>
      <c r="C35" s="6" t="s">
        <v>215</v>
      </c>
      <c r="D35" s="15">
        <v>59400</v>
      </c>
      <c r="E35" s="6" t="s">
        <v>105</v>
      </c>
      <c r="F35" s="13" t="s">
        <v>213</v>
      </c>
      <c r="G35" s="13" t="s">
        <v>100</v>
      </c>
      <c r="H35" s="6" t="s">
        <v>89</v>
      </c>
    </row>
    <row r="36" spans="1:8" ht="15" customHeight="1" x14ac:dyDescent="0.25">
      <c r="A36" s="45" t="s">
        <v>423</v>
      </c>
      <c r="B36" s="6" t="s">
        <v>217</v>
      </c>
      <c r="C36" s="6" t="s">
        <v>218</v>
      </c>
      <c r="D36" s="15">
        <v>59310</v>
      </c>
      <c r="E36" s="6" t="s">
        <v>219</v>
      </c>
      <c r="F36" s="13" t="s">
        <v>216</v>
      </c>
      <c r="G36" s="13" t="s">
        <v>94</v>
      </c>
      <c r="H36" s="6" t="s">
        <v>111</v>
      </c>
    </row>
    <row r="37" spans="1:8" ht="15" customHeight="1" x14ac:dyDescent="0.25">
      <c r="A37" s="45" t="s">
        <v>424</v>
      </c>
      <c r="B37" s="6" t="s">
        <v>221</v>
      </c>
      <c r="C37" s="6" t="s">
        <v>222</v>
      </c>
      <c r="D37" s="15">
        <v>59200</v>
      </c>
      <c r="E37" s="6" t="s">
        <v>223</v>
      </c>
      <c r="F37" s="13" t="s">
        <v>220</v>
      </c>
      <c r="G37" s="13" t="s">
        <v>88</v>
      </c>
      <c r="H37" s="6" t="s">
        <v>95</v>
      </c>
    </row>
    <row r="38" spans="1:8" ht="15" customHeight="1" x14ac:dyDescent="0.25">
      <c r="A38" s="45" t="s">
        <v>425</v>
      </c>
      <c r="B38" s="6" t="s">
        <v>225</v>
      </c>
      <c r="C38" s="6" t="s">
        <v>226</v>
      </c>
      <c r="D38" s="15">
        <v>59500</v>
      </c>
      <c r="E38" s="6" t="s">
        <v>99</v>
      </c>
      <c r="F38" s="13" t="s">
        <v>224</v>
      </c>
      <c r="G38" s="13" t="s">
        <v>100</v>
      </c>
      <c r="H38" s="6" t="s">
        <v>95</v>
      </c>
    </row>
    <row r="39" spans="1:8" ht="15" customHeight="1" x14ac:dyDescent="0.25">
      <c r="A39" s="45" t="s">
        <v>426</v>
      </c>
      <c r="B39" s="6" t="s">
        <v>228</v>
      </c>
      <c r="C39" s="6" t="s">
        <v>229</v>
      </c>
      <c r="D39" s="15">
        <v>59400</v>
      </c>
      <c r="E39" s="6" t="s">
        <v>105</v>
      </c>
      <c r="F39" s="13" t="s">
        <v>227</v>
      </c>
      <c r="G39" s="13" t="s">
        <v>100</v>
      </c>
      <c r="H39" s="6" t="s">
        <v>101</v>
      </c>
    </row>
    <row r="40" spans="1:8" ht="15" customHeight="1" x14ac:dyDescent="0.25">
      <c r="A40" s="45" t="s">
        <v>427</v>
      </c>
      <c r="B40" s="6" t="s">
        <v>231</v>
      </c>
      <c r="C40" s="6" t="s">
        <v>232</v>
      </c>
      <c r="D40" s="15">
        <v>59810</v>
      </c>
      <c r="E40" s="6" t="s">
        <v>170</v>
      </c>
      <c r="F40" s="13" t="s">
        <v>230</v>
      </c>
      <c r="G40" s="13" t="s">
        <v>88</v>
      </c>
      <c r="H40" s="6" t="s">
        <v>89</v>
      </c>
    </row>
    <row r="41" spans="1:8" ht="15" customHeight="1" x14ac:dyDescent="0.25">
      <c r="A41" s="45" t="s">
        <v>428</v>
      </c>
      <c r="B41" s="6" t="s">
        <v>135</v>
      </c>
      <c r="C41" s="6" t="s">
        <v>234</v>
      </c>
      <c r="D41" s="15">
        <v>62490</v>
      </c>
      <c r="E41" s="6" t="s">
        <v>235</v>
      </c>
      <c r="F41" s="13" t="s">
        <v>233</v>
      </c>
      <c r="G41" s="13" t="s">
        <v>116</v>
      </c>
      <c r="H41" s="6" t="s">
        <v>101</v>
      </c>
    </row>
    <row r="42" spans="1:8" ht="15" customHeight="1" x14ac:dyDescent="0.25">
      <c r="A42" s="45" t="s">
        <v>429</v>
      </c>
      <c r="B42" s="6" t="s">
        <v>107</v>
      </c>
      <c r="C42" s="6" t="s">
        <v>237</v>
      </c>
      <c r="D42" s="15">
        <v>59113</v>
      </c>
      <c r="E42" s="6" t="s">
        <v>166</v>
      </c>
      <c r="F42" s="13" t="s">
        <v>236</v>
      </c>
      <c r="G42" s="13" t="s">
        <v>88</v>
      </c>
      <c r="H42" s="6" t="s">
        <v>111</v>
      </c>
    </row>
    <row r="43" spans="1:8" ht="15" customHeight="1" x14ac:dyDescent="0.25">
      <c r="A43" s="45" t="s">
        <v>430</v>
      </c>
      <c r="B43" s="6" t="s">
        <v>173</v>
      </c>
      <c r="C43" s="6" t="s">
        <v>239</v>
      </c>
      <c r="D43" s="15">
        <v>59300</v>
      </c>
      <c r="E43" s="6" t="s">
        <v>240</v>
      </c>
      <c r="F43" s="13" t="s">
        <v>238</v>
      </c>
      <c r="G43" s="13" t="s">
        <v>94</v>
      </c>
      <c r="H43" s="6" t="s">
        <v>95</v>
      </c>
    </row>
    <row r="44" spans="1:8" ht="15" customHeight="1" x14ac:dyDescent="0.25">
      <c r="A44" s="45" t="s">
        <v>431</v>
      </c>
      <c r="B44" s="6" t="s">
        <v>242</v>
      </c>
      <c r="C44" s="6" t="s">
        <v>243</v>
      </c>
      <c r="D44" s="15">
        <v>59140</v>
      </c>
      <c r="E44" s="6" t="s">
        <v>244</v>
      </c>
      <c r="F44" s="13" t="s">
        <v>241</v>
      </c>
      <c r="G44" s="13" t="s">
        <v>204</v>
      </c>
      <c r="H44" s="6" t="s">
        <v>101</v>
      </c>
    </row>
    <row r="45" spans="1:8" ht="15" customHeight="1" x14ac:dyDescent="0.25">
      <c r="A45" s="45" t="s">
        <v>432</v>
      </c>
      <c r="B45" s="6" t="s">
        <v>246</v>
      </c>
      <c r="C45" s="6" t="s">
        <v>247</v>
      </c>
      <c r="D45" s="15">
        <v>91029</v>
      </c>
      <c r="E45" s="6" t="s">
        <v>248</v>
      </c>
      <c r="F45" s="13" t="s">
        <v>245</v>
      </c>
      <c r="G45" s="13" t="s">
        <v>116</v>
      </c>
      <c r="H45" s="6" t="s">
        <v>95</v>
      </c>
    </row>
    <row r="46" spans="1:8" ht="15" customHeight="1" x14ac:dyDescent="0.25">
      <c r="A46" s="45" t="s">
        <v>433</v>
      </c>
      <c r="B46" s="6" t="s">
        <v>132</v>
      </c>
      <c r="C46" s="6" t="s">
        <v>250</v>
      </c>
      <c r="D46" s="15">
        <v>59500</v>
      </c>
      <c r="E46" s="6" t="s">
        <v>99</v>
      </c>
      <c r="F46" s="13" t="s">
        <v>249</v>
      </c>
      <c r="G46" s="13" t="s">
        <v>100</v>
      </c>
      <c r="H46" s="6" t="s">
        <v>89</v>
      </c>
    </row>
    <row r="47" spans="1:8" ht="15" customHeight="1" x14ac:dyDescent="0.25">
      <c r="A47" s="45" t="s">
        <v>434</v>
      </c>
      <c r="B47" s="6" t="s">
        <v>252</v>
      </c>
      <c r="C47" s="6" t="s">
        <v>253</v>
      </c>
      <c r="D47" s="15">
        <v>59440</v>
      </c>
      <c r="E47" s="6" t="s">
        <v>254</v>
      </c>
      <c r="F47" s="13" t="s">
        <v>251</v>
      </c>
      <c r="G47" s="13" t="s">
        <v>110</v>
      </c>
      <c r="H47" s="6" t="s">
        <v>111</v>
      </c>
    </row>
    <row r="48" spans="1:8" ht="15" customHeight="1" x14ac:dyDescent="0.25">
      <c r="A48" s="45" t="s">
        <v>435</v>
      </c>
      <c r="B48" s="6" t="s">
        <v>256</v>
      </c>
      <c r="C48" s="6" t="s">
        <v>257</v>
      </c>
      <c r="D48" s="15">
        <v>59280</v>
      </c>
      <c r="E48" s="6" t="s">
        <v>258</v>
      </c>
      <c r="F48" s="13" t="s">
        <v>255</v>
      </c>
      <c r="G48" s="13" t="s">
        <v>204</v>
      </c>
      <c r="H48" s="6" t="s">
        <v>89</v>
      </c>
    </row>
    <row r="49" spans="1:8" ht="15" customHeight="1" x14ac:dyDescent="0.25">
      <c r="A49" s="45" t="s">
        <v>436</v>
      </c>
      <c r="B49" s="6" t="s">
        <v>260</v>
      </c>
      <c r="C49" s="6" t="s">
        <v>261</v>
      </c>
      <c r="D49" s="15">
        <v>59509</v>
      </c>
      <c r="E49" s="6" t="s">
        <v>99</v>
      </c>
      <c r="F49" s="13" t="s">
        <v>259</v>
      </c>
      <c r="G49" s="13" t="s">
        <v>100</v>
      </c>
      <c r="H49" s="6" t="s">
        <v>95</v>
      </c>
    </row>
    <row r="50" spans="1:8" ht="15" customHeight="1" x14ac:dyDescent="0.25">
      <c r="A50" s="45" t="s">
        <v>437</v>
      </c>
      <c r="B50" s="6" t="s">
        <v>263</v>
      </c>
      <c r="C50" s="6" t="s">
        <v>264</v>
      </c>
      <c r="D50" s="15">
        <v>59720</v>
      </c>
      <c r="E50" s="6" t="s">
        <v>265</v>
      </c>
      <c r="F50" s="13" t="s">
        <v>262</v>
      </c>
      <c r="G50" s="13" t="s">
        <v>110</v>
      </c>
      <c r="H50" s="6" t="s">
        <v>89</v>
      </c>
    </row>
    <row r="51" spans="1:8" ht="15" customHeight="1" x14ac:dyDescent="0.25">
      <c r="A51" s="45" t="s">
        <v>438</v>
      </c>
      <c r="B51" s="6" t="s">
        <v>267</v>
      </c>
      <c r="C51" s="6" t="s">
        <v>268</v>
      </c>
      <c r="D51" s="15">
        <v>59509</v>
      </c>
      <c r="E51" s="6" t="s">
        <v>99</v>
      </c>
      <c r="F51" s="13" t="s">
        <v>266</v>
      </c>
      <c r="G51" s="13" t="s">
        <v>100</v>
      </c>
      <c r="H51" s="6" t="s">
        <v>95</v>
      </c>
    </row>
    <row r="52" spans="1:8" ht="15" customHeight="1" x14ac:dyDescent="0.25">
      <c r="A52" s="45" t="s">
        <v>439</v>
      </c>
      <c r="B52" s="6" t="s">
        <v>270</v>
      </c>
      <c r="C52" s="6" t="s">
        <v>271</v>
      </c>
      <c r="D52" s="15">
        <v>59820</v>
      </c>
      <c r="E52" s="6" t="s">
        <v>272</v>
      </c>
      <c r="F52" s="13" t="s">
        <v>269</v>
      </c>
      <c r="G52" s="13" t="s">
        <v>204</v>
      </c>
      <c r="H52" s="6" t="s">
        <v>101</v>
      </c>
    </row>
    <row r="53" spans="1:8" ht="15" customHeight="1" x14ac:dyDescent="0.25">
      <c r="A53" s="45" t="s">
        <v>440</v>
      </c>
      <c r="B53" s="6" t="s">
        <v>274</v>
      </c>
      <c r="C53" s="6" t="s">
        <v>275</v>
      </c>
      <c r="D53" s="15">
        <v>59330</v>
      </c>
      <c r="E53" s="6" t="s">
        <v>276</v>
      </c>
      <c r="F53" s="13" t="s">
        <v>273</v>
      </c>
      <c r="G53" s="13" t="s">
        <v>110</v>
      </c>
      <c r="H53" s="6" t="s">
        <v>111</v>
      </c>
    </row>
    <row r="54" spans="1:8" ht="15" customHeight="1" x14ac:dyDescent="0.25">
      <c r="A54" s="45" t="s">
        <v>441</v>
      </c>
      <c r="B54" s="6" t="s">
        <v>278</v>
      </c>
      <c r="C54" s="6" t="s">
        <v>279</v>
      </c>
      <c r="D54" s="15">
        <v>59860</v>
      </c>
      <c r="E54" s="6" t="s">
        <v>280</v>
      </c>
      <c r="F54" s="13" t="s">
        <v>277</v>
      </c>
      <c r="G54" s="13" t="s">
        <v>94</v>
      </c>
      <c r="H54" s="6" t="s">
        <v>89</v>
      </c>
    </row>
    <row r="55" spans="1:8" ht="15" customHeight="1" x14ac:dyDescent="0.25">
      <c r="A55" s="45" t="s">
        <v>442</v>
      </c>
      <c r="B55" s="6" t="s">
        <v>282</v>
      </c>
      <c r="C55" s="6" t="s">
        <v>283</v>
      </c>
      <c r="D55" s="15">
        <v>59460</v>
      </c>
      <c r="E55" s="6" t="s">
        <v>284</v>
      </c>
      <c r="F55" s="13" t="s">
        <v>281</v>
      </c>
      <c r="G55" s="13" t="s">
        <v>110</v>
      </c>
      <c r="H55" s="6" t="s">
        <v>95</v>
      </c>
    </row>
    <row r="56" spans="1:8" ht="15" customHeight="1" x14ac:dyDescent="0.25">
      <c r="A56" s="45" t="s">
        <v>400</v>
      </c>
      <c r="B56" s="6" t="s">
        <v>286</v>
      </c>
      <c r="C56" s="6" t="s">
        <v>287</v>
      </c>
      <c r="D56" s="15">
        <v>59509</v>
      </c>
      <c r="E56" s="6" t="s">
        <v>99</v>
      </c>
      <c r="F56" s="13" t="s">
        <v>285</v>
      </c>
      <c r="G56" s="13" t="s">
        <v>100</v>
      </c>
      <c r="H56" s="6" t="s">
        <v>111</v>
      </c>
    </row>
    <row r="57" spans="1:8" ht="15" customHeight="1" x14ac:dyDescent="0.25">
      <c r="A57" s="45" t="s">
        <v>443</v>
      </c>
      <c r="B57" s="6" t="s">
        <v>289</v>
      </c>
      <c r="C57" s="6" t="s">
        <v>290</v>
      </c>
      <c r="D57" s="15">
        <v>59140</v>
      </c>
      <c r="E57" s="6" t="s">
        <v>244</v>
      </c>
      <c r="F57" s="13" t="s">
        <v>288</v>
      </c>
      <c r="G57" s="13" t="s">
        <v>204</v>
      </c>
      <c r="H57" s="6" t="s">
        <v>101</v>
      </c>
    </row>
    <row r="58" spans="1:8" ht="15" customHeight="1" x14ac:dyDescent="0.25">
      <c r="A58" s="45" t="s">
        <v>444</v>
      </c>
      <c r="B58" s="6" t="s">
        <v>292</v>
      </c>
      <c r="C58" s="6" t="s">
        <v>293</v>
      </c>
      <c r="D58" s="15">
        <v>59600</v>
      </c>
      <c r="E58" s="6" t="s">
        <v>294</v>
      </c>
      <c r="F58" s="13" t="s">
        <v>291</v>
      </c>
      <c r="G58" s="13" t="s">
        <v>110</v>
      </c>
      <c r="H58" s="6" t="s">
        <v>89</v>
      </c>
    </row>
    <row r="59" spans="1:8" ht="15" customHeight="1" x14ac:dyDescent="0.25">
      <c r="A59" s="45" t="s">
        <v>445</v>
      </c>
      <c r="B59" s="6" t="s">
        <v>296</v>
      </c>
      <c r="C59" s="6" t="s">
        <v>297</v>
      </c>
      <c r="D59" s="15">
        <v>59600</v>
      </c>
      <c r="E59" s="6" t="s">
        <v>294</v>
      </c>
      <c r="F59" s="13" t="s">
        <v>295</v>
      </c>
      <c r="G59" s="13" t="s">
        <v>110</v>
      </c>
      <c r="H59" s="6" t="s">
        <v>95</v>
      </c>
    </row>
    <row r="60" spans="1:8" ht="15" customHeight="1" x14ac:dyDescent="0.25">
      <c r="A60" s="45" t="s">
        <v>446</v>
      </c>
      <c r="B60" s="6" t="s">
        <v>299</v>
      </c>
      <c r="C60" s="6" t="s">
        <v>300</v>
      </c>
      <c r="D60" s="15">
        <v>59500</v>
      </c>
      <c r="E60" s="6" t="s">
        <v>99</v>
      </c>
      <c r="F60" s="13" t="s">
        <v>298</v>
      </c>
      <c r="G60" s="13" t="s">
        <v>100</v>
      </c>
      <c r="H60" s="6" t="s">
        <v>111</v>
      </c>
    </row>
    <row r="61" spans="1:8" ht="15" customHeight="1" x14ac:dyDescent="0.25">
      <c r="A61" s="45" t="s">
        <v>447</v>
      </c>
      <c r="B61" s="6" t="s">
        <v>302</v>
      </c>
      <c r="C61" s="6" t="s">
        <v>303</v>
      </c>
      <c r="D61" s="15">
        <v>59300</v>
      </c>
      <c r="E61" s="6" t="s">
        <v>93</v>
      </c>
      <c r="F61" s="13" t="s">
        <v>301</v>
      </c>
      <c r="G61" s="13" t="s">
        <v>94</v>
      </c>
      <c r="H61" s="6" t="s">
        <v>89</v>
      </c>
    </row>
    <row r="62" spans="1:8" ht="15" customHeight="1" x14ac:dyDescent="0.25">
      <c r="A62" s="45" t="s">
        <v>448</v>
      </c>
      <c r="B62" s="6" t="s">
        <v>97</v>
      </c>
      <c r="C62" s="6" t="s">
        <v>305</v>
      </c>
      <c r="D62" s="15">
        <v>59720</v>
      </c>
      <c r="E62" s="6" t="s">
        <v>265</v>
      </c>
      <c r="F62" s="13" t="s">
        <v>304</v>
      </c>
      <c r="G62" s="13" t="s">
        <v>110</v>
      </c>
      <c r="H62" s="6" t="s">
        <v>95</v>
      </c>
    </row>
    <row r="63" spans="1:8" ht="15" customHeight="1" x14ac:dyDescent="0.25">
      <c r="A63" s="45" t="s">
        <v>449</v>
      </c>
      <c r="B63" s="6" t="s">
        <v>307</v>
      </c>
      <c r="C63" s="6" t="s">
        <v>308</v>
      </c>
      <c r="D63" s="15">
        <v>59300</v>
      </c>
      <c r="E63" s="6" t="s">
        <v>93</v>
      </c>
      <c r="F63" s="13" t="s">
        <v>306</v>
      </c>
      <c r="G63" s="13" t="s">
        <v>94</v>
      </c>
      <c r="H63" s="6" t="s">
        <v>95</v>
      </c>
    </row>
    <row r="64" spans="1:8" ht="15" customHeight="1" x14ac:dyDescent="0.25">
      <c r="A64" s="45" t="s">
        <v>450</v>
      </c>
      <c r="B64" s="6" t="s">
        <v>188</v>
      </c>
      <c r="C64" s="6" t="s">
        <v>310</v>
      </c>
      <c r="D64" s="15">
        <v>21400</v>
      </c>
      <c r="E64" s="6" t="s">
        <v>311</v>
      </c>
      <c r="F64" s="13" t="s">
        <v>309</v>
      </c>
      <c r="G64" s="13" t="s">
        <v>116</v>
      </c>
      <c r="H64" s="6" t="s">
        <v>95</v>
      </c>
    </row>
    <row r="65" spans="1:8" ht="15" customHeight="1" x14ac:dyDescent="0.25">
      <c r="A65" s="45" t="s">
        <v>451</v>
      </c>
      <c r="B65" s="6" t="s">
        <v>313</v>
      </c>
      <c r="C65" s="6" t="s">
        <v>314</v>
      </c>
      <c r="D65" s="15">
        <v>59163</v>
      </c>
      <c r="E65" s="6" t="s">
        <v>186</v>
      </c>
      <c r="F65" s="13" t="s">
        <v>312</v>
      </c>
      <c r="G65" s="13" t="s">
        <v>94</v>
      </c>
      <c r="H65" s="6" t="s">
        <v>111</v>
      </c>
    </row>
    <row r="66" spans="1:8" ht="15" customHeight="1" x14ac:dyDescent="0.25">
      <c r="A66" s="45" t="s">
        <v>452</v>
      </c>
      <c r="B66" s="6" t="s">
        <v>316</v>
      </c>
      <c r="C66" s="6" t="s">
        <v>317</v>
      </c>
      <c r="D66" s="15">
        <v>59300</v>
      </c>
      <c r="E66" s="6" t="s">
        <v>93</v>
      </c>
      <c r="F66" s="13" t="s">
        <v>315</v>
      </c>
      <c r="G66" s="13" t="s">
        <v>94</v>
      </c>
      <c r="H66" s="6" t="s">
        <v>95</v>
      </c>
    </row>
    <row r="67" spans="1:8" ht="15" customHeight="1" x14ac:dyDescent="0.25">
      <c r="A67" s="45" t="s">
        <v>453</v>
      </c>
      <c r="B67" s="6" t="s">
        <v>319</v>
      </c>
      <c r="C67" s="6" t="s">
        <v>320</v>
      </c>
      <c r="D67" s="15">
        <v>59140</v>
      </c>
      <c r="E67" s="6" t="s">
        <v>244</v>
      </c>
      <c r="F67" s="13" t="s">
        <v>318</v>
      </c>
      <c r="G67" s="13" t="s">
        <v>204</v>
      </c>
      <c r="H67" s="6" t="s">
        <v>101</v>
      </c>
    </row>
    <row r="68" spans="1:8" ht="15" customHeight="1" x14ac:dyDescent="0.25">
      <c r="A68" s="45" t="s">
        <v>454</v>
      </c>
      <c r="B68" s="6" t="s">
        <v>322</v>
      </c>
      <c r="C68" s="6" t="s">
        <v>323</v>
      </c>
      <c r="D68" s="15">
        <v>59130</v>
      </c>
      <c r="E68" s="6" t="s">
        <v>324</v>
      </c>
      <c r="F68" s="13" t="s">
        <v>321</v>
      </c>
      <c r="G68" s="13" t="s">
        <v>88</v>
      </c>
      <c r="H68" s="6" t="s">
        <v>111</v>
      </c>
    </row>
    <row r="69" spans="1:8" ht="15" customHeight="1" x14ac:dyDescent="0.25">
      <c r="A69" s="45" t="s">
        <v>455</v>
      </c>
      <c r="B69" s="6" t="s">
        <v>326</v>
      </c>
      <c r="C69" s="6" t="s">
        <v>327</v>
      </c>
      <c r="D69" s="15">
        <v>59140</v>
      </c>
      <c r="E69" s="6" t="s">
        <v>244</v>
      </c>
      <c r="F69" s="13" t="s">
        <v>325</v>
      </c>
      <c r="G69" s="13" t="s">
        <v>204</v>
      </c>
      <c r="H69" s="6" t="s">
        <v>95</v>
      </c>
    </row>
    <row r="70" spans="1:8" ht="15" customHeight="1" x14ac:dyDescent="0.25">
      <c r="A70" s="45" t="s">
        <v>456</v>
      </c>
      <c r="B70" s="6" t="s">
        <v>329</v>
      </c>
      <c r="C70" s="6" t="s">
        <v>330</v>
      </c>
      <c r="D70" s="15">
        <v>59460</v>
      </c>
      <c r="E70" s="6" t="s">
        <v>284</v>
      </c>
      <c r="F70" s="13" t="s">
        <v>328</v>
      </c>
      <c r="G70" s="13" t="s">
        <v>110</v>
      </c>
      <c r="H70" s="6" t="s">
        <v>89</v>
      </c>
    </row>
    <row r="71" spans="1:8" ht="15" customHeight="1" x14ac:dyDescent="0.25">
      <c r="A71" s="45" t="s">
        <v>457</v>
      </c>
      <c r="B71" s="6" t="s">
        <v>164</v>
      </c>
      <c r="C71" s="6" t="s">
        <v>332</v>
      </c>
      <c r="D71" s="15">
        <v>59140</v>
      </c>
      <c r="E71" s="6" t="s">
        <v>244</v>
      </c>
      <c r="F71" s="13" t="s">
        <v>331</v>
      </c>
      <c r="G71" s="13" t="s">
        <v>204</v>
      </c>
      <c r="H71" s="6" t="s">
        <v>89</v>
      </c>
    </row>
    <row r="72" spans="1:8" ht="15" customHeight="1" x14ac:dyDescent="0.25">
      <c r="A72" s="45" t="s">
        <v>458</v>
      </c>
      <c r="B72" s="6" t="s">
        <v>334</v>
      </c>
      <c r="C72" s="6" t="s">
        <v>335</v>
      </c>
      <c r="D72" s="15">
        <v>59330</v>
      </c>
      <c r="E72" s="6" t="s">
        <v>276</v>
      </c>
      <c r="F72" s="13" t="s">
        <v>333</v>
      </c>
      <c r="G72" s="13" t="s">
        <v>110</v>
      </c>
      <c r="H72" s="6" t="s">
        <v>89</v>
      </c>
    </row>
    <row r="73" spans="1:8" ht="15" customHeight="1" x14ac:dyDescent="0.25">
      <c r="A73" s="45" t="s">
        <v>459</v>
      </c>
      <c r="B73" s="6" t="s">
        <v>337</v>
      </c>
      <c r="C73" s="6" t="s">
        <v>338</v>
      </c>
      <c r="D73" s="15">
        <v>59820</v>
      </c>
      <c r="E73" s="6" t="s">
        <v>272</v>
      </c>
      <c r="F73" s="13" t="s">
        <v>336</v>
      </c>
      <c r="G73" s="13" t="s">
        <v>204</v>
      </c>
      <c r="H73" s="6" t="s">
        <v>101</v>
      </c>
    </row>
    <row r="74" spans="1:8" ht="15" customHeight="1" x14ac:dyDescent="0.25">
      <c r="A74" s="45" t="s">
        <v>460</v>
      </c>
      <c r="B74" s="6" t="s">
        <v>340</v>
      </c>
      <c r="C74" s="6" t="s">
        <v>341</v>
      </c>
      <c r="D74" s="15">
        <v>59280</v>
      </c>
      <c r="E74" s="6" t="s">
        <v>258</v>
      </c>
      <c r="F74" s="13" t="s">
        <v>339</v>
      </c>
      <c r="G74" s="13" t="s">
        <v>204</v>
      </c>
      <c r="H74" s="6" t="s">
        <v>111</v>
      </c>
    </row>
    <row r="75" spans="1:8" ht="15" customHeight="1" x14ac:dyDescent="0.25">
      <c r="A75" s="45" t="s">
        <v>461</v>
      </c>
      <c r="B75" s="6" t="s">
        <v>343</v>
      </c>
      <c r="C75" s="6" t="s">
        <v>344</v>
      </c>
      <c r="D75" s="15">
        <v>59252</v>
      </c>
      <c r="E75" s="6" t="s">
        <v>345</v>
      </c>
      <c r="F75" s="13" t="s">
        <v>342</v>
      </c>
      <c r="G75" s="13" t="s">
        <v>88</v>
      </c>
      <c r="H75" s="6" t="s">
        <v>101</v>
      </c>
    </row>
    <row r="76" spans="1:8" ht="15" customHeight="1" x14ac:dyDescent="0.25">
      <c r="A76" s="45" t="s">
        <v>462</v>
      </c>
      <c r="B76" s="6" t="s">
        <v>347</v>
      </c>
      <c r="C76" s="6" t="s">
        <v>348</v>
      </c>
      <c r="D76" s="15">
        <v>62000</v>
      </c>
      <c r="E76" s="6" t="s">
        <v>349</v>
      </c>
      <c r="F76" s="13" t="s">
        <v>346</v>
      </c>
      <c r="G76" s="13" t="s">
        <v>116</v>
      </c>
      <c r="H76" s="6" t="s">
        <v>95</v>
      </c>
    </row>
    <row r="77" spans="1:8" ht="15" customHeight="1" x14ac:dyDescent="0.25">
      <c r="A77" s="45" t="s">
        <v>463</v>
      </c>
      <c r="B77" s="6" t="s">
        <v>351</v>
      </c>
      <c r="C77" s="6" t="s">
        <v>352</v>
      </c>
      <c r="D77" s="15">
        <v>59230</v>
      </c>
      <c r="E77" s="6" t="s">
        <v>353</v>
      </c>
      <c r="F77" s="13" t="s">
        <v>350</v>
      </c>
      <c r="G77" s="13" t="s">
        <v>94</v>
      </c>
      <c r="H77" s="6" t="s">
        <v>89</v>
      </c>
    </row>
  </sheetData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6"/>
  <sheetViews>
    <sheetView workbookViewId="0"/>
  </sheetViews>
  <sheetFormatPr baseColWidth="10" defaultRowHeight="15" x14ac:dyDescent="0.25"/>
  <cols>
    <col min="1" max="1" width="13.85546875" customWidth="1"/>
    <col min="2" max="2" width="13.5703125" customWidth="1"/>
    <col min="3" max="3" width="11" customWidth="1"/>
    <col min="4" max="4" width="17.140625" customWidth="1"/>
    <col min="5" max="5" width="25.5703125" customWidth="1"/>
    <col min="6" max="6" width="9.28515625" customWidth="1"/>
    <col min="7" max="7" width="13" customWidth="1"/>
    <col min="8" max="8" width="13.85546875" customWidth="1"/>
  </cols>
  <sheetData>
    <row r="1" spans="1:9" ht="13.5" customHeight="1" x14ac:dyDescent="0.25">
      <c r="A1" s="10" t="s">
        <v>354</v>
      </c>
      <c r="B1" s="10" t="s">
        <v>77</v>
      </c>
      <c r="C1" s="10" t="s">
        <v>78</v>
      </c>
      <c r="D1" s="10" t="s">
        <v>355</v>
      </c>
      <c r="E1" s="10" t="s">
        <v>79</v>
      </c>
      <c r="F1" s="10" t="s">
        <v>80</v>
      </c>
      <c r="G1" s="10" t="s">
        <v>81</v>
      </c>
      <c r="H1" s="10" t="s">
        <v>356</v>
      </c>
      <c r="I1" s="10" t="s">
        <v>465</v>
      </c>
    </row>
    <row r="2" spans="1:9" ht="19.5" customHeight="1" x14ac:dyDescent="0.25">
      <c r="A2" s="12" t="s">
        <v>357</v>
      </c>
      <c r="B2" s="8" t="s">
        <v>358</v>
      </c>
      <c r="C2" s="8" t="s">
        <v>359</v>
      </c>
      <c r="D2" s="11">
        <v>23248</v>
      </c>
      <c r="E2" s="8" t="s">
        <v>360</v>
      </c>
      <c r="F2" s="9">
        <v>59500</v>
      </c>
      <c r="G2" s="8" t="s">
        <v>361</v>
      </c>
      <c r="H2" s="11">
        <v>40801</v>
      </c>
      <c r="I2" s="12" t="s">
        <v>466</v>
      </c>
    </row>
    <row r="3" spans="1:9" ht="19.5" customHeight="1" x14ac:dyDescent="0.25">
      <c r="A3" s="12" t="s">
        <v>362</v>
      </c>
      <c r="B3" s="8" t="s">
        <v>363</v>
      </c>
      <c r="C3" s="8" t="s">
        <v>364</v>
      </c>
      <c r="D3" s="11">
        <v>22362</v>
      </c>
      <c r="E3" s="8" t="s">
        <v>365</v>
      </c>
      <c r="F3" s="9">
        <v>59400</v>
      </c>
      <c r="G3" s="8" t="s">
        <v>366</v>
      </c>
      <c r="H3" s="11">
        <v>41091</v>
      </c>
      <c r="I3" s="12" t="s">
        <v>467</v>
      </c>
    </row>
    <row r="4" spans="1:9" ht="19.5" customHeight="1" x14ac:dyDescent="0.25">
      <c r="A4" s="12" t="s">
        <v>367</v>
      </c>
      <c r="B4" s="8" t="s">
        <v>368</v>
      </c>
      <c r="C4" s="8" t="s">
        <v>132</v>
      </c>
      <c r="D4" s="11">
        <v>28775</v>
      </c>
      <c r="E4" s="8" t="s">
        <v>369</v>
      </c>
      <c r="F4" s="9">
        <v>59000</v>
      </c>
      <c r="G4" s="8" t="s">
        <v>370</v>
      </c>
      <c r="H4" s="11">
        <v>41486</v>
      </c>
      <c r="I4" s="12" t="s">
        <v>468</v>
      </c>
    </row>
    <row r="5" spans="1:9" ht="19.5" customHeight="1" x14ac:dyDescent="0.25">
      <c r="A5" s="12" t="s">
        <v>371</v>
      </c>
      <c r="B5" s="8" t="s">
        <v>372</v>
      </c>
      <c r="C5" s="8" t="s">
        <v>373</v>
      </c>
      <c r="D5" s="11">
        <v>25836</v>
      </c>
      <c r="E5" s="8" t="s">
        <v>374</v>
      </c>
      <c r="F5" s="9">
        <v>59600</v>
      </c>
      <c r="G5" s="8" t="s">
        <v>375</v>
      </c>
      <c r="H5" s="11">
        <v>41699</v>
      </c>
      <c r="I5" s="12" t="s">
        <v>469</v>
      </c>
    </row>
    <row r="6" spans="1:9" ht="19.5" customHeight="1" x14ac:dyDescent="0.25">
      <c r="A6" s="12" t="s">
        <v>376</v>
      </c>
      <c r="B6" s="8" t="s">
        <v>377</v>
      </c>
      <c r="C6" s="8" t="s">
        <v>378</v>
      </c>
      <c r="D6" s="11">
        <v>27632</v>
      </c>
      <c r="E6" s="8" t="s">
        <v>379</v>
      </c>
      <c r="F6" s="9">
        <v>59500</v>
      </c>
      <c r="G6" s="8" t="s">
        <v>361</v>
      </c>
      <c r="H6" s="11">
        <v>42551</v>
      </c>
      <c r="I6" s="12" t="s">
        <v>470</v>
      </c>
    </row>
  </sheetData>
  <printOptions horizontalCentered="1"/>
  <pageMargins left="0.39370078740157483" right="0.39370078740157483" top="0.59055118110236227" bottom="0.59055118110236227" header="0.31496062992125984" footer="0.31496062992125984"/>
  <pageSetup paperSize="9" scale="81" orientation="portrait" r:id="rId1"/>
  <headerFooter>
    <oddHeader>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G16"/>
  <sheetViews>
    <sheetView workbookViewId="0">
      <selection activeCell="A11" sqref="A1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f ca="1">Clients!L7</f>
        <v>43237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/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tr">
        <f>Clients!K8</f>
        <v>CLT005</v>
      </c>
    </row>
    <row r="5" spans="1:7" x14ac:dyDescent="0.25">
      <c r="A5" s="30"/>
      <c r="B5" s="16"/>
      <c r="C5" s="16"/>
      <c r="D5" s="56" t="str">
        <f>Clients!K2</f>
        <v>DEDEYSTERE</v>
      </c>
      <c r="E5" s="57"/>
      <c r="F5" s="59" t="str">
        <f>Clients!L2</f>
        <v>Stéphane</v>
      </c>
      <c r="G5" s="60"/>
    </row>
    <row r="6" spans="1:7" x14ac:dyDescent="0.25">
      <c r="A6" s="43" t="s">
        <v>388</v>
      </c>
      <c r="B6" s="42" t="str">
        <f>IF(ISBLANK($A$7),"",(VLOOKUP($A$7,Commerciaux,2,FALSE)))</f>
        <v>JENNY</v>
      </c>
      <c r="C6" s="16"/>
      <c r="D6" s="53" t="str">
        <f>Clients!K4</f>
        <v>56 rue des rouets</v>
      </c>
      <c r="E6" s="54"/>
      <c r="F6" s="54"/>
      <c r="G6" s="55"/>
    </row>
    <row r="7" spans="1:7" x14ac:dyDescent="0.25">
      <c r="A7" s="44" t="s">
        <v>376</v>
      </c>
      <c r="B7" s="42" t="str">
        <f>IF(ISBLANK($A$7),"",(VLOOKUP($A$7,Commerciaux,3,FALSE)))</f>
        <v>Hugues</v>
      </c>
      <c r="C7" s="16"/>
      <c r="D7" s="21">
        <f>Clients!K5</f>
        <v>59610</v>
      </c>
      <c r="E7" s="52" t="str">
        <f>Clients!K6</f>
        <v>FOURMIES</v>
      </c>
      <c r="F7" s="52"/>
      <c r="G7" s="48"/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/>
      <c r="B10" s="27" t="str">
        <f t="shared" ref="B10:B15" si="0">IF(ISBLANK(A10),"",VLOOKUP(A10,Catalogue,2,FALSE))</f>
        <v/>
      </c>
      <c r="C10" s="27" t="str">
        <f t="shared" ref="C10:C15" si="1">IF(ISBLANK(A10),"",VLOOKUP(A10,Catalogue,3,FALSE))</f>
        <v/>
      </c>
      <c r="D10" s="22" t="str">
        <f t="shared" ref="D10:D15" si="2">IF(ISBLANK(A10),"",VLOOKUP(A10,Catalogue,5,FALSE))</f>
        <v/>
      </c>
      <c r="E10" s="26"/>
      <c r="F10" s="47" t="str">
        <f t="shared" ref="F10:F15" si="3">IF(ISBLANK(E10),"",IF(E10&gt;=50,10%,IF(E10&gt;=10,5%,IF($G$7="revendeur",2%,0%))))</f>
        <v/>
      </c>
      <c r="G10" s="36" t="str">
        <f t="shared" ref="G10:G15" si="4">IF(ISBLANK(A10),"",D10*E10*(1-F10))</f>
        <v/>
      </c>
    </row>
    <row r="11" spans="1:7" x14ac:dyDescent="0.25">
      <c r="A11" s="35"/>
      <c r="B11" s="27" t="str">
        <f t="shared" si="0"/>
        <v/>
      </c>
      <c r="C11" s="27" t="str">
        <f t="shared" si="1"/>
        <v/>
      </c>
      <c r="D11" s="22" t="str">
        <f t="shared" si="2"/>
        <v/>
      </c>
      <c r="E11" s="26"/>
      <c r="F11" s="47" t="str">
        <f t="shared" si="3"/>
        <v/>
      </c>
      <c r="G11" s="36" t="str">
        <f t="shared" si="4"/>
        <v/>
      </c>
    </row>
    <row r="12" spans="1:7" x14ac:dyDescent="0.25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>
        <f>SUM(G10:G15)</f>
        <v>0</v>
      </c>
    </row>
  </sheetData>
  <mergeCells count="8">
    <mergeCell ref="D1:F1"/>
    <mergeCell ref="F5:G5"/>
    <mergeCell ref="B2:C2"/>
    <mergeCell ref="B3:C3"/>
    <mergeCell ref="B4:C4"/>
    <mergeCell ref="E7:F7"/>
    <mergeCell ref="D6:G6"/>
    <mergeCell ref="D5:E5"/>
  </mergeCells>
  <dataValidations count="2">
    <dataValidation type="list" allowBlank="1" showInputMessage="1" showErrorMessage="1" sqref="A10:A15">
      <formula1>Reference</formula1>
    </dataValidation>
    <dataValidation type="list" allowBlank="1" showInputMessage="1" showErrorMessage="1" sqref="A7">
      <formula1>CodeCOM</formula1>
    </dataValidation>
  </dataValidations>
  <printOptions horizontalCentered="1"/>
  <pageMargins left="0.39370078740157483" right="0.39370078740157483" top="0.59055118110236227" bottom="0.59055118110236227" header="0.31496062992125984" footer="0.51181102362204722"/>
  <pageSetup paperSize="9" scale="80" orientation="portrait" r:id="rId1"/>
  <headerFooter>
    <oddHeader>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16"/>
  <sheetViews>
    <sheetView workbookViewId="0">
      <selection activeCell="G1" sqref="G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v>43100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>
        <v>156</v>
      </c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">
        <v>96</v>
      </c>
    </row>
    <row r="5" spans="1:7" x14ac:dyDescent="0.25">
      <c r="A5" s="30"/>
      <c r="B5" s="16"/>
      <c r="C5" s="16"/>
      <c r="D5" s="56" t="e">
        <f>IF(ISBLANK($G$4),"",(VLOOKUP($G$4,Clients,2,FALSE)))</f>
        <v>#N/A</v>
      </c>
      <c r="E5" s="57"/>
      <c r="F5" s="59" t="e">
        <f>IF(ISBLANK($G$4),"",(VLOOKUP($G$4,Clients,3,FALSE)))</f>
        <v>#N/A</v>
      </c>
      <c r="G5" s="60"/>
    </row>
    <row r="6" spans="1:7" x14ac:dyDescent="0.25">
      <c r="A6" s="43" t="s">
        <v>388</v>
      </c>
      <c r="B6" s="42" t="str">
        <f>IF(ISBLANK($A$7),"",(VLOOKUP($A$7,Commerciaux,2,FALSE)))</f>
        <v>JENNY</v>
      </c>
      <c r="C6" s="16"/>
      <c r="D6" s="53" t="e">
        <f>IF(ISBLANK($G$4),"",VLOOKUP($G$4,Clients,4,FALSE))</f>
        <v>#N/A</v>
      </c>
      <c r="E6" s="54"/>
      <c r="F6" s="54"/>
      <c r="G6" s="55"/>
    </row>
    <row r="7" spans="1:7" x14ac:dyDescent="0.25">
      <c r="A7" s="44" t="s">
        <v>376</v>
      </c>
      <c r="B7" s="42" t="str">
        <f>IF(ISBLANK($A$7),"",(VLOOKUP($A$7,Commerciaux,3,FALSE)))</f>
        <v>Hugues</v>
      </c>
      <c r="C7" s="16"/>
      <c r="D7" s="21" t="e">
        <f>IF(ISBLANK($G$4),"",VLOOKUP($G$4,Clients,5,FALSE))</f>
        <v>#N/A</v>
      </c>
      <c r="E7" s="52" t="e">
        <f>IF(ISBLANK($G$4),"",VLOOKUP($G$4,Clients,6,FALSE))</f>
        <v>#N/A</v>
      </c>
      <c r="F7" s="52"/>
      <c r="G7" s="48" t="e">
        <f>IF(ISBLANK($G$4),"",VLOOKUP($G$4,Clients,8,FALSE))</f>
        <v>#N/A</v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 t="s">
        <v>11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Touraine Château de Chenonceau</v>
      </c>
      <c r="D10" s="22">
        <f t="shared" ref="D10:D15" si="2">IF(ISBLANK(A10),"",VLOOKUP(A10,Catalogue,5,FALSE))</f>
        <v>7.94</v>
      </c>
      <c r="E10" s="26">
        <v>20</v>
      </c>
      <c r="F10" s="47">
        <f t="shared" ref="F10:F15" si="3">IF(ISBLANK(E10),"",IF(E10&gt;=50,10%,IF(E10&gt;=10,5%,IF($G$7="revendeur",2%,0%))))</f>
        <v>0.05</v>
      </c>
      <c r="G10" s="36">
        <f t="shared" ref="G10:G15" si="4">IF(ISBLANK(A10),"",D10*E10*(1-F10))</f>
        <v>150.86000000000001</v>
      </c>
    </row>
    <row r="11" spans="1:7" x14ac:dyDescent="0.25">
      <c r="A11" s="35" t="s">
        <v>30</v>
      </c>
      <c r="B11" s="27" t="str">
        <f t="shared" si="0"/>
        <v>Vins Mousseux</v>
      </c>
      <c r="C11" s="27" t="str">
        <f t="shared" si="1"/>
        <v>Champagne Magnum JB Michel 1er cru brut</v>
      </c>
      <c r="D11" s="22">
        <f t="shared" si="2"/>
        <v>22.16</v>
      </c>
      <c r="E11" s="26">
        <v>80</v>
      </c>
      <c r="F11" s="47">
        <f t="shared" si="3"/>
        <v>0.1</v>
      </c>
      <c r="G11" s="36">
        <f t="shared" si="4"/>
        <v>1595.52</v>
      </c>
    </row>
    <row r="12" spans="1:7" x14ac:dyDescent="0.25">
      <c r="A12" s="35" t="s">
        <v>53</v>
      </c>
      <c r="B12" s="27" t="str">
        <f t="shared" si="0"/>
        <v>Jus eaux et sodas</v>
      </c>
      <c r="C12" s="27" t="str">
        <f t="shared" si="1"/>
        <v>Grosse bouteille Evian</v>
      </c>
      <c r="D12" s="22">
        <f t="shared" si="2"/>
        <v>2.2000000000000002</v>
      </c>
      <c r="E12" s="26">
        <v>10</v>
      </c>
      <c r="F12" s="47">
        <f t="shared" si="3"/>
        <v>0.05</v>
      </c>
      <c r="G12" s="36">
        <f t="shared" si="4"/>
        <v>20.9</v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>
        <f>SUM(G10:G15)</f>
        <v>1767.2800000000002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G16"/>
  <sheetViews>
    <sheetView workbookViewId="0">
      <selection activeCell="B11" sqref="B1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v>43100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>
        <v>157</v>
      </c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">
        <v>90</v>
      </c>
    </row>
    <row r="5" spans="1:7" x14ac:dyDescent="0.25">
      <c r="A5" s="30"/>
      <c r="B5" s="16"/>
      <c r="C5" s="16"/>
      <c r="D5" s="56" t="e">
        <f>IF(ISBLANK($G$4),"",(VLOOKUP($G$4,Clients,2,FALSE)))</f>
        <v>#N/A</v>
      </c>
      <c r="E5" s="57"/>
      <c r="F5" s="59" t="e">
        <f>IF(ISBLANK($G$4),"",(VLOOKUP($G$4,Clients,3,FALSE)))</f>
        <v>#N/A</v>
      </c>
      <c r="G5" s="60"/>
    </row>
    <row r="6" spans="1:7" x14ac:dyDescent="0.25">
      <c r="A6" s="43" t="s">
        <v>388</v>
      </c>
      <c r="B6" s="42" t="str">
        <f>IF(ISBLANK($A$7),"",(VLOOKUP($A$7,Commerciaux,2,FALSE)))</f>
        <v>CHARRUE</v>
      </c>
      <c r="C6" s="16"/>
      <c r="D6" s="53" t="e">
        <f>IF(ISBLANK($G$4),"",VLOOKUP($G$4,Clients,4,FALSE))</f>
        <v>#N/A</v>
      </c>
      <c r="E6" s="54"/>
      <c r="F6" s="54"/>
      <c r="G6" s="55"/>
    </row>
    <row r="7" spans="1:7" x14ac:dyDescent="0.25">
      <c r="A7" s="44" t="s">
        <v>357</v>
      </c>
      <c r="B7" s="42" t="str">
        <f>IF(ISBLANK($A$7),"",(VLOOKUP($A$7,Commerciaux,3,FALSE)))</f>
        <v>Alain</v>
      </c>
      <c r="C7" s="16"/>
      <c r="D7" s="21" t="e">
        <f>IF(ISBLANK($G$4),"",VLOOKUP($G$4,Clients,5,FALSE))</f>
        <v>#N/A</v>
      </c>
      <c r="E7" s="52" t="e">
        <f>IF(ISBLANK($G$4),"",VLOOKUP($G$4,Clients,6,FALSE))</f>
        <v>#N/A</v>
      </c>
      <c r="F7" s="52"/>
      <c r="G7" s="48" t="e">
        <f>IF(ISBLANK($G$4),"",VLOOKUP($G$4,Clients,8,FALSE))</f>
        <v>#N/A</v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 t="s">
        <v>9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Bordeaux Château L'Hérisson</v>
      </c>
      <c r="D10" s="22">
        <f t="shared" ref="D10:D15" si="2">IF(ISBLANK(A10),"",VLOOKUP(A10,Catalogue,5,FALSE))</f>
        <v>6.19</v>
      </c>
      <c r="E10" s="26">
        <v>40</v>
      </c>
      <c r="F10" s="47">
        <f t="shared" ref="F10:F15" si="3">IF(ISBLANK(E10),"",IF(E10&gt;=50,10%,IF(E10&gt;=10,5%,IF($G$7="revendeur",2%,0%))))</f>
        <v>0.05</v>
      </c>
      <c r="G10" s="36">
        <f t="shared" ref="G10:G15" si="4">IF(ISBLANK(A10),"",D10*E10*(1-F10))</f>
        <v>235.22</v>
      </c>
    </row>
    <row r="11" spans="1:7" x14ac:dyDescent="0.25">
      <c r="A11" s="35" t="s">
        <v>72</v>
      </c>
      <c r="B11" s="27" t="str">
        <f t="shared" si="0"/>
        <v>Cocktails</v>
      </c>
      <c r="C11" s="27" t="str">
        <f t="shared" si="1"/>
        <v>Sangria Fiesta (cubitainer)</v>
      </c>
      <c r="D11" s="22">
        <f t="shared" si="2"/>
        <v>12.79</v>
      </c>
      <c r="E11" s="26">
        <v>45</v>
      </c>
      <c r="F11" s="47">
        <f t="shared" si="3"/>
        <v>0.05</v>
      </c>
      <c r="G11" s="36">
        <f t="shared" si="4"/>
        <v>546.77249999999992</v>
      </c>
    </row>
    <row r="12" spans="1:7" x14ac:dyDescent="0.25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>
        <f>SUM(G10:G15)</f>
        <v>781.99249999999995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G16"/>
  <sheetViews>
    <sheetView workbookViewId="0">
      <selection activeCell="G1" sqref="G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v>42735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>
        <v>158</v>
      </c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">
        <v>106</v>
      </c>
    </row>
    <row r="5" spans="1:7" x14ac:dyDescent="0.25">
      <c r="A5" s="30"/>
      <c r="B5" s="16"/>
      <c r="C5" s="16"/>
      <c r="D5" s="56" t="e">
        <f>IF(ISBLANK($G$4),"",(VLOOKUP($G$4,Clients,2,FALSE)))</f>
        <v>#N/A</v>
      </c>
      <c r="E5" s="57"/>
      <c r="F5" s="59" t="e">
        <f>IF(ISBLANK($G$4),"",(VLOOKUP($G$4,Clients,3,FALSE)))</f>
        <v>#N/A</v>
      </c>
      <c r="G5" s="60"/>
    </row>
    <row r="6" spans="1:7" x14ac:dyDescent="0.25">
      <c r="A6" s="43" t="s">
        <v>388</v>
      </c>
      <c r="B6" s="42" t="str">
        <f>IF(ISBLANK($A$7),"",(VLOOKUP($A$7,Commerciaux,2,FALSE)))</f>
        <v>CARON</v>
      </c>
      <c r="C6" s="16"/>
      <c r="D6" s="53" t="e">
        <f>IF(ISBLANK($G$4),"",VLOOKUP($G$4,Clients,4,FALSE))</f>
        <v>#N/A</v>
      </c>
      <c r="E6" s="54"/>
      <c r="F6" s="54"/>
      <c r="G6" s="55"/>
    </row>
    <row r="7" spans="1:7" x14ac:dyDescent="0.25">
      <c r="A7" s="44" t="s">
        <v>371</v>
      </c>
      <c r="B7" s="42" t="str">
        <f>IF(ISBLANK($A$7),"",(VLOOKUP($A$7,Commerciaux,3,FALSE)))</f>
        <v>Pascal</v>
      </c>
      <c r="C7" s="16"/>
      <c r="D7" s="21" t="e">
        <f>IF(ISBLANK($G$4),"",VLOOKUP($G$4,Clients,5,FALSE))</f>
        <v>#N/A</v>
      </c>
      <c r="E7" s="52" t="e">
        <f>IF(ISBLANK($G$4),"",VLOOKUP($G$4,Clients,6,FALSE))</f>
        <v>#N/A</v>
      </c>
      <c r="F7" s="52"/>
      <c r="G7" s="48" t="e">
        <f>IF(ISBLANK($G$4),"",VLOOKUP($G$4,Clients,8,FALSE))</f>
        <v>#N/A</v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 t="s">
        <v>19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Côtes de Provence Victorin d'Estragues</v>
      </c>
      <c r="D10" s="22">
        <f t="shared" ref="D10:D15" si="2">IF(ISBLANK(A10),"",VLOOKUP(A10,Catalogue,5,FALSE))</f>
        <v>4.3499999999999996</v>
      </c>
      <c r="E10" s="26">
        <v>35</v>
      </c>
      <c r="F10" s="47">
        <f t="shared" ref="F10:F15" si="3">IF(ISBLANK(E10),"",IF(E10&gt;=50,10%,IF(E10&gt;=10,5%,IF($G$7="revendeur",2%,0%))))</f>
        <v>0.05</v>
      </c>
      <c r="G10" s="36">
        <f t="shared" ref="G10:G15" si="4">IF(ISBLANK(A10),"",D10*E10*(1-F10))</f>
        <v>144.63749999999999</v>
      </c>
    </row>
    <row r="11" spans="1:7" x14ac:dyDescent="0.25">
      <c r="A11" s="35" t="s">
        <v>32</v>
      </c>
      <c r="B11" s="27" t="str">
        <f t="shared" si="0"/>
        <v>Vins Mousseux</v>
      </c>
      <c r="C11" s="27" t="str">
        <f t="shared" si="1"/>
        <v>Champagne Magnum Möet et Chandon</v>
      </c>
      <c r="D11" s="22">
        <f t="shared" si="2"/>
        <v>25.25</v>
      </c>
      <c r="E11" s="26">
        <v>50</v>
      </c>
      <c r="F11" s="47">
        <f t="shared" si="3"/>
        <v>0.1</v>
      </c>
      <c r="G11" s="36">
        <f t="shared" si="4"/>
        <v>1136.25</v>
      </c>
    </row>
    <row r="12" spans="1:7" x14ac:dyDescent="0.25">
      <c r="A12" s="35" t="s">
        <v>39</v>
      </c>
      <c r="B12" s="27" t="str">
        <f t="shared" si="0"/>
        <v>Jus eaux et sodas</v>
      </c>
      <c r="C12" s="27" t="str">
        <f t="shared" si="1"/>
        <v>Coca Cola 1,5 litres</v>
      </c>
      <c r="D12" s="22">
        <f t="shared" si="2"/>
        <v>1.71</v>
      </c>
      <c r="E12" s="26">
        <v>10</v>
      </c>
      <c r="F12" s="47">
        <f t="shared" si="3"/>
        <v>0.05</v>
      </c>
      <c r="G12" s="36">
        <f t="shared" si="4"/>
        <v>16.245000000000001</v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>
        <f>SUM(G10:G15)</f>
        <v>1297.1324999999999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G16"/>
  <sheetViews>
    <sheetView workbookViewId="0">
      <selection activeCell="G1" sqref="G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v>43100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>
        <v>159</v>
      </c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">
        <v>117</v>
      </c>
    </row>
    <row r="5" spans="1:7" x14ac:dyDescent="0.25">
      <c r="A5" s="30"/>
      <c r="B5" s="16"/>
      <c r="C5" s="16"/>
      <c r="D5" s="56" t="e">
        <f>IF(ISBLANK($G$4),"",(VLOOKUP($G$4,Clients,2,FALSE)))</f>
        <v>#N/A</v>
      </c>
      <c r="E5" s="57"/>
      <c r="F5" s="59" t="e">
        <f>IF(ISBLANK($G$4),"",(VLOOKUP($G$4,Clients,3,FALSE)))</f>
        <v>#N/A</v>
      </c>
      <c r="G5" s="60"/>
    </row>
    <row r="6" spans="1:7" x14ac:dyDescent="0.25">
      <c r="A6" s="43" t="s">
        <v>388</v>
      </c>
      <c r="B6" s="42" t="str">
        <f>IF(ISBLANK($A$7),"",(VLOOKUP($A$7,Commerciaux,2,FALSE)))</f>
        <v>CHARRUE</v>
      </c>
      <c r="C6" s="16"/>
      <c r="D6" s="53" t="e">
        <f>IF(ISBLANK($G$4),"",VLOOKUP($G$4,Clients,4,FALSE))</f>
        <v>#N/A</v>
      </c>
      <c r="E6" s="54"/>
      <c r="F6" s="54"/>
      <c r="G6" s="55"/>
    </row>
    <row r="7" spans="1:7" x14ac:dyDescent="0.25">
      <c r="A7" s="44" t="s">
        <v>357</v>
      </c>
      <c r="B7" s="42" t="str">
        <f>IF(ISBLANK($A$7),"",(VLOOKUP($A$7,Commerciaux,3,FALSE)))</f>
        <v>Alain</v>
      </c>
      <c r="C7" s="16"/>
      <c r="D7" s="21" t="e">
        <f>IF(ISBLANK($G$4),"",VLOOKUP($G$4,Clients,5,FALSE))</f>
        <v>#N/A</v>
      </c>
      <c r="E7" s="52" t="e">
        <f>IF(ISBLANK($G$4),"",VLOOKUP($G$4,Clients,6,FALSE))</f>
        <v>#N/A</v>
      </c>
      <c r="F7" s="52"/>
      <c r="G7" s="48" t="e">
        <f>IF(ISBLANK($G$4),"",VLOOKUP($G$4,Clients,8,FALSE))</f>
        <v>#N/A</v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 t="s">
        <v>43</v>
      </c>
      <c r="B10" s="27" t="str">
        <f t="shared" ref="B10:B15" si="0">IF(ISBLANK(A10),"",VLOOKUP(A10,Catalogue,2,FALSE))</f>
        <v>Jus eaux et sodas</v>
      </c>
      <c r="C10" s="27" t="str">
        <f t="shared" ref="C10:C15" si="1">IF(ISBLANK(A10),"",VLOOKUP(A10,Catalogue,3,FALSE))</f>
        <v>Jus de Pamplemousse 1 litre</v>
      </c>
      <c r="D10" s="22">
        <f t="shared" ref="D10:D15" si="2">IF(ISBLANK(A10),"",VLOOKUP(A10,Catalogue,5,FALSE))</f>
        <v>1.9</v>
      </c>
      <c r="E10" s="26">
        <v>60</v>
      </c>
      <c r="F10" s="47">
        <f t="shared" ref="F10:F15" si="3">IF(ISBLANK(E10),"",IF(E10&gt;=50,10%,IF(E10&gt;=10,5%,IF($G$7="revendeur",2%,0%))))</f>
        <v>0.1</v>
      </c>
      <c r="G10" s="36">
        <f t="shared" ref="G10:G15" si="4">IF(ISBLANK(A10),"",D10*E10*(1-F10))</f>
        <v>102.60000000000001</v>
      </c>
    </row>
    <row r="11" spans="1:7" x14ac:dyDescent="0.25">
      <c r="A11" s="35" t="s">
        <v>64</v>
      </c>
      <c r="B11" s="27" t="str">
        <f t="shared" si="0"/>
        <v>Boissons alcoolisées</v>
      </c>
      <c r="C11" s="27" t="str">
        <f t="shared" si="1"/>
        <v>Scotch whisky Cardhu</v>
      </c>
      <c r="D11" s="22">
        <f t="shared" si="2"/>
        <v>20.149999999999999</v>
      </c>
      <c r="E11" s="26">
        <v>10</v>
      </c>
      <c r="F11" s="47">
        <f t="shared" si="3"/>
        <v>0.05</v>
      </c>
      <c r="G11" s="36">
        <f t="shared" si="4"/>
        <v>191.42499999999998</v>
      </c>
    </row>
    <row r="12" spans="1:7" x14ac:dyDescent="0.25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>
        <f>SUM(G10:G15)</f>
        <v>294.02499999999998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G16"/>
  <sheetViews>
    <sheetView workbookViewId="0">
      <selection activeCell="G1" sqref="G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v>43100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>
        <v>160</v>
      </c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">
        <v>84</v>
      </c>
    </row>
    <row r="5" spans="1:7" x14ac:dyDescent="0.25">
      <c r="A5" s="30"/>
      <c r="B5" s="16"/>
      <c r="C5" s="16"/>
      <c r="D5" s="56" t="e">
        <f>IF(ISBLANK($G$4),"",(VLOOKUP($G$4,Clients,2,FALSE)))</f>
        <v>#N/A</v>
      </c>
      <c r="E5" s="57"/>
      <c r="F5" s="59" t="e">
        <f>IF(ISBLANK($G$4),"",(VLOOKUP($G$4,Clients,3,FALSE)))</f>
        <v>#N/A</v>
      </c>
      <c r="G5" s="60"/>
    </row>
    <row r="6" spans="1:7" x14ac:dyDescent="0.25">
      <c r="A6" s="43" t="s">
        <v>388</v>
      </c>
      <c r="B6" s="42" t="str">
        <f>IF(ISBLANK($A$7),"",(VLOOKUP($A$7,Commerciaux,2,FALSE)))</f>
        <v>JENNY</v>
      </c>
      <c r="C6" s="16"/>
      <c r="D6" s="53" t="e">
        <f>IF(ISBLANK($G$4),"",VLOOKUP($G$4,Clients,4,FALSE))</f>
        <v>#N/A</v>
      </c>
      <c r="E6" s="54"/>
      <c r="F6" s="54"/>
      <c r="G6" s="55"/>
    </row>
    <row r="7" spans="1:7" x14ac:dyDescent="0.25">
      <c r="A7" s="44" t="s">
        <v>376</v>
      </c>
      <c r="B7" s="42" t="str">
        <f>IF(ISBLANK($A$7),"",(VLOOKUP($A$7,Commerciaux,3,FALSE)))</f>
        <v>Hugues</v>
      </c>
      <c r="C7" s="16"/>
      <c r="D7" s="21" t="e">
        <f>IF(ISBLANK($G$4),"",VLOOKUP($G$4,Clients,5,FALSE))</f>
        <v>#N/A</v>
      </c>
      <c r="E7" s="52" t="e">
        <f>IF(ISBLANK($G$4),"",VLOOKUP($G$4,Clients,6,FALSE))</f>
        <v>#N/A</v>
      </c>
      <c r="F7" s="52"/>
      <c r="G7" s="48" t="e">
        <f>IF(ISBLANK($G$4),"",VLOOKUP($G$4,Clients,8,FALSE))</f>
        <v>#N/A</v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 t="s">
        <v>6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Bordeaux Château Le Pradel</v>
      </c>
      <c r="D10" s="22">
        <f t="shared" ref="D10:D15" si="2">IF(ISBLANK(A10),"",VLOOKUP(A10,Catalogue,5,FALSE))</f>
        <v>4.5999999999999996</v>
      </c>
      <c r="E10" s="26">
        <v>80</v>
      </c>
      <c r="F10" s="47">
        <f t="shared" ref="F10:F15" si="3">IF(ISBLANK(E10),"",IF(E10&gt;=50,10%,IF(E10&gt;=10,5%,IF($G$7="revendeur",2%,0%))))</f>
        <v>0.1</v>
      </c>
      <c r="G10" s="36">
        <f t="shared" ref="G10:G15" si="4">IF(ISBLANK(A10),"",D10*E10*(1-F10))</f>
        <v>331.2</v>
      </c>
    </row>
    <row r="11" spans="1:7" x14ac:dyDescent="0.25">
      <c r="A11" s="35" t="s">
        <v>74</v>
      </c>
      <c r="B11" s="27" t="str">
        <f t="shared" si="0"/>
        <v>Cocktails</v>
      </c>
      <c r="C11" s="27" t="str">
        <f t="shared" si="1"/>
        <v>Punch Fiesta (cubitainer)</v>
      </c>
      <c r="D11" s="22">
        <f t="shared" si="2"/>
        <v>14.55</v>
      </c>
      <c r="E11" s="26">
        <v>5</v>
      </c>
      <c r="F11" s="47" t="e">
        <f t="shared" si="3"/>
        <v>#N/A</v>
      </c>
      <c r="G11" s="36" t="e">
        <f t="shared" si="4"/>
        <v>#N/A</v>
      </c>
    </row>
    <row r="12" spans="1:7" x14ac:dyDescent="0.25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 t="e">
        <f>SUM(G10:G15)</f>
        <v>#N/A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G16"/>
  <sheetViews>
    <sheetView workbookViewId="0">
      <selection activeCell="G1" sqref="G1"/>
    </sheetView>
  </sheetViews>
  <sheetFormatPr baseColWidth="10" defaultRowHeight="15" x14ac:dyDescent="0.2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>
        <v>43100</v>
      </c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>
        <v>161</v>
      </c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 t="s">
        <v>102</v>
      </c>
    </row>
    <row r="5" spans="1:7" x14ac:dyDescent="0.25">
      <c r="A5" s="30"/>
      <c r="B5" s="16"/>
      <c r="C5" s="16"/>
      <c r="D5" s="56" t="e">
        <f>IF(ISBLANK($G$4),"",(VLOOKUP($G$4,Clients,2,FALSE)))</f>
        <v>#N/A</v>
      </c>
      <c r="E5" s="57"/>
      <c r="F5" s="59" t="e">
        <f>IF(ISBLANK($G$4),"",(VLOOKUP($G$4,Clients,3,FALSE)))</f>
        <v>#N/A</v>
      </c>
      <c r="G5" s="60"/>
    </row>
    <row r="6" spans="1:7" x14ac:dyDescent="0.25">
      <c r="A6" s="43" t="s">
        <v>388</v>
      </c>
      <c r="B6" s="42" t="str">
        <f>IF(ISBLANK($A$7),"",(VLOOKUP($A$7,Commerciaux,2,FALSE)))</f>
        <v>CARON</v>
      </c>
      <c r="C6" s="16"/>
      <c r="D6" s="53" t="e">
        <f>IF(ISBLANK($G$4),"",VLOOKUP($G$4,Clients,4,FALSE))</f>
        <v>#N/A</v>
      </c>
      <c r="E6" s="54"/>
      <c r="F6" s="54"/>
      <c r="G6" s="55"/>
    </row>
    <row r="7" spans="1:7" x14ac:dyDescent="0.25">
      <c r="A7" s="44" t="s">
        <v>371</v>
      </c>
      <c r="B7" s="42" t="str">
        <f>IF(ISBLANK($A$7),"",(VLOOKUP($A$7,Commerciaux,3,FALSE)))</f>
        <v>Pascal</v>
      </c>
      <c r="C7" s="16"/>
      <c r="D7" s="21" t="e">
        <f>IF(ISBLANK($G$4),"",VLOOKUP($G$4,Clients,5,FALSE))</f>
        <v>#N/A</v>
      </c>
      <c r="E7" s="52" t="e">
        <f>IF(ISBLANK($G$4),"",VLOOKUP($G$4,Clients,6,FALSE))</f>
        <v>#N/A</v>
      </c>
      <c r="F7" s="52"/>
      <c r="G7" s="48" t="e">
        <f>IF(ISBLANK($G$4),"",VLOOKUP($G$4,Clients,8,FALSE))</f>
        <v>#N/A</v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 t="s">
        <v>58</v>
      </c>
      <c r="B10" s="27" t="str">
        <f t="shared" ref="B10:B15" si="0">IF(ISBLANK(A10),"",VLOOKUP(A10,Catalogue,2,FALSE))</f>
        <v>Boissons alcoolisées</v>
      </c>
      <c r="C10" s="27" t="str">
        <f t="shared" ref="C10:C15" si="1">IF(ISBLANK(A10),"",VLOOKUP(A10,Catalogue,3,FALSE))</f>
        <v>Gin Gordon</v>
      </c>
      <c r="D10" s="22">
        <f t="shared" ref="D10:D15" si="2">IF(ISBLANK(A10),"",VLOOKUP(A10,Catalogue,5,FALSE))</f>
        <v>13.04</v>
      </c>
      <c r="E10" s="26">
        <v>50</v>
      </c>
      <c r="F10" s="47">
        <f t="shared" ref="F10:F15" si="3">IF(ISBLANK(E10),"",IF(E10&gt;=50,10%,IF(E10&gt;=10,5%,IF($G$7="revendeur",2%,0%))))</f>
        <v>0.1</v>
      </c>
      <c r="G10" s="36">
        <f t="shared" ref="G10:G15" si="4">IF(ISBLANK(A10),"",D10*E10*(1-F10))</f>
        <v>586.80000000000007</v>
      </c>
    </row>
    <row r="11" spans="1:7" x14ac:dyDescent="0.25">
      <c r="A11" s="35" t="s">
        <v>66</v>
      </c>
      <c r="B11" s="27" t="str">
        <f t="shared" si="0"/>
        <v>Boissons alcoolisées</v>
      </c>
      <c r="C11" s="27" t="str">
        <f t="shared" si="1"/>
        <v>Scotch whisky Cardhu</v>
      </c>
      <c r="D11" s="22">
        <f t="shared" si="2"/>
        <v>37.200000000000003</v>
      </c>
      <c r="E11" s="26">
        <v>10</v>
      </c>
      <c r="F11" s="47">
        <f t="shared" si="3"/>
        <v>0.05</v>
      </c>
      <c r="G11" s="36">
        <f t="shared" si="4"/>
        <v>353.4</v>
      </c>
    </row>
    <row r="12" spans="1:7" x14ac:dyDescent="0.25">
      <c r="A12" s="35" t="s">
        <v>72</v>
      </c>
      <c r="B12" s="27" t="str">
        <f t="shared" si="0"/>
        <v>Cocktails</v>
      </c>
      <c r="C12" s="27" t="str">
        <f t="shared" si="1"/>
        <v>Sangria Fiesta (cubitainer)</v>
      </c>
      <c r="D12" s="22">
        <f t="shared" si="2"/>
        <v>12.79</v>
      </c>
      <c r="E12" s="26">
        <v>5</v>
      </c>
      <c r="F12" s="47" t="e">
        <f t="shared" si="3"/>
        <v>#N/A</v>
      </c>
      <c r="G12" s="36" t="e">
        <f t="shared" si="4"/>
        <v>#N/A</v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 t="e">
        <f>SUM(G10:G15)</f>
        <v>#N/A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6"/>
  <sheetViews>
    <sheetView showFormulas="1" workbookViewId="0"/>
  </sheetViews>
  <sheetFormatPr baseColWidth="10" defaultRowHeight="15" x14ac:dyDescent="0.25"/>
  <cols>
    <col min="1" max="1" width="6.42578125" customWidth="1"/>
    <col min="2" max="2" width="30.42578125" customWidth="1"/>
    <col min="3" max="3" width="27" customWidth="1"/>
    <col min="4" max="4" width="26.7109375" customWidth="1"/>
    <col min="5" max="5" width="27.28515625" customWidth="1"/>
    <col min="6" max="6" width="37.28515625" customWidth="1"/>
    <col min="7" max="7" width="26.5703125" customWidth="1"/>
  </cols>
  <sheetData>
    <row r="1" spans="1:7" x14ac:dyDescent="0.25">
      <c r="A1" s="28"/>
      <c r="B1" s="29"/>
      <c r="C1" s="29"/>
      <c r="D1" s="58" t="s">
        <v>387</v>
      </c>
      <c r="E1" s="58"/>
      <c r="F1" s="58"/>
      <c r="G1" s="41"/>
    </row>
    <row r="2" spans="1:7" x14ac:dyDescent="0.25">
      <c r="A2" s="30"/>
      <c r="B2" s="50" t="s">
        <v>385</v>
      </c>
      <c r="C2" s="50"/>
      <c r="D2" s="16"/>
      <c r="E2" s="23"/>
      <c r="F2" s="20" t="s">
        <v>380</v>
      </c>
      <c r="G2" s="31"/>
    </row>
    <row r="3" spans="1:7" x14ac:dyDescent="0.25">
      <c r="A3" s="30"/>
      <c r="B3" s="51" t="s">
        <v>386</v>
      </c>
      <c r="C3" s="51"/>
      <c r="D3" s="16"/>
      <c r="E3" s="16"/>
      <c r="F3" s="16"/>
      <c r="G3" s="32"/>
    </row>
    <row r="4" spans="1:7" x14ac:dyDescent="0.25">
      <c r="A4" s="30"/>
      <c r="B4" s="51" t="s">
        <v>464</v>
      </c>
      <c r="C4" s="51"/>
      <c r="D4" s="16"/>
      <c r="E4" s="24"/>
      <c r="F4" s="25" t="s">
        <v>389</v>
      </c>
      <c r="G4" s="31"/>
    </row>
    <row r="5" spans="1:7" x14ac:dyDescent="0.25">
      <c r="A5" s="30"/>
      <c r="B5" s="16"/>
      <c r="C5" s="16"/>
      <c r="D5" s="56" t="str">
        <f>IF(ISBLANK($G$4),"",(VLOOKUP($G$4,Clients,2,FALSE)))</f>
        <v/>
      </c>
      <c r="E5" s="57"/>
      <c r="F5" s="59" t="str">
        <f>IF(ISBLANK($G$4),"",(VLOOKUP($G$4,Clients,3,FALSE)))</f>
        <v/>
      </c>
      <c r="G5" s="60"/>
    </row>
    <row r="6" spans="1:7" x14ac:dyDescent="0.25">
      <c r="A6" s="43" t="s">
        <v>388</v>
      </c>
      <c r="B6" s="42" t="str">
        <f>IF(ISBLANK($A$7),"",(VLOOKUP($A$7,Commerciaux,2,FALSE)))</f>
        <v/>
      </c>
      <c r="C6" s="16"/>
      <c r="D6" s="53" t="str">
        <f>IF(ISBLANK($G$4),"",VLOOKUP($G$4,Clients,4,FALSE))</f>
        <v/>
      </c>
      <c r="E6" s="54"/>
      <c r="F6" s="54"/>
      <c r="G6" s="55"/>
    </row>
    <row r="7" spans="1:7" x14ac:dyDescent="0.25">
      <c r="A7" s="44"/>
      <c r="B7" s="42" t="str">
        <f>IF(ISBLANK($A$7),"",(VLOOKUP($A$7,Commerciaux,3,FALSE)))</f>
        <v/>
      </c>
      <c r="C7" s="16"/>
      <c r="D7" s="21" t="str">
        <f>IF(ISBLANK($G$4),"",VLOOKUP($G$4,Clients,5,FALSE))</f>
        <v/>
      </c>
      <c r="E7" s="52" t="str">
        <f>IF(ISBLANK($G$4),"",VLOOKUP($G$4,Clients,6,FALSE))</f>
        <v/>
      </c>
      <c r="F7" s="52"/>
      <c r="G7" s="48" t="str">
        <f>IF(ISBLANK($G$4),"",VLOOKUP($G$4,Clients,8,FALSE))</f>
        <v/>
      </c>
    </row>
    <row r="8" spans="1:7" x14ac:dyDescent="0.25">
      <c r="A8" s="30"/>
      <c r="B8" s="16"/>
      <c r="C8" s="16"/>
      <c r="D8" s="16"/>
      <c r="E8" s="16"/>
      <c r="F8" s="16"/>
      <c r="G8" s="32"/>
    </row>
    <row r="9" spans="1:7" x14ac:dyDescent="0.25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 x14ac:dyDescent="0.25">
      <c r="A10" s="35"/>
      <c r="B10" s="27" t="str">
        <f t="shared" ref="B10:B15" si="0">IF(ISBLANK(A10),"",VLOOKUP(A10,Catalogue,2,FALSE))</f>
        <v/>
      </c>
      <c r="C10" s="27" t="str">
        <f t="shared" ref="C10:C15" si="1">IF(ISBLANK(A10),"",VLOOKUP(A10,Catalogue,3,FALSE))</f>
        <v/>
      </c>
      <c r="D10" s="22" t="str">
        <f t="shared" ref="D10:D15" si="2">IF(ISBLANK(A10),"",VLOOKUP(A10,Catalogue,5,FALSE))</f>
        <v/>
      </c>
      <c r="E10" s="26"/>
      <c r="F10" s="47" t="str">
        <f t="shared" ref="F10:F15" si="3">IF(ISBLANK(E10),"",IF(E10&gt;=50,10%,IF(E10&gt;=10,5%,IF($G$7="revendeur",2%,0%))))</f>
        <v/>
      </c>
      <c r="G10" s="36" t="str">
        <f t="shared" ref="G10:G15" si="4">IF(ISBLANK(A10),"",D10*E10*(1-F10))</f>
        <v/>
      </c>
    </row>
    <row r="11" spans="1:7" x14ac:dyDescent="0.25">
      <c r="A11" s="35"/>
      <c r="B11" s="27" t="str">
        <f t="shared" si="0"/>
        <v/>
      </c>
      <c r="C11" s="27" t="str">
        <f t="shared" si="1"/>
        <v/>
      </c>
      <c r="D11" s="22" t="str">
        <f t="shared" si="2"/>
        <v/>
      </c>
      <c r="E11" s="26"/>
      <c r="F11" s="47" t="str">
        <f t="shared" si="3"/>
        <v/>
      </c>
      <c r="G11" s="36" t="str">
        <f t="shared" si="4"/>
        <v/>
      </c>
    </row>
    <row r="12" spans="1:7" x14ac:dyDescent="0.25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 x14ac:dyDescent="0.25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 x14ac:dyDescent="0.25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 x14ac:dyDescent="0.25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 x14ac:dyDescent="0.3">
      <c r="A16" s="37"/>
      <c r="B16" s="38"/>
      <c r="C16" s="39"/>
      <c r="D16" s="39"/>
      <c r="E16" s="39"/>
      <c r="F16" s="40" t="s">
        <v>384</v>
      </c>
      <c r="G16" s="46">
        <f>SUM(G10:G15)</f>
        <v>0</v>
      </c>
    </row>
  </sheetData>
  <mergeCells count="8">
    <mergeCell ref="D6:G6"/>
    <mergeCell ref="E7:F7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 headings="1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6</vt:i4>
      </vt:variant>
    </vt:vector>
  </HeadingPairs>
  <TitlesOfParts>
    <vt:vector size="17" baseType="lpstr">
      <vt:lpstr>Catalogue</vt:lpstr>
      <vt:lpstr>Clients</vt:lpstr>
      <vt:lpstr>Commerciaux</vt:lpstr>
      <vt:lpstr>Bon de commande modèle</vt:lpstr>
      <vt:lpstr>BC156</vt:lpstr>
      <vt:lpstr>BC157</vt:lpstr>
      <vt:lpstr>BC158</vt:lpstr>
      <vt:lpstr>BC159</vt:lpstr>
      <vt:lpstr>BC160</vt:lpstr>
      <vt:lpstr>BC161</vt:lpstr>
      <vt:lpstr>Formules</vt:lpstr>
      <vt:lpstr>Catalogue</vt:lpstr>
      <vt:lpstr>Clients</vt:lpstr>
      <vt:lpstr>CodeCli</vt:lpstr>
      <vt:lpstr>CodeCOM</vt:lpstr>
      <vt:lpstr>Commerciaux</vt:lpstr>
      <vt:lpstr>Reference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poupou</cp:lastModifiedBy>
  <cp:lastPrinted>2018-05-15T21:14:05Z</cp:lastPrinted>
  <dcterms:created xsi:type="dcterms:W3CDTF">2013-06-20T15:21:55Z</dcterms:created>
  <dcterms:modified xsi:type="dcterms:W3CDTF">2018-05-16T22:58:35Z</dcterms:modified>
</cp:coreProperties>
</file>