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4.xml" ContentType="application/vnd.openxmlformats-officedocument.spreadsheetml.table+xml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120" yWindow="120" windowWidth="15105" windowHeight="8055" activeTab="6"/>
  </bookViews>
  <sheets>
    <sheet name="SYNTHESE" sheetId="13" r:id="rId1"/>
    <sheet name="LISTES" sheetId="6" r:id="rId2"/>
    <sheet name="Feuil1" sheetId="28" state="hidden" r:id="rId3"/>
    <sheet name="MVT STOCK" sheetId="11" r:id="rId4"/>
    <sheet name="VENTES" sheetId="12" r:id="rId5"/>
    <sheet name="FACTURIER" sheetId="1" r:id="rId6"/>
    <sheet name="CONSULTATION" sheetId="31" r:id="rId7"/>
  </sheets>
  <definedNames>
    <definedName name="_xlnm._FilterDatabase" localSheetId="3" hidden="1">'MVT STOCK'!$A$1:$J$163</definedName>
    <definedName name="_xlnm._FilterDatabase" localSheetId="0" hidden="1">SYNTHESE!#REF!</definedName>
    <definedName name="_xlnm.Criteria" localSheetId="6">CONSULTATION!$M$3:$Q$4</definedName>
    <definedName name="_xlnm.Extract" localSheetId="6">CONSULTATION!$A$7:$J$7</definedName>
    <definedName name="Mesmouvements">Tcategorie[CATEGORIE]</definedName>
    <definedName name="Mesproduits">LISTES!$A$2:$A$107</definedName>
    <definedName name="Mesventes">Tsuividesventes[]</definedName>
    <definedName name="Nomclient">Tclients[Clients]</definedName>
    <definedName name="segmentation">LISTES!$K$2:$K$5</definedName>
  </definedNames>
  <calcPr calcId="125725"/>
  <pivotCaches>
    <pivotCache cacheId="0" r:id="rId8"/>
    <pivotCache cacheId="1" r:id="rId9"/>
  </pivotCaches>
</workbook>
</file>

<file path=xl/calcChain.xml><?xml version="1.0" encoding="utf-8"?>
<calcChain xmlns="http://schemas.openxmlformats.org/spreadsheetml/2006/main">
  <c r="M4" i="31"/>
  <c r="G2" i="1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H24"/>
  <c r="H25"/>
  <c r="H26"/>
  <c r="H27"/>
  <c r="H28"/>
  <c r="H31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Q4" i="31"/>
  <c r="P4"/>
  <c r="O4"/>
  <c r="N4"/>
  <c r="J3" i="11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J34"/>
  <c r="I34" s="1"/>
  <c r="J35"/>
  <c r="I35" s="1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D32"/>
  <c r="D3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D30"/>
  <c r="I30"/>
  <c r="D29"/>
  <c r="I29"/>
  <c r="D28"/>
  <c r="C10" i="1"/>
  <c r="A10" i="13"/>
  <c r="A11"/>
  <c r="A12"/>
  <c r="A13"/>
  <c r="A9"/>
  <c r="A17"/>
  <c r="A18"/>
  <c r="A19"/>
  <c r="A16"/>
  <c r="I8"/>
  <c r="I9"/>
  <c r="I10"/>
  <c r="I11"/>
  <c r="I12"/>
  <c r="I13"/>
  <c r="I14"/>
  <c r="I15"/>
  <c r="I16"/>
  <c r="I7"/>
  <c r="F8"/>
  <c r="F9"/>
  <c r="F10"/>
  <c r="F11"/>
  <c r="F12"/>
  <c r="F13"/>
  <c r="F14"/>
  <c r="F15"/>
  <c r="F16"/>
  <c r="F7"/>
  <c r="E20" i="1"/>
  <c r="E21"/>
  <c r="E22"/>
  <c r="E23"/>
  <c r="E24"/>
  <c r="E25"/>
  <c r="E26"/>
  <c r="E27"/>
  <c r="E28"/>
  <c r="E29"/>
  <c r="D6"/>
  <c r="B10" s="1"/>
  <c r="F3" i="13"/>
  <c r="D27" i="11"/>
  <c r="I27"/>
  <c r="D26"/>
  <c r="I26"/>
  <c r="D25"/>
  <c r="I25"/>
  <c r="D24"/>
  <c r="I24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I23"/>
  <c r="B10" i="13"/>
  <c r="C10"/>
  <c r="B11"/>
  <c r="C11"/>
  <c r="B12"/>
  <c r="C12"/>
  <c r="B13"/>
  <c r="C13"/>
  <c r="C9"/>
  <c r="B9"/>
  <c r="C17"/>
  <c r="C18"/>
  <c r="C19"/>
  <c r="C16"/>
  <c r="B17"/>
  <c r="B18"/>
  <c r="B19"/>
  <c r="B16"/>
  <c r="J8"/>
  <c r="J9"/>
  <c r="J10"/>
  <c r="J11"/>
  <c r="J12"/>
  <c r="J13"/>
  <c r="J14"/>
  <c r="J15"/>
  <c r="J16"/>
  <c r="J7"/>
  <c r="G8"/>
  <c r="G9"/>
  <c r="G10"/>
  <c r="G11"/>
  <c r="G12"/>
  <c r="G13"/>
  <c r="G14"/>
  <c r="G15"/>
  <c r="G16"/>
  <c r="G7"/>
  <c r="C6"/>
  <c r="C5"/>
  <c r="C4"/>
  <c r="B6"/>
  <c r="B5"/>
  <c r="B4"/>
  <c r="I3"/>
  <c r="J3"/>
  <c r="G3" l="1"/>
  <c r="F163" i="11"/>
  <c r="I163" s="1"/>
  <c r="F162"/>
  <c r="I162" s="1"/>
  <c r="F161"/>
  <c r="I161" s="1"/>
  <c r="F160"/>
  <c r="I160" s="1"/>
  <c r="F159"/>
  <c r="I159" s="1"/>
  <c r="F158"/>
  <c r="I158" s="1"/>
  <c r="F157"/>
  <c r="I157" s="1"/>
  <c r="F156"/>
  <c r="I156" s="1"/>
  <c r="F155"/>
  <c r="I155" s="1"/>
  <c r="F154"/>
  <c r="I154" s="1"/>
  <c r="F153"/>
  <c r="I153" s="1"/>
  <c r="F152"/>
  <c r="I152" s="1"/>
  <c r="F151"/>
  <c r="I151" s="1"/>
  <c r="F150"/>
  <c r="I150" s="1"/>
  <c r="F149"/>
  <c r="I149" s="1"/>
  <c r="F148"/>
  <c r="I148" s="1"/>
  <c r="F147"/>
  <c r="I147" s="1"/>
  <c r="F146"/>
  <c r="I146" s="1"/>
  <c r="F145"/>
  <c r="I145" s="1"/>
  <c r="F144"/>
  <c r="I144" s="1"/>
  <c r="F143"/>
  <c r="I143" s="1"/>
  <c r="F142"/>
  <c r="I142" s="1"/>
  <c r="F141"/>
  <c r="I141" s="1"/>
  <c r="F140"/>
  <c r="I140" s="1"/>
  <c r="F139"/>
  <c r="I139" s="1"/>
  <c r="F138"/>
  <c r="I138" s="1"/>
  <c r="F137"/>
  <c r="I137" s="1"/>
  <c r="F136"/>
  <c r="I136" s="1"/>
  <c r="F135"/>
  <c r="I135" s="1"/>
  <c r="F134"/>
  <c r="I134" s="1"/>
  <c r="F133"/>
  <c r="I133" s="1"/>
  <c r="F132"/>
  <c r="I132" s="1"/>
  <c r="F131"/>
  <c r="I131" s="1"/>
  <c r="F130"/>
  <c r="I130" s="1"/>
  <c r="F129"/>
  <c r="I129" s="1"/>
  <c r="F128"/>
  <c r="I128" s="1"/>
  <c r="F127"/>
  <c r="I127" s="1"/>
  <c r="F126"/>
  <c r="I126" s="1"/>
  <c r="F125"/>
  <c r="I125" s="1"/>
  <c r="F124"/>
  <c r="I124" s="1"/>
  <c r="F123"/>
  <c r="I123" s="1"/>
  <c r="F122"/>
  <c r="I122" s="1"/>
  <c r="F121"/>
  <c r="I121" s="1"/>
  <c r="F120"/>
  <c r="I120" s="1"/>
  <c r="F119"/>
  <c r="I119" s="1"/>
  <c r="F118"/>
  <c r="I118" s="1"/>
  <c r="F117"/>
  <c r="I117" s="1"/>
  <c r="F116"/>
  <c r="I116" s="1"/>
  <c r="F115"/>
  <c r="I115" s="1"/>
  <c r="F114"/>
  <c r="I114" s="1"/>
  <c r="F113"/>
  <c r="I113" s="1"/>
  <c r="F112"/>
  <c r="I112" s="1"/>
  <c r="F111"/>
  <c r="I111" s="1"/>
  <c r="F110"/>
  <c r="I110" s="1"/>
  <c r="F109"/>
  <c r="I109" s="1"/>
  <c r="F108"/>
  <c r="I108" s="1"/>
  <c r="F107"/>
  <c r="I107" s="1"/>
  <c r="F106"/>
  <c r="I106" s="1"/>
  <c r="F105"/>
  <c r="I105" s="1"/>
  <c r="F104"/>
  <c r="I104" s="1"/>
  <c r="F103"/>
  <c r="I103" s="1"/>
  <c r="F102"/>
  <c r="I102" s="1"/>
  <c r="F101"/>
  <c r="I101" s="1"/>
  <c r="F100"/>
  <c r="I100" s="1"/>
  <c r="F99"/>
  <c r="I99" s="1"/>
  <c r="F98"/>
  <c r="I98" s="1"/>
  <c r="F97"/>
  <c r="I97" s="1"/>
  <c r="F96"/>
  <c r="I96" s="1"/>
  <c r="F95"/>
  <c r="I95" s="1"/>
  <c r="F94"/>
  <c r="I94" s="1"/>
  <c r="F93"/>
  <c r="I93" s="1"/>
  <c r="F92"/>
  <c r="I92" s="1"/>
  <c r="F91"/>
  <c r="I91" s="1"/>
  <c r="F90"/>
  <c r="I90" s="1"/>
  <c r="F89"/>
  <c r="I89" s="1"/>
  <c r="F88"/>
  <c r="I88" s="1"/>
  <c r="F87"/>
  <c r="I87" s="1"/>
  <c r="F86"/>
  <c r="I86" s="1"/>
  <c r="F85"/>
  <c r="I85" s="1"/>
  <c r="F84"/>
  <c r="I84" s="1"/>
  <c r="F83"/>
  <c r="I83" s="1"/>
  <c r="F82"/>
  <c r="I82" s="1"/>
  <c r="F81"/>
  <c r="I81" s="1"/>
  <c r="F80"/>
  <c r="I80" s="1"/>
  <c r="F79"/>
  <c r="I79" s="1"/>
  <c r="F78"/>
  <c r="I78" s="1"/>
  <c r="F77"/>
  <c r="I77" s="1"/>
  <c r="F76"/>
  <c r="I76" s="1"/>
  <c r="F75"/>
  <c r="I75" s="1"/>
  <c r="F74"/>
  <c r="I74" s="1"/>
  <c r="F73"/>
  <c r="I73" s="1"/>
  <c r="F72"/>
  <c r="I72" s="1"/>
  <c r="F71"/>
  <c r="I71" s="1"/>
  <c r="F70"/>
  <c r="I70" s="1"/>
  <c r="F69"/>
  <c r="I69" s="1"/>
  <c r="F68"/>
  <c r="I68" s="1"/>
  <c r="F67"/>
  <c r="I67" s="1"/>
  <c r="F66"/>
  <c r="I66" s="1"/>
  <c r="F65"/>
  <c r="I65" s="1"/>
  <c r="F64"/>
  <c r="I64" s="1"/>
  <c r="F63"/>
  <c r="I63" s="1"/>
  <c r="F62"/>
  <c r="I62" s="1"/>
  <c r="F61"/>
  <c r="I61" s="1"/>
  <c r="F60"/>
  <c r="I60" s="1"/>
  <c r="F59"/>
  <c r="I59" s="1"/>
  <c r="F58"/>
  <c r="I58" s="1"/>
  <c r="F57"/>
  <c r="I57" s="1"/>
  <c r="F56"/>
  <c r="I56" s="1"/>
  <c r="F55"/>
  <c r="I55" s="1"/>
  <c r="F54"/>
  <c r="I54" s="1"/>
  <c r="F53"/>
  <c r="I53" s="1"/>
  <c r="F52"/>
  <c r="I52" s="1"/>
  <c r="F51"/>
  <c r="I51" s="1"/>
  <c r="F50"/>
  <c r="I50" s="1"/>
  <c r="F49"/>
  <c r="I49" s="1"/>
  <c r="F48"/>
  <c r="I48" s="1"/>
  <c r="F47"/>
  <c r="I47" s="1"/>
  <c r="F46"/>
  <c r="I46" s="1"/>
  <c r="F45"/>
  <c r="I45" s="1"/>
  <c r="F44"/>
  <c r="I44" s="1"/>
  <c r="F43"/>
  <c r="I43" s="1"/>
  <c r="F42"/>
  <c r="I42" s="1"/>
  <c r="F41"/>
  <c r="I41" s="1"/>
  <c r="F40"/>
  <c r="I40" s="1"/>
  <c r="F39"/>
  <c r="I39" s="1"/>
  <c r="F38"/>
  <c r="I38" s="1"/>
  <c r="F37"/>
  <c r="I37" s="1"/>
  <c r="F36"/>
  <c r="I36" s="1"/>
  <c r="B20" i="13"/>
  <c r="C20"/>
  <c r="I3" i="11" l="1"/>
  <c r="I4"/>
  <c r="I5"/>
  <c r="I6"/>
  <c r="I7"/>
  <c r="I8"/>
  <c r="I9"/>
  <c r="I10"/>
  <c r="I11"/>
  <c r="I12"/>
  <c r="I13"/>
  <c r="I14"/>
  <c r="I15"/>
  <c r="I16"/>
  <c r="I17"/>
  <c r="I18"/>
  <c r="I19"/>
  <c r="I20"/>
  <c r="I21"/>
  <c r="B31" i="1" l="1"/>
  <c r="I22" i="11"/>
  <c r="F33" i="1" l="1"/>
  <c r="I28" i="11"/>
  <c r="J31"/>
  <c r="I31"/>
  <c r="J32"/>
  <c r="I32"/>
  <c r="J33"/>
  <c r="I33"/>
  <c r="J2"/>
  <c r="I2"/>
</calcChain>
</file>

<file path=xl/sharedStrings.xml><?xml version="1.0" encoding="utf-8"?>
<sst xmlns="http://schemas.openxmlformats.org/spreadsheetml/2006/main" count="708" uniqueCount="259">
  <si>
    <t>GAELLE SHOPPING</t>
  </si>
  <si>
    <t xml:space="preserve">BP </t>
  </si>
  <si>
    <t>DATE</t>
  </si>
  <si>
    <t>TOTAL</t>
  </si>
  <si>
    <t xml:space="preserve"> Amarchik </t>
  </si>
  <si>
    <t>Bangles</t>
  </si>
  <si>
    <t>Belt</t>
  </si>
  <si>
    <t>Black Collanq</t>
  </si>
  <si>
    <t>Bow Ties</t>
  </si>
  <si>
    <t>Cafcaf Mixed Color Gowns</t>
  </si>
  <si>
    <t>Coat</t>
  </si>
  <si>
    <t>Colloni Polish</t>
  </si>
  <si>
    <t>Dagi pants</t>
  </si>
  <si>
    <t>Dagi Inner Wears</t>
  </si>
  <si>
    <t>Dagi T-Shirts Inner Wears</t>
  </si>
  <si>
    <t>Elizy gown</t>
  </si>
  <si>
    <t>Fast Step Shoes (Male)</t>
  </si>
  <si>
    <t>Female  low Shoe (GG)</t>
  </si>
  <si>
    <t>Female  high Shoe (USA)</t>
  </si>
  <si>
    <t>Female Short Sucks</t>
  </si>
  <si>
    <t>Feurte gowns</t>
  </si>
  <si>
    <t>Fiquremia qown ( Black and white)</t>
  </si>
  <si>
    <t>Fiquremia qown ( Blue white)</t>
  </si>
  <si>
    <t>Gucci trac suit</t>
  </si>
  <si>
    <t>Jamilla Short Gowns</t>
  </si>
  <si>
    <t>Jean legging</t>
  </si>
  <si>
    <t>Jean Trouser</t>
  </si>
  <si>
    <t>Joseph eren assamble</t>
  </si>
  <si>
    <t>Joseph eren qown</t>
  </si>
  <si>
    <t>Love joymiss qown</t>
  </si>
  <si>
    <t>Klose Line Gowns</t>
  </si>
  <si>
    <t>Long Sucks</t>
  </si>
  <si>
    <t>Love joymiss jacket</t>
  </si>
  <si>
    <t xml:space="preserve">Male Slippers </t>
  </si>
  <si>
    <t>Mixage Gowns</t>
  </si>
  <si>
    <t>Mokassin</t>
  </si>
  <si>
    <t>Namaldi Inner Wears</t>
  </si>
  <si>
    <t>New collection</t>
  </si>
  <si>
    <t>Pasha plein blue shirt</t>
  </si>
  <si>
    <t>Pasha plein trac suit</t>
  </si>
  <si>
    <t>Perfumes</t>
  </si>
  <si>
    <t>Phillip plen trac suit</t>
  </si>
  <si>
    <t>Phillip plen check shirt</t>
  </si>
  <si>
    <t>Phillip plen  Long Gown</t>
  </si>
  <si>
    <t>Phillip plen jacket</t>
  </si>
  <si>
    <t>Pinema Gowns</t>
  </si>
  <si>
    <t>Polos</t>
  </si>
  <si>
    <t xml:space="preserve">Purs </t>
  </si>
  <si>
    <t>Sabra black and green gown</t>
  </si>
  <si>
    <t>Sabra Blouses</t>
  </si>
  <si>
    <t>Sabra flowerish blouse</t>
  </si>
  <si>
    <t>Sabra jump suit</t>
  </si>
  <si>
    <t>Sabra Ladies Trousers</t>
  </si>
  <si>
    <t>Sabra orange tunik</t>
  </si>
  <si>
    <t>Sabra Plain Skirts</t>
  </si>
  <si>
    <t>Sabra red jackets</t>
  </si>
  <si>
    <t>Sabra sleevles white tops</t>
  </si>
  <si>
    <t>Sabra tiger gown</t>
  </si>
  <si>
    <t>Sabra flowerish  white blouse</t>
  </si>
  <si>
    <t>Sabra trousers orange and white</t>
  </si>
  <si>
    <t>S'costa shirt</t>
  </si>
  <si>
    <t>Shoes male</t>
  </si>
  <si>
    <t>Shoes Shinner Foams</t>
  </si>
  <si>
    <t>Short Sucks</t>
  </si>
  <si>
    <t>Silver Spray</t>
  </si>
  <si>
    <t>Silver Swan Pants</t>
  </si>
  <si>
    <t>Slippers hermes</t>
  </si>
  <si>
    <t>Party  Gowns</t>
  </si>
  <si>
    <t>Stomach Band</t>
  </si>
  <si>
    <t>Ties</t>
  </si>
  <si>
    <t xml:space="preserve">Trac suit </t>
  </si>
  <si>
    <t xml:space="preserve">Trebein  white </t>
  </si>
  <si>
    <t>Trebein blue black qown</t>
  </si>
  <si>
    <t>Trebein white qown</t>
  </si>
  <si>
    <t>Trico</t>
  </si>
  <si>
    <t>Uneck Male Polos</t>
  </si>
  <si>
    <t>Valentino</t>
  </si>
  <si>
    <t xml:space="preserve">Ynow assamble </t>
  </si>
  <si>
    <t>YSL Long Hand-up</t>
  </si>
  <si>
    <t>Party gowns</t>
  </si>
  <si>
    <t>Trebein  black qown</t>
  </si>
  <si>
    <t>Versace gown</t>
  </si>
  <si>
    <t>Keikei</t>
  </si>
  <si>
    <t>Kenzel</t>
  </si>
  <si>
    <t>Phillip plen trousers</t>
  </si>
  <si>
    <t>Gioseppe zanotti</t>
  </si>
  <si>
    <t>Sabra sleevles red gown</t>
  </si>
  <si>
    <t>Phillip plen shot gown</t>
  </si>
  <si>
    <t>yves saint laurent top</t>
  </si>
  <si>
    <t>Sabra collanq top</t>
  </si>
  <si>
    <t>Seamless band</t>
  </si>
  <si>
    <t>Spot top</t>
  </si>
  <si>
    <t>Collanq usa</t>
  </si>
  <si>
    <t>Jamilia one hands top</t>
  </si>
  <si>
    <t>Bags</t>
  </si>
  <si>
    <t>Super 100</t>
  </si>
  <si>
    <t>Kaki trousers</t>
  </si>
  <si>
    <t>Polos usa</t>
  </si>
  <si>
    <t>Mails trico</t>
  </si>
  <si>
    <t>Shirts</t>
  </si>
  <si>
    <t>Gucci shoes male</t>
  </si>
  <si>
    <t>Adidas tennis</t>
  </si>
  <si>
    <t>Sebago</t>
  </si>
  <si>
    <t>Female slippers</t>
  </si>
  <si>
    <t>Shoes Genio</t>
  </si>
  <si>
    <t>Mokassin Genio</t>
  </si>
  <si>
    <t>Male slippers Genio</t>
  </si>
  <si>
    <t>Jamilia blue gown</t>
  </si>
  <si>
    <t>Watches</t>
  </si>
  <si>
    <t>PRODUCTS</t>
  </si>
  <si>
    <t>STOCK</t>
  </si>
  <si>
    <t>STOCK MINIMUM</t>
  </si>
  <si>
    <t>CATEGORIE</t>
  </si>
  <si>
    <t>Entree</t>
  </si>
  <si>
    <t>Sortie</t>
  </si>
  <si>
    <t>COST PRICE</t>
  </si>
  <si>
    <t>SOLDE</t>
  </si>
  <si>
    <t>CLIENTS</t>
  </si>
  <si>
    <t>Total général</t>
  </si>
  <si>
    <t>Clients</t>
  </si>
  <si>
    <t>Sun shaes</t>
  </si>
  <si>
    <t>Raissa</t>
  </si>
  <si>
    <t>Cynthia</t>
  </si>
  <si>
    <t>Marvin</t>
  </si>
  <si>
    <t>Alphonse</t>
  </si>
  <si>
    <t>Viny</t>
  </si>
  <si>
    <t>Rene</t>
  </si>
  <si>
    <t>Emelda</t>
  </si>
  <si>
    <t>Edmond</t>
  </si>
  <si>
    <t>Carl</t>
  </si>
  <si>
    <t>Reappro</t>
  </si>
  <si>
    <t>Inventaire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</si>
  <si>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</si>
  <si>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</si>
  <si>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</si>
  <si>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</si>
  <si>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</si>
  <si>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</si>
  <si>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</si>
  <si>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</si>
  <si>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</si>
  <si>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</si>
  <si>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</si>
  <si>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</si>
  <si>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SEGMENTATION</t>
  </si>
  <si>
    <t>Vetements femmes</t>
  </si>
  <si>
    <t>Vetements Hommes</t>
  </si>
  <si>
    <t>Vetements mixtes</t>
  </si>
  <si>
    <t>Accessoires</t>
  </si>
  <si>
    <t>Étiquettes de lignes</t>
  </si>
  <si>
    <t>Étiquettes de colonnes</t>
  </si>
  <si>
    <t>QTE</t>
  </si>
  <si>
    <t>PRIX ACHAT</t>
  </si>
  <si>
    <t>P.V</t>
  </si>
  <si>
    <t>Somme de QTE</t>
  </si>
  <si>
    <t>MONTANT</t>
  </si>
  <si>
    <t>Somme de MONTANT</t>
  </si>
  <si>
    <t>Valeurs</t>
  </si>
  <si>
    <t>PRODUITS</t>
  </si>
  <si>
    <t>C.A REALISE</t>
  </si>
  <si>
    <t>TOP 10 DES VENTES</t>
  </si>
  <si>
    <t>TOP 10 DES ACHATS</t>
  </si>
  <si>
    <t>MONTANTS</t>
  </si>
  <si>
    <t>ENTREES</t>
  </si>
  <si>
    <t>SORTIES</t>
  </si>
  <si>
    <t>ELEMENTS</t>
  </si>
  <si>
    <t>MOUVEMENTS ARTICLES</t>
  </si>
  <si>
    <t>TOP 5 CLIENTS</t>
  </si>
  <si>
    <t>NOM</t>
  </si>
  <si>
    <t>DETTE</t>
  </si>
  <si>
    <t>C.A</t>
  </si>
  <si>
    <t>MVT</t>
  </si>
  <si>
    <t>Somme de MONTANT2</t>
  </si>
  <si>
    <t>VENTES/TYPES DE VETEMENTS</t>
  </si>
  <si>
    <t>% CA</t>
  </si>
  <si>
    <t>RESTE EN STOCK</t>
  </si>
  <si>
    <t>ENTREE</t>
  </si>
  <si>
    <t>SORTIE</t>
  </si>
  <si>
    <t>FACTURE</t>
  </si>
  <si>
    <t>NUMERO</t>
  </si>
  <si>
    <t>HEURE</t>
  </si>
  <si>
    <t>TELEPHONE</t>
  </si>
  <si>
    <t>B.P: 15907, Douala, Cameroon. Tel: 683067979 / 679629931</t>
  </si>
  <si>
    <t xml:space="preserve">NO: RCCM: RC/DLN/2017/A/224. NIU: P058912588151P </t>
  </si>
  <si>
    <t>Email: judithgael@gmail.com</t>
  </si>
  <si>
    <t>Situe  au Carrefour Bijoux Makepe</t>
  </si>
  <si>
    <t>LE CLIENT</t>
  </si>
  <si>
    <t>LE VENDEUR</t>
  </si>
  <si>
    <t>Boock Alphonse</t>
  </si>
  <si>
    <t>AVANCE</t>
  </si>
  <si>
    <t>GS</t>
  </si>
  <si>
    <t>N° FACTURE</t>
  </si>
  <si>
    <t>NOM CLIENT</t>
  </si>
  <si>
    <t>TOTAL FACTURE</t>
  </si>
  <si>
    <t>Mailvin Afanyui</t>
  </si>
  <si>
    <t>KC001</t>
  </si>
  <si>
    <t>KC002</t>
  </si>
  <si>
    <t>KC003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</si>
  <si>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</si>
  <si>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</si>
  <si>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</si>
  <si>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</si>
  <si>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</si>
  <si>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</si>
  <si>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</si>
  <si>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</si>
  <si>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</si>
  <si>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r>
      <t xml:space="preserve">SUIVI  STOCK </t>
    </r>
    <r>
      <rPr>
        <sz val="16"/>
        <color theme="0"/>
        <rFont val="Calibri"/>
        <family val="2"/>
      </rPr>
      <t>&amp;</t>
    </r>
    <r>
      <rPr>
        <sz val="16"/>
        <color theme="0"/>
        <rFont val="Comic Sans MS"/>
        <family val="4"/>
      </rPr>
      <t xml:space="preserve"> VENTES</t>
    </r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</si>
  <si>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</si>
  <si>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</si>
  <si>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</si>
  <si>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</si>
  <si>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</si>
  <si>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</si>
  <si>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</si>
  <si>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</si>
  <si>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</si>
  <si>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Total General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</si>
  <si>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</si>
  <si>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</si>
  <si>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</si>
  <si>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</si>
  <si>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</si>
  <si>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</si>
  <si>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</si>
  <si>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</si>
  <si>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</si>
  <si>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</si>
  <si>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</si>
  <si>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</si>
  <si>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</si>
  <si>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</si>
  <si>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</si>
  <si>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</si>
  <si>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</si>
  <si>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</si>
  <si>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</si>
  <si>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</si>
  <si>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</si>
  <si>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</si>
  <si>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</si>
  <si>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</si>
  <si>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</si>
  <si>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</si>
  <si>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</si>
  <si>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</si>
  <si>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</si>
  <si>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</si>
  <si>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</si>
  <si>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</si>
  <si>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</si>
  <si>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</si>
  <si>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</si>
  <si>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Date debut</t>
  </si>
  <si>
    <t>Date fin</t>
  </si>
  <si>
    <t>Products</t>
  </si>
  <si>
    <t>Categorie</t>
  </si>
  <si>
    <t>CRITERES DE SELECTION</t>
  </si>
  <si>
    <t>GS 43113/46</t>
  </si>
</sst>
</file>

<file path=xl/styles.xml><?xml version="1.0" encoding="utf-8"?>
<styleSheet xmlns="http://schemas.openxmlformats.org/spreadsheetml/2006/main">
  <numFmts count="7">
    <numFmt numFmtId="41" formatCode="_-* #,##0\ _€_-;\-* #,##0\ _€_-;_-* &quot;-&quot;\ _€_-;_-@_-"/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22"/>
      <name val="Comic Sans MS"/>
      <family val="4"/>
    </font>
    <font>
      <b/>
      <sz val="11"/>
      <color indexed="8"/>
      <name val="Comic Sans MS"/>
      <family val="4"/>
    </font>
    <font>
      <b/>
      <sz val="11"/>
      <color rgb="FF000000"/>
      <name val="Comic Sans MS"/>
      <family val="4"/>
    </font>
    <font>
      <b/>
      <sz val="10"/>
      <color rgb="FFFF0000"/>
      <name val="Comic Sans MS"/>
      <family val="4"/>
    </font>
    <font>
      <sz val="10"/>
      <color theme="0"/>
      <name val="Comic Sans MS"/>
      <family val="4"/>
    </font>
    <font>
      <sz val="14"/>
      <name val="Comic Sans MS"/>
      <family val="4"/>
    </font>
    <font>
      <sz val="20"/>
      <color rgb="FFFF0000"/>
      <name val="Comic Sans MS"/>
      <family val="4"/>
    </font>
    <font>
      <b/>
      <sz val="16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sz val="14"/>
      <color theme="1"/>
      <name val="Comic Sans MS"/>
      <family val="4"/>
    </font>
    <font>
      <b/>
      <u/>
      <sz val="14"/>
      <color theme="10"/>
      <name val="Calibri"/>
      <family val="2"/>
    </font>
    <font>
      <b/>
      <u/>
      <sz val="10"/>
      <color theme="1"/>
      <name val="Comic Sans MS"/>
      <family val="4"/>
    </font>
    <font>
      <sz val="12"/>
      <name val="Comic Sans MS"/>
      <family val="4"/>
    </font>
    <font>
      <sz val="16"/>
      <color theme="0"/>
      <name val="Calibri"/>
      <family val="2"/>
    </font>
    <font>
      <sz val="13"/>
      <name val="Comic Sans MS"/>
      <family val="4"/>
    </font>
    <font>
      <b/>
      <sz val="11"/>
      <color theme="0"/>
      <name val="Comic Sans MS"/>
      <family val="4"/>
    </font>
    <font>
      <sz val="12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</fonts>
  <fills count="1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/>
      <right/>
      <top/>
      <bottom style="medium">
        <color theme="0"/>
      </bottom>
      <diagonal/>
    </border>
  </borders>
  <cellStyleXfs count="5">
    <xf numFmtId="0" fontId="0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</cellStyleXfs>
  <cellXfs count="233">
    <xf numFmtId="0" fontId="0" fillId="0" borderId="0" xfId="0"/>
    <xf numFmtId="0" fontId="0" fillId="4" borderId="0" xfId="0" applyFill="1"/>
    <xf numFmtId="166" fontId="0" fillId="5" borderId="1" xfId="0" applyNumberFormat="1" applyFill="1" applyBorder="1"/>
    <xf numFmtId="0" fontId="0" fillId="5" borderId="1" xfId="0" applyFill="1" applyBorder="1"/>
    <xf numFmtId="0" fontId="0" fillId="5" borderId="1" xfId="0" applyFill="1" applyBorder="1" applyAlignment="1">
      <alignment wrapText="1"/>
    </xf>
    <xf numFmtId="166" fontId="0" fillId="5" borderId="4" xfId="0" applyNumberFormat="1" applyFill="1" applyBorder="1" applyAlignment="1">
      <alignment horizontal="center"/>
    </xf>
    <xf numFmtId="166" fontId="2" fillId="5" borderId="1" xfId="2" applyNumberFormat="1" applyFont="1" applyFill="1" applyBorder="1"/>
    <xf numFmtId="0" fontId="2" fillId="5" borderId="1" xfId="0" applyFont="1" applyFill="1" applyBorder="1"/>
    <xf numFmtId="0" fontId="2" fillId="5" borderId="7" xfId="0" applyFont="1" applyFill="1" applyBorder="1"/>
    <xf numFmtId="0" fontId="0" fillId="5" borderId="7" xfId="0" applyFill="1" applyBorder="1"/>
    <xf numFmtId="166" fontId="0" fillId="5" borderId="8" xfId="0" applyNumberForma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7" borderId="0" xfId="0" applyFont="1" applyFill="1"/>
    <xf numFmtId="0" fontId="6" fillId="7" borderId="3" xfId="0" applyFont="1" applyFill="1" applyBorder="1" applyAlignment="1">
      <alignment vertical="center"/>
    </xf>
    <xf numFmtId="166" fontId="0" fillId="5" borderId="7" xfId="0" applyNumberFormat="1" applyFill="1" applyBorder="1" applyAlignment="1">
      <alignment horizontal="center"/>
    </xf>
    <xf numFmtId="0" fontId="0" fillId="0" borderId="5" xfId="0" applyBorder="1"/>
    <xf numFmtId="0" fontId="1" fillId="8" borderId="6" xfId="0" applyFont="1" applyFill="1" applyBorder="1"/>
    <xf numFmtId="0" fontId="0" fillId="0" borderId="9" xfId="0" applyBorder="1"/>
    <xf numFmtId="0" fontId="0" fillId="0" borderId="0" xfId="0" pivotButton="1"/>
    <xf numFmtId="0" fontId="7" fillId="5" borderId="7" xfId="0" applyFont="1" applyFill="1" applyBorder="1"/>
    <xf numFmtId="14" fontId="5" fillId="0" borderId="0" xfId="0" applyNumberFormat="1" applyFont="1" applyAlignment="1" applyProtection="1">
      <alignment horizontal="left"/>
      <protection locked="0"/>
    </xf>
    <xf numFmtId="0" fontId="0" fillId="0" borderId="0" xfId="0" applyBorder="1"/>
    <xf numFmtId="0" fontId="5" fillId="0" borderId="0" xfId="0" applyFont="1" applyAlignment="1" applyProtection="1">
      <alignment horizontal="left"/>
      <protection locked="0"/>
    </xf>
    <xf numFmtId="0" fontId="0" fillId="0" borderId="0" xfId="0" applyNumberFormat="1"/>
    <xf numFmtId="0" fontId="5" fillId="0" borderId="0" xfId="0" applyNumberFormat="1" applyFont="1" applyAlignment="1"/>
    <xf numFmtId="0" fontId="9" fillId="0" borderId="0" xfId="0" applyFont="1"/>
    <xf numFmtId="0" fontId="8" fillId="0" borderId="0" xfId="0" applyNumberFormat="1" applyFont="1" applyFill="1" applyAlignment="1">
      <alignment horizontal="right"/>
    </xf>
    <xf numFmtId="0" fontId="10" fillId="5" borderId="0" xfId="0" applyFont="1" applyFill="1"/>
    <xf numFmtId="0" fontId="10" fillId="5" borderId="0" xfId="0" applyFont="1" applyFill="1" applyAlignment="1">
      <alignment horizontal="left"/>
    </xf>
    <xf numFmtId="0" fontId="11" fillId="5" borderId="0" xfId="0" applyFont="1" applyFill="1"/>
    <xf numFmtId="0" fontId="12" fillId="5" borderId="0" xfId="0" applyFont="1" applyFill="1"/>
    <xf numFmtId="0" fontId="12" fillId="5" borderId="6" xfId="0" applyFont="1" applyFill="1" applyBorder="1"/>
    <xf numFmtId="0" fontId="6" fillId="7" borderId="0" xfId="0" applyFont="1" applyFill="1" applyBorder="1" applyAlignment="1">
      <alignment vertical="center"/>
    </xf>
    <xf numFmtId="166" fontId="0" fillId="5" borderId="0" xfId="0" applyNumberFormat="1" applyFill="1" applyBorder="1"/>
    <xf numFmtId="0" fontId="0" fillId="5" borderId="0" xfId="0" applyFill="1" applyBorder="1"/>
    <xf numFmtId="0" fontId="0" fillId="5" borderId="0" xfId="0" applyFill="1" applyBorder="1" applyAlignment="1">
      <alignment wrapText="1"/>
    </xf>
    <xf numFmtId="0" fontId="0" fillId="5" borderId="0" xfId="0" applyFill="1" applyBorder="1" applyAlignment="1">
      <alignment vertical="center"/>
    </xf>
    <xf numFmtId="0" fontId="4" fillId="5" borderId="0" xfId="0" applyFont="1" applyFill="1" applyBorder="1" applyAlignment="1"/>
    <xf numFmtId="0" fontId="0" fillId="5" borderId="7" xfId="0" applyFill="1" applyBorder="1" applyAlignment="1">
      <alignment vertical="center"/>
    </xf>
    <xf numFmtId="164" fontId="5" fillId="0" borderId="0" xfId="0" applyNumberFormat="1" applyFont="1" applyAlignment="1" applyProtection="1">
      <alignment horizontal="left"/>
      <protection locked="0"/>
    </xf>
    <xf numFmtId="16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66" fontId="5" fillId="0" borderId="0" xfId="1" applyNumberFormat="1" applyFont="1" applyAlignment="1" applyProtection="1">
      <alignment horizontal="center"/>
      <protection locked="0"/>
    </xf>
    <xf numFmtId="0" fontId="11" fillId="5" borderId="0" xfId="0" applyFont="1" applyFill="1" applyBorder="1"/>
    <xf numFmtId="0" fontId="11" fillId="5" borderId="0" xfId="0" applyFont="1" applyFill="1" applyBorder="1" applyAlignment="1">
      <alignment horizontal="right"/>
    </xf>
    <xf numFmtId="0" fontId="11" fillId="5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166" fontId="5" fillId="0" borderId="0" xfId="1" applyNumberFormat="1" applyFont="1" applyAlignment="1">
      <alignment horizontal="left"/>
    </xf>
    <xf numFmtId="0" fontId="10" fillId="5" borderId="0" xfId="0" applyFont="1" applyFill="1" applyAlignment="1">
      <alignment vertical="center"/>
    </xf>
    <xf numFmtId="0" fontId="8" fillId="0" borderId="0" xfId="0" applyFont="1"/>
    <xf numFmtId="10" fontId="0" fillId="0" borderId="0" xfId="0" applyNumberFormat="1"/>
    <xf numFmtId="0" fontId="10" fillId="5" borderId="0" xfId="0" applyFont="1" applyFill="1" applyAlignment="1">
      <alignment horizontal="center"/>
    </xf>
    <xf numFmtId="166" fontId="10" fillId="5" borderId="0" xfId="1" applyNumberFormat="1" applyFont="1" applyFill="1" applyAlignment="1">
      <alignment horizontal="center"/>
    </xf>
    <xf numFmtId="166" fontId="10" fillId="5" borderId="0" xfId="0" applyNumberFormat="1" applyFont="1" applyFill="1" applyAlignment="1">
      <alignment horizontal="center"/>
    </xf>
    <xf numFmtId="14" fontId="10" fillId="5" borderId="0" xfId="0" applyNumberFormat="1" applyFont="1" applyFill="1" applyAlignment="1">
      <alignment horizontal="center"/>
    </xf>
    <xf numFmtId="0" fontId="12" fillId="5" borderId="6" xfId="0" applyFont="1" applyFill="1" applyBorder="1" applyProtection="1">
      <protection locked="0"/>
    </xf>
    <xf numFmtId="0" fontId="11" fillId="5" borderId="0" xfId="0" applyFont="1" applyFill="1" applyProtection="1">
      <protection locked="0"/>
    </xf>
    <xf numFmtId="0" fontId="0" fillId="5" borderId="0" xfId="0" applyFill="1"/>
    <xf numFmtId="0" fontId="24" fillId="5" borderId="0" xfId="0" applyFont="1" applyFill="1"/>
    <xf numFmtId="0" fontId="11" fillId="5" borderId="0" xfId="0" applyFont="1" applyFill="1" applyAlignment="1">
      <alignment horizontal="center"/>
    </xf>
    <xf numFmtId="0" fontId="24" fillId="5" borderId="0" xfId="0" applyFont="1" applyFill="1" applyBorder="1" applyAlignment="1"/>
    <xf numFmtId="0" fontId="19" fillId="3" borderId="1" xfId="0" applyFont="1" applyFill="1" applyBorder="1"/>
    <xf numFmtId="0" fontId="19" fillId="5" borderId="0" xfId="0" applyFont="1" applyFill="1" applyBorder="1" applyAlignment="1"/>
    <xf numFmtId="0" fontId="26" fillId="5" borderId="0" xfId="0" applyFont="1" applyFill="1" applyAlignment="1">
      <alignment horizontal="center"/>
    </xf>
    <xf numFmtId="0" fontId="27" fillId="5" borderId="0" xfId="4" applyFill="1" applyAlignment="1" applyProtection="1">
      <alignment horizontal="center"/>
    </xf>
    <xf numFmtId="0" fontId="26" fillId="10" borderId="0" xfId="0" applyFont="1" applyFill="1" applyAlignment="1">
      <alignment horizontal="center"/>
    </xf>
    <xf numFmtId="0" fontId="26" fillId="10" borderId="0" xfId="0" applyFont="1" applyFill="1"/>
    <xf numFmtId="0" fontId="29" fillId="10" borderId="0" xfId="0" applyFont="1" applyFill="1"/>
    <xf numFmtId="0" fontId="30" fillId="10" borderId="0" xfId="4" applyFont="1" applyFill="1" applyAlignment="1" applyProtection="1">
      <alignment horizontal="center"/>
    </xf>
    <xf numFmtId="0" fontId="28" fillId="5" borderId="0" xfId="0" applyFont="1" applyFill="1" applyAlignment="1">
      <alignment horizontal="center"/>
    </xf>
    <xf numFmtId="0" fontId="31" fillId="5" borderId="0" xfId="0" applyFont="1" applyFill="1" applyAlignment="1">
      <alignment horizontal="center"/>
    </xf>
    <xf numFmtId="0" fontId="31" fillId="5" borderId="0" xfId="0" applyFont="1" applyFill="1"/>
    <xf numFmtId="0" fontId="11" fillId="5" borderId="1" xfId="0" applyFont="1" applyFill="1" applyBorder="1" applyAlignment="1">
      <alignment horizontal="center"/>
    </xf>
    <xf numFmtId="0" fontId="11" fillId="5" borderId="10" xfId="0" applyFont="1" applyFill="1" applyBorder="1" applyAlignment="1"/>
    <xf numFmtId="164" fontId="11" fillId="5" borderId="1" xfId="0" applyNumberFormat="1" applyFont="1" applyFill="1" applyBorder="1" applyAlignment="1" applyProtection="1">
      <protection locked="0"/>
    </xf>
    <xf numFmtId="164" fontId="11" fillId="5" borderId="1" xfId="0" applyNumberFormat="1" applyFont="1" applyFill="1" applyBorder="1" applyAlignment="1" applyProtection="1">
      <alignment horizontal="center"/>
      <protection locked="0"/>
    </xf>
    <xf numFmtId="0" fontId="19" fillId="3" borderId="7" xfId="0" applyFont="1" applyFill="1" applyBorder="1"/>
    <xf numFmtId="0" fontId="24" fillId="5" borderId="7" xfId="0" applyFont="1" applyFill="1" applyBorder="1" applyProtection="1">
      <protection locked="0"/>
    </xf>
    <xf numFmtId="0" fontId="24" fillId="5" borderId="14" xfId="0" applyFont="1" applyFill="1" applyBorder="1" applyProtection="1">
      <protection locked="0"/>
    </xf>
    <xf numFmtId="0" fontId="24" fillId="5" borderId="15" xfId="0" applyFont="1" applyFill="1" applyBorder="1" applyProtection="1">
      <protection locked="0"/>
    </xf>
    <xf numFmtId="0" fontId="19" fillId="3" borderId="8" xfId="0" applyFont="1" applyFill="1" applyBorder="1"/>
    <xf numFmtId="0" fontId="24" fillId="5" borderId="7" xfId="0" applyFont="1" applyFill="1" applyBorder="1" applyAlignment="1" applyProtection="1">
      <alignment horizontal="center"/>
      <protection locked="0"/>
    </xf>
    <xf numFmtId="0" fontId="24" fillId="5" borderId="14" xfId="0" applyFont="1" applyFill="1" applyBorder="1" applyAlignment="1" applyProtection="1">
      <alignment horizontal="center"/>
      <protection locked="0"/>
    </xf>
    <xf numFmtId="0" fontId="24" fillId="5" borderId="15" xfId="0" applyFont="1" applyFill="1" applyBorder="1" applyAlignment="1" applyProtection="1">
      <alignment horizontal="center"/>
      <protection locked="0"/>
    </xf>
    <xf numFmtId="164" fontId="24" fillId="5" borderId="16" xfId="0" applyNumberFormat="1" applyFont="1" applyFill="1" applyBorder="1" applyAlignment="1" applyProtection="1">
      <alignment horizontal="center" vertical="top"/>
      <protection locked="0"/>
    </xf>
    <xf numFmtId="164" fontId="24" fillId="5" borderId="8" xfId="0" applyNumberFormat="1" applyFont="1" applyFill="1" applyBorder="1" applyAlignment="1">
      <alignment vertical="top"/>
    </xf>
    <xf numFmtId="164" fontId="24" fillId="5" borderId="10" xfId="0" applyNumberFormat="1" applyFont="1" applyFill="1" applyBorder="1" applyAlignment="1" applyProtection="1">
      <alignment horizontal="center" vertical="top"/>
      <protection locked="0"/>
    </xf>
    <xf numFmtId="164" fontId="24" fillId="5" borderId="11" xfId="0" applyNumberFormat="1" applyFont="1" applyFill="1" applyBorder="1" applyAlignment="1">
      <alignment vertical="top"/>
    </xf>
    <xf numFmtId="164" fontId="24" fillId="5" borderId="12" xfId="0" applyNumberFormat="1" applyFont="1" applyFill="1" applyBorder="1" applyAlignment="1" applyProtection="1">
      <alignment horizontal="center" vertical="top"/>
      <protection locked="0"/>
    </xf>
    <xf numFmtId="164" fontId="24" fillId="5" borderId="13" xfId="0" applyNumberFormat="1" applyFont="1" applyFill="1" applyBorder="1" applyAlignment="1">
      <alignment vertical="top"/>
    </xf>
    <xf numFmtId="0" fontId="24" fillId="5" borderId="11" xfId="0" applyFont="1" applyFill="1" applyBorder="1" applyProtection="1">
      <protection locked="0"/>
    </xf>
    <xf numFmtId="0" fontId="24" fillId="5" borderId="13" xfId="0" applyFont="1" applyFill="1" applyBorder="1" applyProtection="1">
      <protection locked="0"/>
    </xf>
    <xf numFmtId="0" fontId="0" fillId="5" borderId="0" xfId="0" applyNumberFormat="1" applyFill="1"/>
    <xf numFmtId="22" fontId="24" fillId="5" borderId="0" xfId="0" applyNumberFormat="1" applyFont="1" applyFill="1"/>
    <xf numFmtId="0" fontId="0" fillId="4" borderId="0" xfId="0" applyFill="1" applyProtection="1">
      <protection hidden="1"/>
    </xf>
    <xf numFmtId="167" fontId="3" fillId="5" borderId="1" xfId="1" applyNumberFormat="1" applyFont="1" applyFill="1" applyBorder="1" applyAlignment="1" applyProtection="1">
      <alignment horizontal="center"/>
      <protection locked="0"/>
    </xf>
    <xf numFmtId="0" fontId="24" fillId="5" borderId="1" xfId="0" applyFont="1" applyFill="1" applyBorder="1" applyAlignment="1" applyProtection="1">
      <protection locked="0"/>
    </xf>
    <xf numFmtId="14" fontId="25" fillId="5" borderId="0" xfId="0" applyNumberFormat="1" applyFont="1" applyFill="1" applyBorder="1" applyAlignment="1" applyProtection="1"/>
    <xf numFmtId="0" fontId="19" fillId="5" borderId="0" xfId="0" applyFont="1" applyFill="1" applyBorder="1" applyProtection="1"/>
    <xf numFmtId="0" fontId="24" fillId="5" borderId="0" xfId="0" applyFont="1" applyFill="1" applyBorder="1" applyAlignment="1" applyProtection="1"/>
    <xf numFmtId="14" fontId="24" fillId="5" borderId="0" xfId="0" applyNumberFormat="1" applyFont="1" applyFill="1" applyBorder="1" applyAlignment="1" applyProtection="1"/>
    <xf numFmtId="0" fontId="24" fillId="5" borderId="0" xfId="0" applyFont="1" applyFill="1" applyProtection="1"/>
    <xf numFmtId="14" fontId="0" fillId="4" borderId="0" xfId="0" applyNumberFormat="1" applyFill="1"/>
    <xf numFmtId="168" fontId="0" fillId="4" borderId="0" xfId="0" applyNumberFormat="1" applyFill="1"/>
    <xf numFmtId="164" fontId="0" fillId="4" borderId="0" xfId="0" applyNumberFormat="1" applyFill="1"/>
    <xf numFmtId="169" fontId="24" fillId="5" borderId="1" xfId="1" applyNumberFormat="1" applyFont="1" applyFill="1" applyBorder="1" applyAlignment="1" applyProtection="1">
      <alignment horizontal="center"/>
      <protection locked="0"/>
    </xf>
    <xf numFmtId="0" fontId="24" fillId="5" borderId="12" xfId="0" applyFon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69" fontId="0" fillId="0" borderId="0" xfId="1" applyNumberFormat="1" applyFont="1"/>
    <xf numFmtId="169" fontId="0" fillId="0" borderId="0" xfId="0" applyNumberFormat="1"/>
    <xf numFmtId="169" fontId="0" fillId="0" borderId="0" xfId="0" pivotButton="1" applyNumberFormat="1"/>
    <xf numFmtId="0" fontId="13" fillId="5" borderId="0" xfId="0" applyFont="1" applyFill="1"/>
    <xf numFmtId="166" fontId="10" fillId="5" borderId="1" xfId="1" applyNumberFormat="1" applyFont="1" applyFill="1" applyBorder="1" applyAlignment="1">
      <alignment horizontal="left" vertical="center"/>
    </xf>
    <xf numFmtId="166" fontId="10" fillId="5" borderId="1" xfId="1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left"/>
    </xf>
    <xf numFmtId="166" fontId="10" fillId="5" borderId="1" xfId="0" applyNumberFormat="1" applyFont="1" applyFill="1" applyBorder="1" applyAlignment="1">
      <alignment horizontal="center" vertical="center"/>
    </xf>
    <xf numFmtId="166" fontId="10" fillId="5" borderId="1" xfId="1" applyNumberFormat="1" applyFont="1" applyFill="1" applyBorder="1" applyAlignment="1">
      <alignment horizontal="center"/>
    </xf>
    <xf numFmtId="9" fontId="10" fillId="5" borderId="1" xfId="3" applyFont="1" applyFill="1" applyBorder="1" applyAlignment="1">
      <alignment horizontal="center"/>
    </xf>
    <xf numFmtId="166" fontId="10" fillId="5" borderId="7" xfId="1" applyNumberFormat="1" applyFont="1" applyFill="1" applyBorder="1"/>
    <xf numFmtId="166" fontId="10" fillId="5" borderId="14" xfId="1" applyNumberFormat="1" applyFont="1" applyFill="1" applyBorder="1"/>
    <xf numFmtId="166" fontId="10" fillId="5" borderId="15" xfId="1" applyNumberFormat="1" applyFont="1" applyFill="1" applyBorder="1"/>
    <xf numFmtId="166" fontId="10" fillId="5" borderId="7" xfId="1" applyNumberFormat="1" applyFont="1" applyFill="1" applyBorder="1" applyAlignment="1">
      <alignment horizontal="right"/>
    </xf>
    <xf numFmtId="166" fontId="10" fillId="5" borderId="14" xfId="1" applyNumberFormat="1" applyFont="1" applyFill="1" applyBorder="1" applyAlignment="1">
      <alignment horizontal="right"/>
    </xf>
    <xf numFmtId="166" fontId="10" fillId="5" borderId="15" xfId="1" applyNumberFormat="1" applyFont="1" applyFill="1" applyBorder="1" applyAlignment="1">
      <alignment horizontal="right"/>
    </xf>
    <xf numFmtId="0" fontId="32" fillId="4" borderId="1" xfId="0" applyFont="1" applyFill="1" applyBorder="1" applyAlignment="1">
      <alignment horizontal="center"/>
    </xf>
    <xf numFmtId="166" fontId="32" fillId="4" borderId="1" xfId="0" applyNumberFormat="1" applyFont="1" applyFill="1" applyBorder="1" applyAlignment="1">
      <alignment horizontal="center"/>
    </xf>
    <xf numFmtId="0" fontId="32" fillId="4" borderId="1" xfId="0" applyFont="1" applyFill="1" applyBorder="1" applyAlignment="1">
      <alignment horizontal="center" vertical="center"/>
    </xf>
    <xf numFmtId="0" fontId="19" fillId="5" borderId="0" xfId="0" applyFont="1" applyFill="1" applyBorder="1" applyAlignment="1" applyProtection="1">
      <alignment horizontal="center"/>
      <protection locked="0"/>
    </xf>
    <xf numFmtId="0" fontId="13" fillId="5" borderId="0" xfId="0" applyFont="1" applyFill="1" applyBorder="1" applyAlignment="1" applyProtection="1">
      <alignment horizontal="center"/>
      <protection locked="0"/>
    </xf>
    <xf numFmtId="0" fontId="13" fillId="5" borderId="0" xfId="0" applyFont="1" applyFill="1" applyBorder="1" applyProtection="1">
      <protection locked="0"/>
    </xf>
    <xf numFmtId="0" fontId="18" fillId="5" borderId="0" xfId="0" applyFont="1" applyFill="1" applyBorder="1" applyProtection="1">
      <protection locked="0"/>
    </xf>
    <xf numFmtId="0" fontId="19" fillId="11" borderId="9" xfId="0" applyFont="1" applyFill="1" applyBorder="1" applyAlignment="1" applyProtection="1">
      <alignment horizontal="center" vertical="center"/>
      <protection locked="0"/>
    </xf>
    <xf numFmtId="0" fontId="32" fillId="11" borderId="9" xfId="0" applyFont="1" applyFill="1" applyBorder="1" applyAlignment="1" applyProtection="1">
      <alignment horizontal="center" vertical="center"/>
      <protection locked="0"/>
    </xf>
    <xf numFmtId="0" fontId="32" fillId="11" borderId="0" xfId="0" applyFont="1" applyFill="1" applyBorder="1" applyAlignment="1" applyProtection="1">
      <alignment horizontal="center" vertical="center"/>
      <protection locked="0"/>
    </xf>
    <xf numFmtId="0" fontId="13" fillId="6" borderId="0" xfId="0" applyFont="1" applyFill="1" applyBorder="1" applyProtection="1">
      <protection locked="0"/>
    </xf>
    <xf numFmtId="166" fontId="32" fillId="4" borderId="1" xfId="0" applyNumberFormat="1" applyFont="1" applyFill="1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66" fontId="10" fillId="5" borderId="16" xfId="1" applyNumberFormat="1" applyFont="1" applyFill="1" applyBorder="1"/>
    <xf numFmtId="166" fontId="10" fillId="5" borderId="10" xfId="1" applyNumberFormat="1" applyFont="1" applyFill="1" applyBorder="1"/>
    <xf numFmtId="166" fontId="10" fillId="5" borderId="12" xfId="1" applyNumberFormat="1" applyFont="1" applyFill="1" applyBorder="1"/>
    <xf numFmtId="0" fontId="32" fillId="4" borderId="8" xfId="0" applyFont="1" applyFill="1" applyBorder="1" applyAlignment="1">
      <alignment vertical="center"/>
    </xf>
    <xf numFmtId="0" fontId="32" fillId="4" borderId="7" xfId="0" applyFont="1" applyFill="1" applyBorder="1" applyAlignment="1">
      <alignment vertical="center"/>
    </xf>
    <xf numFmtId="166" fontId="10" fillId="5" borderId="16" xfId="1" applyNumberFormat="1" applyFont="1" applyFill="1" applyBorder="1" applyAlignment="1">
      <alignment horizontal="left"/>
    </xf>
    <xf numFmtId="166" fontId="10" fillId="5" borderId="10" xfId="1" applyNumberFormat="1" applyFont="1" applyFill="1" applyBorder="1" applyAlignment="1">
      <alignment horizontal="left"/>
    </xf>
    <xf numFmtId="166" fontId="10" fillId="5" borderId="12" xfId="1" applyNumberFormat="1" applyFont="1" applyFill="1" applyBorder="1" applyAlignment="1">
      <alignment horizontal="left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41" fontId="0" fillId="0" borderId="0" xfId="0" applyNumberFormat="1" applyAlignment="1" applyProtection="1">
      <alignment horizontal="left"/>
    </xf>
    <xf numFmtId="2" fontId="0" fillId="4" borderId="0" xfId="0" applyNumberFormat="1" applyFill="1"/>
    <xf numFmtId="41" fontId="0" fillId="4" borderId="0" xfId="0" applyNumberFormat="1" applyFill="1"/>
    <xf numFmtId="0" fontId="0" fillId="4" borderId="0" xfId="0" applyFill="1" applyProtection="1"/>
    <xf numFmtId="14" fontId="9" fillId="5" borderId="0" xfId="0" applyNumberFormat="1" applyFont="1" applyFill="1" applyProtection="1">
      <protection locked="0" hidden="1"/>
    </xf>
    <xf numFmtId="0" fontId="9" fillId="5" borderId="0" xfId="0" applyFont="1" applyFill="1" applyProtection="1">
      <protection locked="0" hidden="1"/>
    </xf>
    <xf numFmtId="0" fontId="15" fillId="5" borderId="6" xfId="0" applyFont="1" applyFill="1" applyBorder="1" applyProtection="1">
      <protection locked="0" hidden="1"/>
    </xf>
    <xf numFmtId="0" fontId="5" fillId="0" borderId="0" xfId="0" applyFont="1" applyBorder="1" applyAlignment="1" applyProtection="1">
      <alignment horizontal="left"/>
      <protection locked="0"/>
    </xf>
    <xf numFmtId="166" fontId="5" fillId="0" borderId="0" xfId="1" applyNumberFormat="1" applyFont="1" applyBorder="1" applyAlignment="1" applyProtection="1">
      <alignment horizontal="center"/>
      <protection locked="0"/>
    </xf>
    <xf numFmtId="164" fontId="5" fillId="0" borderId="0" xfId="0" applyNumberFormat="1" applyFont="1" applyBorder="1" applyAlignment="1" applyProtection="1">
      <alignment horizontal="left"/>
      <protection locked="0"/>
    </xf>
    <xf numFmtId="164" fontId="5" fillId="0" borderId="0" xfId="0" applyNumberFormat="1" applyFont="1" applyBorder="1" applyAlignment="1">
      <alignment horizontal="left"/>
    </xf>
    <xf numFmtId="14" fontId="5" fillId="0" borderId="0" xfId="0" applyNumberFormat="1" applyFont="1" applyBorder="1" applyAlignment="1" applyProtection="1">
      <alignment horizontal="left"/>
      <protection locked="0"/>
    </xf>
    <xf numFmtId="14" fontId="5" fillId="0" borderId="0" xfId="0" applyNumberFormat="1" applyFont="1" applyAlignment="1">
      <alignment horizontal="left"/>
    </xf>
    <xf numFmtId="14" fontId="10" fillId="0" borderId="0" xfId="0" applyNumberFormat="1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166" fontId="10" fillId="0" borderId="0" xfId="1" applyNumberFormat="1" applyFont="1" applyAlignment="1">
      <alignment horizontal="left" vertical="center"/>
    </xf>
    <xf numFmtId="164" fontId="10" fillId="0" borderId="0" xfId="0" applyNumberFormat="1" applyFont="1" applyAlignment="1">
      <alignment horizontal="left" vertical="center"/>
    </xf>
    <xf numFmtId="0" fontId="10" fillId="0" borderId="0" xfId="0" applyFont="1" applyAlignment="1" applyProtection="1">
      <alignment horizontal="left" vertical="center"/>
      <protection hidden="1"/>
    </xf>
    <xf numFmtId="0" fontId="5" fillId="0" borderId="0" xfId="0" applyNumberFormat="1" applyFont="1" applyAlignment="1" applyProtection="1">
      <alignment horizontal="left"/>
      <protection locked="0" hidden="1"/>
    </xf>
    <xf numFmtId="0" fontId="5" fillId="0" borderId="0" xfId="0" applyNumberFormat="1" applyFont="1" applyBorder="1" applyAlignment="1" applyProtection="1">
      <alignment horizontal="left"/>
      <protection locked="0" hidden="1"/>
    </xf>
    <xf numFmtId="0" fontId="5" fillId="0" borderId="0" xfId="0" applyFont="1" applyAlignment="1" applyProtection="1">
      <alignment horizontal="left"/>
      <protection hidden="1"/>
    </xf>
    <xf numFmtId="166" fontId="10" fillId="0" borderId="0" xfId="1" applyNumberFormat="1" applyFont="1" applyAlignment="1" applyProtection="1">
      <alignment horizontal="left" vertical="center"/>
      <protection hidden="1"/>
    </xf>
    <xf numFmtId="166" fontId="5" fillId="0" borderId="0" xfId="1" applyNumberFormat="1" applyFont="1" applyAlignment="1" applyProtection="1">
      <alignment horizontal="center"/>
      <protection locked="0" hidden="1"/>
    </xf>
    <xf numFmtId="166" fontId="5" fillId="0" borderId="0" xfId="1" applyNumberFormat="1" applyFont="1" applyBorder="1" applyAlignment="1" applyProtection="1">
      <alignment horizontal="center"/>
      <protection locked="0" hidden="1"/>
    </xf>
    <xf numFmtId="166" fontId="5" fillId="0" borderId="0" xfId="1" applyNumberFormat="1" applyFont="1" applyAlignment="1" applyProtection="1">
      <alignment horizontal="left"/>
      <protection hidden="1"/>
    </xf>
    <xf numFmtId="164" fontId="10" fillId="0" borderId="0" xfId="0" applyNumberFormat="1" applyFont="1" applyAlignment="1" applyProtection="1">
      <alignment horizontal="left" vertical="center"/>
      <protection locked="0" hidden="1"/>
    </xf>
    <xf numFmtId="164" fontId="5" fillId="0" borderId="0" xfId="1" applyNumberFormat="1" applyFont="1" applyAlignment="1" applyProtection="1">
      <alignment horizontal="left"/>
      <protection locked="0" hidden="1"/>
    </xf>
    <xf numFmtId="164" fontId="5" fillId="0" borderId="0" xfId="0" applyNumberFormat="1" applyFont="1" applyAlignment="1" applyProtection="1">
      <alignment horizontal="left"/>
      <protection locked="0" hidden="1"/>
    </xf>
    <xf numFmtId="164" fontId="5" fillId="0" borderId="0" xfId="0" applyNumberFormat="1" applyFont="1" applyBorder="1" applyAlignment="1" applyProtection="1">
      <alignment horizontal="left"/>
      <protection locked="0" hidden="1"/>
    </xf>
    <xf numFmtId="164" fontId="21" fillId="6" borderId="2" xfId="0" applyNumberFormat="1" applyFont="1" applyFill="1" applyBorder="1" applyAlignment="1" applyProtection="1">
      <alignment horizontal="center"/>
      <protection locked="0" hidden="1"/>
    </xf>
    <xf numFmtId="0" fontId="23" fillId="6" borderId="2" xfId="0" applyFont="1" applyFill="1" applyBorder="1" applyAlignment="1" applyProtection="1">
      <alignment horizontal="center"/>
      <protection locked="0" hidden="1"/>
    </xf>
    <xf numFmtId="0" fontId="22" fillId="6" borderId="2" xfId="0" applyFont="1" applyFill="1" applyBorder="1" applyAlignment="1" applyProtection="1">
      <alignment horizontal="center"/>
      <protection locked="0" hidden="1"/>
    </xf>
    <xf numFmtId="0" fontId="20" fillId="9" borderId="2" xfId="0" applyFont="1" applyFill="1" applyBorder="1" applyAlignment="1" applyProtection="1">
      <alignment horizontal="left" vertical="center"/>
      <protection locked="0" hidden="1"/>
    </xf>
    <xf numFmtId="0" fontId="9" fillId="5" borderId="0" xfId="0" applyFont="1" applyFill="1"/>
    <xf numFmtId="0" fontId="2" fillId="0" borderId="0" xfId="0" applyFont="1"/>
    <xf numFmtId="14" fontId="35" fillId="12" borderId="26" xfId="0" applyNumberFormat="1" applyFont="1" applyFill="1" applyBorder="1" applyAlignment="1">
      <alignment horizontal="left" vertical="center"/>
    </xf>
    <xf numFmtId="0" fontId="35" fillId="12" borderId="26" xfId="0" applyFont="1" applyFill="1" applyBorder="1" applyAlignment="1">
      <alignment horizontal="left" vertical="center"/>
    </xf>
    <xf numFmtId="0" fontId="36" fillId="13" borderId="1" xfId="0" applyFont="1" applyFill="1" applyBorder="1" applyAlignment="1">
      <alignment horizontal="left" vertical="center"/>
    </xf>
    <xf numFmtId="0" fontId="36" fillId="13" borderId="1" xfId="0" applyFont="1" applyFill="1" applyBorder="1" applyAlignment="1">
      <alignment horizontal="left"/>
    </xf>
    <xf numFmtId="0" fontId="1" fillId="4" borderId="1" xfId="0" applyFont="1" applyFill="1" applyBorder="1" applyAlignment="1">
      <alignment vertical="center"/>
    </xf>
    <xf numFmtId="14" fontId="38" fillId="13" borderId="1" xfId="0" applyNumberFormat="1" applyFont="1" applyFill="1" applyBorder="1" applyAlignment="1">
      <alignment horizontal="left" vertical="center"/>
    </xf>
    <xf numFmtId="14" fontId="39" fillId="8" borderId="1" xfId="0" applyNumberFormat="1" applyFont="1" applyFill="1" applyBorder="1" applyAlignment="1">
      <alignment horizontal="left" vertical="center"/>
    </xf>
    <xf numFmtId="0" fontId="39" fillId="8" borderId="1" xfId="0" applyFont="1" applyFill="1" applyBorder="1" applyAlignment="1">
      <alignment horizontal="left" vertical="center"/>
    </xf>
    <xf numFmtId="0" fontId="39" fillId="8" borderId="1" xfId="0" applyFont="1" applyFill="1" applyBorder="1" applyAlignment="1" applyProtection="1">
      <alignment horizontal="left" vertical="center"/>
      <protection hidden="1"/>
    </xf>
    <xf numFmtId="166" fontId="39" fillId="8" borderId="1" xfId="1" applyNumberFormat="1" applyFont="1" applyFill="1" applyBorder="1" applyAlignment="1">
      <alignment horizontal="left" vertical="center"/>
    </xf>
    <xf numFmtId="166" fontId="39" fillId="8" borderId="1" xfId="1" applyNumberFormat="1" applyFont="1" applyFill="1" applyBorder="1" applyAlignment="1" applyProtection="1">
      <alignment horizontal="left" vertical="center"/>
      <protection hidden="1"/>
    </xf>
    <xf numFmtId="164" fontId="39" fillId="8" borderId="1" xfId="0" applyNumberFormat="1" applyFont="1" applyFill="1" applyBorder="1" applyAlignment="1">
      <alignment horizontal="left" vertical="center"/>
    </xf>
    <xf numFmtId="164" fontId="39" fillId="8" borderId="1" xfId="0" applyNumberFormat="1" applyFont="1" applyFill="1" applyBorder="1" applyAlignment="1" applyProtection="1">
      <alignment horizontal="left" vertical="center"/>
      <protection locked="0" hidden="1"/>
    </xf>
    <xf numFmtId="0" fontId="14" fillId="2" borderId="3" xfId="0" applyFont="1" applyFill="1" applyBorder="1" applyAlignment="1">
      <alignment horizontal="center"/>
    </xf>
    <xf numFmtId="0" fontId="14" fillId="2" borderId="5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20" fillId="11" borderId="3" xfId="0" applyFont="1" applyFill="1" applyBorder="1" applyAlignment="1">
      <alignment horizontal="center" vertical="center"/>
    </xf>
    <xf numFmtId="0" fontId="20" fillId="11" borderId="4" xfId="0" applyFont="1" applyFill="1" applyBorder="1" applyAlignment="1">
      <alignment horizontal="center" vertical="center"/>
    </xf>
    <xf numFmtId="0" fontId="34" fillId="11" borderId="1" xfId="0" applyFont="1" applyFill="1" applyBorder="1" applyAlignment="1">
      <alignment horizontal="center"/>
    </xf>
    <xf numFmtId="0" fontId="20" fillId="11" borderId="16" xfId="0" applyFont="1" applyFill="1" applyBorder="1" applyAlignment="1">
      <alignment horizontal="center" vertical="center"/>
    </xf>
    <xf numFmtId="0" fontId="20" fillId="11" borderId="12" xfId="0" applyFont="1" applyFill="1" applyBorder="1" applyAlignment="1">
      <alignment horizontal="center" vertical="center"/>
    </xf>
    <xf numFmtId="0" fontId="20" fillId="11" borderId="6" xfId="0" applyFont="1" applyFill="1" applyBorder="1" applyAlignment="1">
      <alignment horizontal="center" vertical="center"/>
    </xf>
    <xf numFmtId="0" fontId="20" fillId="11" borderId="13" xfId="0" applyFont="1" applyFill="1" applyBorder="1" applyAlignment="1">
      <alignment horizontal="center" vertical="center"/>
    </xf>
    <xf numFmtId="0" fontId="20" fillId="11" borderId="1" xfId="0" applyFont="1" applyFill="1" applyBorder="1" applyAlignment="1">
      <alignment horizontal="center"/>
    </xf>
    <xf numFmtId="164" fontId="11" fillId="5" borderId="3" xfId="0" applyNumberFormat="1" applyFont="1" applyFill="1" applyBorder="1" applyAlignment="1" applyProtection="1">
      <alignment horizontal="center"/>
      <protection locked="0"/>
    </xf>
    <xf numFmtId="164" fontId="11" fillId="5" borderId="4" xfId="0" applyNumberFormat="1" applyFont="1" applyFill="1" applyBorder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14" fillId="3" borderId="12" xfId="0" applyFont="1" applyFill="1" applyBorder="1" applyAlignment="1">
      <alignment horizontal="center" vertical="center"/>
    </xf>
    <xf numFmtId="0" fontId="14" fillId="3" borderId="13" xfId="0" applyFont="1" applyFill="1" applyBorder="1" applyAlignment="1">
      <alignment horizontal="center" vertical="center"/>
    </xf>
    <xf numFmtId="0" fontId="19" fillId="3" borderId="7" xfId="0" applyFont="1" applyFill="1" applyBorder="1" applyAlignment="1">
      <alignment horizontal="center"/>
    </xf>
    <xf numFmtId="0" fontId="14" fillId="3" borderId="3" xfId="0" applyFont="1" applyFill="1" applyBorder="1" applyAlignment="1">
      <alignment horizontal="center" vertical="center"/>
    </xf>
    <xf numFmtId="0" fontId="14" fillId="3" borderId="5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22" fontId="0" fillId="5" borderId="3" xfId="0" applyNumberFormat="1" applyFont="1" applyFill="1" applyBorder="1" applyAlignment="1" applyProtection="1">
      <alignment horizontal="center"/>
      <protection locked="0"/>
    </xf>
    <xf numFmtId="22" fontId="0" fillId="5" borderId="4" xfId="0" applyNumberFormat="1" applyFont="1" applyFill="1" applyBorder="1" applyAlignment="1" applyProtection="1">
      <alignment horizontal="center"/>
      <protection locked="0"/>
    </xf>
    <xf numFmtId="0" fontId="37" fillId="14" borderId="3" xfId="0" applyFont="1" applyFill="1" applyBorder="1" applyAlignment="1">
      <alignment horizontal="center" vertical="center"/>
    </xf>
    <xf numFmtId="0" fontId="37" fillId="14" borderId="5" xfId="0" applyFont="1" applyFill="1" applyBorder="1" applyAlignment="1">
      <alignment horizontal="center" vertical="center"/>
    </xf>
    <xf numFmtId="0" fontId="37" fillId="14" borderId="4" xfId="0" applyFont="1" applyFill="1" applyBorder="1" applyAlignment="1">
      <alignment horizontal="center" vertical="center"/>
    </xf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57">
    <dxf>
      <alignment horizontal="center" vertical="bottom" textRotation="0" wrapText="0" indent="0" relativeIndent="255" justifyLastLine="0" shrinkToFit="0" mergeCell="0" readingOrder="0"/>
      <protection locked="1" hidden="0"/>
    </dxf>
    <dxf>
      <numFmt numFmtId="164" formatCode="_(* #,##0_);_(* \(#,##0\);_(* &quot;-&quot;_);_(@_)"/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numFmt numFmtId="170" formatCode="m/d/yyyy"/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center" vertical="bottom" textRotation="0" wrapText="0" indent="0" relativeIndent="255" justifyLastLine="0" shrinkToFit="0" mergeCell="0" readingOrder="0"/>
      <protection locked="1" hidden="0"/>
    </dxf>
    <dxf>
      <alignment horizontal="left" vertical="bottom" textRotation="0" wrapText="0" indent="0" relativeIndent="255" justifyLastLine="0" shrinkToFit="0" mergeCell="0" readingOrder="0"/>
      <protection locked="1" hidden="0"/>
    </dxf>
    <dxf>
      <font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_);_(* \(#,##0\);_(* &quot;-&quot;_);_(@_)"/>
      <alignment horizontal="lef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_);_(* \(#,##0\);_(* &quot;-&quot;_);_(@_)"/>
      <alignment horizontal="left" vertical="bottom" textRotation="0" wrapText="0" indent="0" relativeIndent="255" justifyLastLine="0" shrinkToFit="0" mergeCell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(* #,##0_);_(* \(#,##0\);_(* &quot;-&quot;_);_(@_)"/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alignment horizontal="center" vertical="bottom" textRotation="0" wrapText="0" indent="0" relativeIndent="0" justifyLastLine="0" shrinkToFit="0" mergeCell="0" readingOrder="0"/>
      <protection locked="0" hidden="1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\ _€_-;\-* #,##0\ _€_-;_-* &quot;-&quot;??\ _€_-;_-@_-"/>
      <alignment horizontal="center" vertical="bottom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left" vertical="bottom" textRotation="0" wrapText="0" indent="0" relativeIndent="0" justifyLastLine="0" shrinkToFit="0" mergeCell="0" readingOrder="0"/>
      <protection locked="0" hidden="1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left" vertical="bottom" textRotation="0" wrapText="0" indent="0" relativeIndent="255" justifyLastLine="0" shrinkToFit="0" mergeCell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left" vertical="center" textRotation="0" wrapText="0" indent="0" relativeIndent="255" justifyLastLine="0" shrinkToFit="0" mergeCell="0" readingOrder="0"/>
    </dxf>
    <dxf>
      <font>
        <b/>
        <i val="0"/>
        <color rgb="FFFFFF00"/>
      </font>
    </dxf>
    <dxf>
      <font>
        <b/>
        <i val="0"/>
        <color theme="9"/>
      </font>
    </dxf>
    <dxf>
      <font>
        <b/>
        <i val="0"/>
        <color theme="9"/>
      </font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numFmt numFmtId="169" formatCode="_(* #,##0_);_(* \(#,##0\);_(* &quot;-&quot;??_);_(@_)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_-* #,##0\ _€_-;\-* #,##0\ _€_-;_-* &quot;-&quot;??\ _€_-;_-@_-"/>
      <fill>
        <patternFill patternType="solid">
          <fgColor indexed="64"/>
          <bgColor theme="0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95EC7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28574</xdr:colOff>
      <xdr:row>0</xdr:row>
      <xdr:rowOff>19049</xdr:rowOff>
    </xdr:from>
    <xdr:to>
      <xdr:col>10</xdr:col>
      <xdr:colOff>1238249</xdr:colOff>
      <xdr:row>3</xdr:row>
      <xdr:rowOff>171450</xdr:rowOff>
    </xdr:to>
    <xdr:sp macro="[0]!Retouraumenu" textlink="">
      <xdr:nvSpPr>
        <xdr:cNvPr id="2" name="Rectangle à coins arrondis 1"/>
        <xdr:cNvSpPr/>
      </xdr:nvSpPr>
      <xdr:spPr>
        <a:xfrm>
          <a:off x="10877549" y="19049"/>
          <a:ext cx="1209675" cy="8001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16</xdr:row>
      <xdr:rowOff>28575</xdr:rowOff>
    </xdr:from>
    <xdr:to>
      <xdr:col>9</xdr:col>
      <xdr:colOff>723900</xdr:colOff>
      <xdr:row>19</xdr:row>
      <xdr:rowOff>161925</xdr:rowOff>
    </xdr:to>
    <xdr:sp macro="[0]!Nouvellefacture" textlink="">
      <xdr:nvSpPr>
        <xdr:cNvPr id="8" name="Rectangle à coins arrondis 7"/>
        <xdr:cNvSpPr/>
      </xdr:nvSpPr>
      <xdr:spPr>
        <a:xfrm>
          <a:off x="7562850" y="3743325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8</xdr:col>
      <xdr:colOff>66675</xdr:colOff>
      <xdr:row>21</xdr:row>
      <xdr:rowOff>57151</xdr:rowOff>
    </xdr:from>
    <xdr:to>
      <xdr:col>10</xdr:col>
      <xdr:colOff>76199</xdr:colOff>
      <xdr:row>25</xdr:row>
      <xdr:rowOff>19050</xdr:rowOff>
    </xdr:to>
    <xdr:sp macro="[0]!Retourmenu" textlink="">
      <xdr:nvSpPr>
        <xdr:cNvPr id="5" name="Rectangle à coins arrondis 4"/>
        <xdr:cNvSpPr/>
      </xdr:nvSpPr>
      <xdr:spPr>
        <a:xfrm>
          <a:off x="7591425" y="4772026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114300</xdr:colOff>
      <xdr:row>16</xdr:row>
      <xdr:rowOff>28575</xdr:rowOff>
    </xdr:from>
    <xdr:to>
      <xdr:col>7</xdr:col>
      <xdr:colOff>704850</xdr:colOff>
      <xdr:row>19</xdr:row>
      <xdr:rowOff>123825</xdr:rowOff>
    </xdr:to>
    <xdr:sp macro="[0]!Sauvegarderlafacture" textlink="">
      <xdr:nvSpPr>
        <xdr:cNvPr id="6" name="Rectangle à coins arrondis 5"/>
        <xdr:cNvSpPr/>
      </xdr:nvSpPr>
      <xdr:spPr>
        <a:xfrm>
          <a:off x="6029325" y="3743325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5</xdr:col>
      <xdr:colOff>1352550</xdr:colOff>
      <xdr:row>5</xdr:row>
      <xdr:rowOff>0</xdr:rowOff>
    </xdr:to>
    <xdr:pic>
      <xdr:nvPicPr>
        <xdr:cNvPr id="7" name="Image 6"/>
        <xdr:cNvPicPr/>
      </xdr:nvPicPr>
      <xdr:blipFill>
        <a:blip xmlns:r="http://schemas.openxmlformats.org/officeDocument/2006/relationships" r:embed="rId1" cstate="print"/>
        <a:srcRect r="1008"/>
        <a:stretch>
          <a:fillRect/>
        </a:stretch>
      </xdr:blipFill>
      <xdr:spPr bwMode="auto">
        <a:xfrm>
          <a:off x="1" y="0"/>
          <a:ext cx="5934074" cy="9525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28575</xdr:colOff>
      <xdr:row>21</xdr:row>
      <xdr:rowOff>66676</xdr:rowOff>
    </xdr:from>
    <xdr:to>
      <xdr:col>7</xdr:col>
      <xdr:colOff>800099</xdr:colOff>
      <xdr:row>25</xdr:row>
      <xdr:rowOff>28575</xdr:rowOff>
    </xdr:to>
    <xdr:sp macro="[0]!Apercufacture" textlink="">
      <xdr:nvSpPr>
        <xdr:cNvPr id="9" name="Rectangle à coins arrondis 8"/>
        <xdr:cNvSpPr/>
      </xdr:nvSpPr>
      <xdr:spPr>
        <a:xfrm>
          <a:off x="5943600" y="4781551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152400</xdr:colOff>
      <xdr:row>8</xdr:row>
      <xdr:rowOff>38100</xdr:rowOff>
    </xdr:from>
    <xdr:to>
      <xdr:col>8</xdr:col>
      <xdr:colOff>466725</xdr:colOff>
      <xdr:row>15</xdr:row>
      <xdr:rowOff>0</xdr:rowOff>
    </xdr:to>
    <xdr:sp macro="[0]!Newinvoice" textlink="">
      <xdr:nvSpPr>
        <xdr:cNvPr id="10" name="Rectangle à coins arrondis 9"/>
        <xdr:cNvSpPr/>
      </xdr:nvSpPr>
      <xdr:spPr>
        <a:xfrm>
          <a:off x="6829425" y="1866900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466725</xdr:colOff>
      <xdr:row>0</xdr:row>
      <xdr:rowOff>180975</xdr:rowOff>
    </xdr:from>
    <xdr:to>
      <xdr:col>7</xdr:col>
      <xdr:colOff>581024</xdr:colOff>
      <xdr:row>2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5743575" y="180975"/>
          <a:ext cx="1619249" cy="4286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266701</xdr:colOff>
      <xdr:row>0</xdr:row>
      <xdr:rowOff>180975</xdr:rowOff>
    </xdr:from>
    <xdr:to>
      <xdr:col>9</xdr:col>
      <xdr:colOff>838200</xdr:colOff>
      <xdr:row>2</xdr:row>
      <xdr:rowOff>180975</xdr:rowOff>
    </xdr:to>
    <xdr:sp macro="[0]!Effacedonnées" textlink="">
      <xdr:nvSpPr>
        <xdr:cNvPr id="3" name="Rectangle à coins arrondis 2"/>
        <xdr:cNvSpPr/>
      </xdr:nvSpPr>
      <xdr:spPr>
        <a:xfrm>
          <a:off x="7629526" y="180975"/>
          <a:ext cx="1533524" cy="47625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113.022955671295" createdVersion="3" refreshedVersion="3" minRefreshableVersion="3" recordCount="162">
  <cacheSource type="worksheet">
    <worksheetSource name="Tsuivistock"/>
  </cacheSource>
  <cacheFields count="10">
    <cacheField name="DATE" numFmtId="14">
      <sharedItems containsSemiMixedTypes="0" containsNonDate="0" containsDate="1" containsString="0" minDate="2017-07-01T00:00:00" maxDate="2018-02-20T00:00:00"/>
    </cacheField>
    <cacheField name="CLIENTS" numFmtId="0">
      <sharedItems containsBlank="1"/>
    </cacheField>
    <cacheField name="PRODUCTS" numFmtId="0">
      <sharedItems containsBlank="1" count="32">
        <s v="Belt"/>
        <s v="Bow Ties"/>
        <s v="Dagi pants"/>
        <s v="Elizy gown"/>
        <s v="Coat"/>
        <s v="Jean Trouser"/>
        <s v="Joseph eren assamble"/>
        <s v="Mixage Gowns"/>
        <s v="Feurte gowns"/>
        <s v="Polos"/>
        <s v="Colloni Polish"/>
        <s v="Male Slippers "/>
        <s v="Male slippers Genio"/>
        <s v="Super 100"/>
        <s v="Watches"/>
        <s v="Ties"/>
        <s v="Sabra Blouses"/>
        <s v="Purs "/>
        <s v="Pinema Gowns"/>
        <s v="S'costa shirt"/>
        <s v="Stomach Band"/>
        <s v="Trebein white qown"/>
        <s v="Keikei"/>
        <s v="Kenzel"/>
        <s v="Sun shaes"/>
        <s v="Perfumes"/>
        <m/>
        <s v="Cafcaf Mixed Color Gowns" u="1"/>
        <s v="Trico" u="1"/>
        <s v="Female  low Shoe (GG)" u="1"/>
        <s v="Bags" u="1"/>
        <s v="Mokassin" u="1"/>
      </sharedItems>
    </cacheField>
    <cacheField name="CATEGORIE" numFmtId="0">
      <sharedItems count="5">
        <s v="Vetements mixtes"/>
        <s v="Vetements femmes"/>
        <s v="Vetements Hommes"/>
        <s v="Accessoires"/>
        <s v=""/>
      </sharedItems>
    </cacheField>
    <cacheField name="MVT" numFmtId="0">
      <sharedItems containsBlank="1" count="3">
        <s v="Sortie"/>
        <s v="Entree"/>
        <m/>
      </sharedItems>
    </cacheField>
    <cacheField name="QTE" numFmtId="166">
      <sharedItems containsSemiMixedTypes="0" containsString="0" containsNumber="1" containsInteger="1" minValue="0" maxValue="38"/>
    </cacheField>
    <cacheField name="PRIX ACHAT" numFmtId="166">
      <sharedItems containsMixedTypes="1" containsNumber="1" containsInteger="1" minValue="1500" maxValue="70000"/>
    </cacheField>
    <cacheField name="P.V" numFmtId="164">
      <sharedItems containsMixedTypes="1" containsNumber="1" containsInteger="1" minValue="1500" maxValue="50000"/>
    </cacheField>
    <cacheField name="MONTANT" numFmtId="164">
      <sharedItems containsMixedTypes="1" containsNumber="1" containsInteger="1" minValue="3000" maxValue="200000"/>
    </cacheField>
    <cacheField name="SOLDE" numFmtId="164">
      <sharedItems containsMixedTypes="1" containsNumber="1" containsInteger="1" minValue="1" maxValue="54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WEET" refreshedDate="43113.022957986112" createdVersion="3" refreshedVersion="3" minRefreshableVersion="3" recordCount="78">
  <cacheSource type="worksheet">
    <worksheetSource name="Tsuividesventes"/>
  </cacheSource>
  <cacheFields count="8">
    <cacheField name="DATE" numFmtId="14">
      <sharedItems containsNonDate="0" containsDate="1" containsString="0" containsBlank="1" minDate="2017-09-30T13:35:03" maxDate="2018-01-13T00:32:36"/>
    </cacheField>
    <cacheField name="HEURE" numFmtId="0">
      <sharedItems containsNonDate="0" containsDate="1" containsString="0" containsBlank="1" minDate="2017-09-30T13:35:03" maxDate="2018-01-13T00:32:36"/>
    </cacheField>
    <cacheField name="N° FACTURE" numFmtId="0">
      <sharedItems containsBlank="1"/>
    </cacheField>
    <cacheField name="NOM CLIENT" numFmtId="0">
      <sharedItems containsBlank="1" count="9">
        <s v="Mailvin Afanyui"/>
        <s v="Boock Alphonse"/>
        <s v="Cynthia Borrom"/>
        <s v="Nkweijei Rene"/>
        <s v="Raissa Bih"/>
        <m/>
        <s v="Raissa" u="1"/>
        <s v="Cynthia" u="1"/>
        <s v="Nkwejei Rene" u="1"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73000" maxValue="1700000"/>
    </cacheField>
    <cacheField name="AVANCE" numFmtId="0">
      <sharedItems containsString="0" containsBlank="1" containsNumber="1" containsInteger="1" minValue="100000" maxValue="1500000"/>
    </cacheField>
    <cacheField name="SOLDE" numFmtId="0">
      <sharedItems containsString="0" containsBlank="1" containsNumber="1" containsInteger="1" minValue="-579500" maxValue="120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2">
  <r>
    <d v="2017-07-01T00:00:00"/>
    <s v="Cynthia"/>
    <x v="0"/>
    <x v="0"/>
    <x v="0"/>
    <n v="38"/>
    <n v="6500"/>
    <n v="2500"/>
    <n v="95000"/>
    <s v="STOCK EPUISE"/>
  </r>
  <r>
    <d v="2017-07-02T00:00:00"/>
    <s v="Viny"/>
    <x v="1"/>
    <x v="0"/>
    <x v="0"/>
    <n v="2"/>
    <n v="2000"/>
    <n v="4000"/>
    <n v="8000"/>
    <n v="47"/>
  </r>
  <r>
    <d v="2017-07-03T00:00:00"/>
    <s v="Reappro"/>
    <x v="2"/>
    <x v="1"/>
    <x v="1"/>
    <n v="5"/>
    <n v="3500"/>
    <n v="5000"/>
    <n v="25000"/>
    <n v="18"/>
  </r>
  <r>
    <d v="2017-07-04T00:00:00"/>
    <s v="Rene"/>
    <x v="3"/>
    <x v="1"/>
    <x v="0"/>
    <n v="6"/>
    <n v="9333"/>
    <n v="1500"/>
    <n v="9000"/>
    <n v="1"/>
  </r>
  <r>
    <d v="2017-07-05T00:00:00"/>
    <s v="Marvin"/>
    <x v="4"/>
    <x v="2"/>
    <x v="0"/>
    <n v="9"/>
    <n v="70000"/>
    <n v="3000"/>
    <n v="27000"/>
    <n v="12"/>
  </r>
  <r>
    <d v="2017-07-06T00:00:00"/>
    <s v="Reappro"/>
    <x v="5"/>
    <x v="0"/>
    <x v="1"/>
    <n v="4"/>
    <n v="9000"/>
    <n v="2500"/>
    <n v="10000"/>
    <n v="26"/>
  </r>
  <r>
    <d v="2017-07-07T00:00:00"/>
    <s v="Emelda"/>
    <x v="6"/>
    <x v="1"/>
    <x v="0"/>
    <n v="1"/>
    <n v="28555"/>
    <n v="10000"/>
    <n v="10000"/>
    <n v="2"/>
  </r>
  <r>
    <d v="2017-07-08T00:00:00"/>
    <s v="Edmond"/>
    <x v="7"/>
    <x v="1"/>
    <x v="0"/>
    <n v="1"/>
    <n v="9000"/>
    <n v="6000"/>
    <n v="6000"/>
    <n v="2"/>
  </r>
  <r>
    <d v="2017-07-09T00:00:00"/>
    <s v="Raissa"/>
    <x v="8"/>
    <x v="1"/>
    <x v="0"/>
    <n v="8"/>
    <n v="16606"/>
    <n v="17000"/>
    <n v="136000"/>
    <s v="STOCK EPUISE"/>
  </r>
  <r>
    <d v="2017-07-10T00:00:00"/>
    <s v="Inventaire"/>
    <x v="9"/>
    <x v="0"/>
    <x v="0"/>
    <n v="2"/>
    <n v="7500"/>
    <n v="10000"/>
    <n v="20000"/>
    <n v="54"/>
  </r>
  <r>
    <d v="2017-07-11T00:00:00"/>
    <s v="Cynthia"/>
    <x v="10"/>
    <x v="3"/>
    <x v="0"/>
    <n v="1"/>
    <n v="1500"/>
    <n v="7500"/>
    <n v="7500"/>
    <n v="14"/>
  </r>
  <r>
    <d v="2017-08-07T00:00:00"/>
    <s v="Reappro"/>
    <x v="11"/>
    <x v="3"/>
    <x v="1"/>
    <n v="10"/>
    <n v="7500"/>
    <n v="3500"/>
    <n v="35000"/>
    <n v="13"/>
  </r>
  <r>
    <d v="2017-09-06T00:00:00"/>
    <s v="Rene"/>
    <x v="12"/>
    <x v="2"/>
    <x v="0"/>
    <n v="2"/>
    <n v="20790"/>
    <n v="5100"/>
    <n v="10200"/>
    <n v="14"/>
  </r>
  <r>
    <d v="2017-09-07T00:00:00"/>
    <s v="Marvin"/>
    <x v="13"/>
    <x v="2"/>
    <x v="0"/>
    <n v="2"/>
    <n v="18000"/>
    <n v="5400"/>
    <n v="10800"/>
    <n v="25"/>
  </r>
  <r>
    <d v="2017-09-08T00:00:00"/>
    <s v="Viny"/>
    <x v="14"/>
    <x v="3"/>
    <x v="0"/>
    <n v="1"/>
    <n v="32850"/>
    <n v="5700"/>
    <n v="5700"/>
    <n v="31"/>
  </r>
  <r>
    <d v="2017-09-09T00:00:00"/>
    <s v="Edmond"/>
    <x v="15"/>
    <x v="3"/>
    <x v="0"/>
    <n v="2"/>
    <n v="6300"/>
    <n v="6000"/>
    <n v="12000"/>
    <n v="20"/>
  </r>
  <r>
    <d v="2017-09-10T00:00:00"/>
    <s v="Raissa"/>
    <x v="16"/>
    <x v="1"/>
    <x v="0"/>
    <n v="10"/>
    <n v="15000"/>
    <n v="6300"/>
    <n v="63000"/>
    <s v="STOCK EPUISE"/>
  </r>
  <r>
    <d v="2017-09-11T00:00:00"/>
    <s v="Reappro"/>
    <x v="17"/>
    <x v="0"/>
    <x v="1"/>
    <n v="2"/>
    <n v="2000"/>
    <n v="15000"/>
    <n v="30000"/>
    <n v="4"/>
  </r>
  <r>
    <d v="2017-09-12T00:00:00"/>
    <s v="Reappro"/>
    <x v="18"/>
    <x v="1"/>
    <x v="1"/>
    <n v="3"/>
    <n v="10000"/>
    <n v="7500"/>
    <n v="22500"/>
    <n v="4"/>
  </r>
  <r>
    <d v="2017-09-13T00:00:00"/>
    <s v="Rene"/>
    <x v="12"/>
    <x v="2"/>
    <x v="0"/>
    <n v="1"/>
    <n v="20790"/>
    <n v="7200"/>
    <n v="7200"/>
    <n v="13"/>
  </r>
  <r>
    <d v="2017-09-14T00:00:00"/>
    <s v="Emelda"/>
    <x v="19"/>
    <x v="0"/>
    <x v="1"/>
    <n v="5"/>
    <n v="5000"/>
    <n v="5000"/>
    <n v="25000"/>
    <n v="5"/>
  </r>
  <r>
    <d v="2017-09-15T00:00:00"/>
    <s v="Raissa"/>
    <x v="20"/>
    <x v="1"/>
    <x v="1"/>
    <n v="12"/>
    <n v="10000"/>
    <n v="10000"/>
    <n v="120000"/>
    <n v="12"/>
  </r>
  <r>
    <d v="2017-09-16T00:00:00"/>
    <s v="Viny"/>
    <x v="21"/>
    <x v="1"/>
    <x v="1"/>
    <n v="4"/>
    <n v="10333"/>
    <n v="10333"/>
    <n v="41332"/>
    <n v="7"/>
  </r>
  <r>
    <d v="2017-09-17T00:00:00"/>
    <s v="Rene"/>
    <x v="22"/>
    <x v="1"/>
    <x v="1"/>
    <n v="6"/>
    <n v="3000"/>
    <n v="3000"/>
    <n v="18000"/>
    <n v="7"/>
  </r>
  <r>
    <d v="2017-09-18T00:00:00"/>
    <s v="Marvin"/>
    <x v="23"/>
    <x v="1"/>
    <x v="1"/>
    <n v="5"/>
    <n v="25000"/>
    <n v="25000"/>
    <n v="125000"/>
    <n v="6"/>
  </r>
  <r>
    <d v="2017-09-19T00:00:00"/>
    <s v="Edmond"/>
    <x v="24"/>
    <x v="0"/>
    <x v="1"/>
    <n v="7"/>
    <n v="5000"/>
    <n v="5000"/>
    <n v="35000"/>
    <n v="12"/>
  </r>
  <r>
    <d v="2017-10-03T00:00:00"/>
    <s v="Viny"/>
    <x v="9"/>
    <x v="0"/>
    <x v="0"/>
    <n v="4"/>
    <n v="7500"/>
    <n v="7500"/>
    <n v="30000"/>
    <n v="50"/>
  </r>
  <r>
    <d v="2017-10-03T00:00:00"/>
    <s v="Rene"/>
    <x v="4"/>
    <x v="2"/>
    <x v="0"/>
    <n v="4"/>
    <n v="70000"/>
    <n v="50000"/>
    <n v="200000"/>
    <n v="8"/>
  </r>
  <r>
    <d v="2017-10-09T00:00:00"/>
    <s v="Alphonse"/>
    <x v="1"/>
    <x v="0"/>
    <x v="0"/>
    <n v="1"/>
    <n v="2000"/>
    <n v="3000"/>
    <n v="3000"/>
    <n v="46"/>
  </r>
  <r>
    <d v="2017-10-10T00:00:00"/>
    <s v="Viny"/>
    <x v="4"/>
    <x v="2"/>
    <x v="1"/>
    <n v="5"/>
    <n v="70000"/>
    <s v=""/>
    <s v=""/>
    <n v="13"/>
  </r>
  <r>
    <d v="2017-10-11T00:00:00"/>
    <s v="Rene"/>
    <x v="25"/>
    <x v="3"/>
    <x v="0"/>
    <n v="3"/>
    <n v="18000"/>
    <n v="10000"/>
    <n v="30000"/>
    <n v="1"/>
  </r>
  <r>
    <d v="2017-10-12T00:00:00"/>
    <s v="Edmond"/>
    <x v="2"/>
    <x v="1"/>
    <x v="0"/>
    <n v="6"/>
    <n v="3500"/>
    <n v="5000"/>
    <n v="30000"/>
    <n v="12"/>
  </r>
  <r>
    <d v="2017-10-13T00:00:00"/>
    <s v="Carl"/>
    <x v="5"/>
    <x v="0"/>
    <x v="0"/>
    <n v="10"/>
    <n v="9000"/>
    <n v="12000"/>
    <n v="120000"/>
    <n v="16"/>
  </r>
  <r>
    <d v="2017-10-14T00:00:00"/>
    <s v="Emelda"/>
    <x v="5"/>
    <x v="0"/>
    <x v="0"/>
    <n v="3"/>
    <n v="9000"/>
    <n v="11000"/>
    <n v="33000"/>
    <n v="13"/>
  </r>
  <r>
    <d v="2017-10-15T00:00:00"/>
    <m/>
    <x v="26"/>
    <x v="4"/>
    <x v="2"/>
    <n v="0"/>
    <s v=""/>
    <s v=""/>
    <s v=""/>
    <s v=""/>
  </r>
  <r>
    <d v="2017-10-16T00:00:00"/>
    <m/>
    <x v="26"/>
    <x v="4"/>
    <x v="2"/>
    <n v="0"/>
    <s v=""/>
    <s v=""/>
    <s v=""/>
    <s v=""/>
  </r>
  <r>
    <d v="2017-10-17T00:00:00"/>
    <m/>
    <x v="26"/>
    <x v="4"/>
    <x v="2"/>
    <n v="0"/>
    <s v=""/>
    <s v=""/>
    <s v=""/>
    <s v=""/>
  </r>
  <r>
    <d v="2017-10-18T00:00:00"/>
    <m/>
    <x v="26"/>
    <x v="4"/>
    <x v="2"/>
    <n v="0"/>
    <s v=""/>
    <s v=""/>
    <s v=""/>
    <s v=""/>
  </r>
  <r>
    <d v="2017-10-19T00:00:00"/>
    <m/>
    <x v="26"/>
    <x v="4"/>
    <x v="2"/>
    <n v="0"/>
    <s v=""/>
    <s v=""/>
    <s v=""/>
    <s v=""/>
  </r>
  <r>
    <d v="2017-10-20T00:00:00"/>
    <m/>
    <x v="26"/>
    <x v="4"/>
    <x v="2"/>
    <n v="0"/>
    <s v=""/>
    <s v=""/>
    <s v=""/>
    <s v=""/>
  </r>
  <r>
    <d v="2017-10-21T00:00:00"/>
    <m/>
    <x v="26"/>
    <x v="4"/>
    <x v="2"/>
    <n v="0"/>
    <s v=""/>
    <s v=""/>
    <s v=""/>
    <s v=""/>
  </r>
  <r>
    <d v="2017-10-22T00:00:00"/>
    <m/>
    <x v="26"/>
    <x v="4"/>
    <x v="2"/>
    <n v="0"/>
    <s v=""/>
    <s v=""/>
    <s v=""/>
    <s v=""/>
  </r>
  <r>
    <d v="2017-10-23T00:00:00"/>
    <m/>
    <x v="26"/>
    <x v="4"/>
    <x v="2"/>
    <n v="0"/>
    <s v=""/>
    <s v=""/>
    <s v=""/>
    <s v=""/>
  </r>
  <r>
    <d v="2017-10-24T00:00:00"/>
    <m/>
    <x v="26"/>
    <x v="4"/>
    <x v="2"/>
    <n v="0"/>
    <s v=""/>
    <s v=""/>
    <s v=""/>
    <s v=""/>
  </r>
  <r>
    <d v="2017-10-25T00:00:00"/>
    <m/>
    <x v="26"/>
    <x v="4"/>
    <x v="2"/>
    <n v="0"/>
    <s v=""/>
    <s v=""/>
    <s v=""/>
    <s v=""/>
  </r>
  <r>
    <d v="2017-10-26T00:00:00"/>
    <m/>
    <x v="26"/>
    <x v="4"/>
    <x v="2"/>
    <n v="0"/>
    <s v=""/>
    <s v=""/>
    <s v=""/>
    <s v=""/>
  </r>
  <r>
    <d v="2017-10-27T00:00:00"/>
    <m/>
    <x v="26"/>
    <x v="4"/>
    <x v="2"/>
    <n v="0"/>
    <s v=""/>
    <s v=""/>
    <s v=""/>
    <s v=""/>
  </r>
  <r>
    <d v="2017-10-28T00:00:00"/>
    <m/>
    <x v="26"/>
    <x v="4"/>
    <x v="2"/>
    <n v="0"/>
    <s v=""/>
    <s v=""/>
    <s v=""/>
    <s v=""/>
  </r>
  <r>
    <d v="2017-10-29T00:00:00"/>
    <m/>
    <x v="26"/>
    <x v="4"/>
    <x v="2"/>
    <n v="0"/>
    <s v=""/>
    <s v=""/>
    <s v=""/>
    <s v=""/>
  </r>
  <r>
    <d v="2017-10-30T00:00:00"/>
    <m/>
    <x v="26"/>
    <x v="4"/>
    <x v="2"/>
    <n v="0"/>
    <s v=""/>
    <s v=""/>
    <s v=""/>
    <s v=""/>
  </r>
  <r>
    <d v="2017-10-31T00:00:00"/>
    <m/>
    <x v="26"/>
    <x v="4"/>
    <x v="2"/>
    <n v="0"/>
    <s v=""/>
    <s v=""/>
    <s v=""/>
    <s v=""/>
  </r>
  <r>
    <d v="2017-11-01T00:00:00"/>
    <m/>
    <x v="26"/>
    <x v="4"/>
    <x v="2"/>
    <n v="0"/>
    <s v=""/>
    <s v=""/>
    <s v=""/>
    <s v=""/>
  </r>
  <r>
    <d v="2017-11-02T00:00:00"/>
    <m/>
    <x v="26"/>
    <x v="4"/>
    <x v="2"/>
    <n v="0"/>
    <s v=""/>
    <s v=""/>
    <s v=""/>
    <s v=""/>
  </r>
  <r>
    <d v="2017-11-03T00:00:00"/>
    <m/>
    <x v="26"/>
    <x v="4"/>
    <x v="2"/>
    <n v="0"/>
    <s v=""/>
    <s v=""/>
    <s v=""/>
    <s v=""/>
  </r>
  <r>
    <d v="2017-11-04T00:00:00"/>
    <m/>
    <x v="26"/>
    <x v="4"/>
    <x v="2"/>
    <n v="0"/>
    <s v=""/>
    <s v=""/>
    <s v=""/>
    <s v=""/>
  </r>
  <r>
    <d v="2017-11-05T00:00:00"/>
    <m/>
    <x v="26"/>
    <x v="4"/>
    <x v="2"/>
    <n v="0"/>
    <s v=""/>
    <s v=""/>
    <s v=""/>
    <s v=""/>
  </r>
  <r>
    <d v="2017-11-06T00:00:00"/>
    <m/>
    <x v="26"/>
    <x v="4"/>
    <x v="2"/>
    <n v="0"/>
    <s v=""/>
    <s v=""/>
    <s v=""/>
    <s v=""/>
  </r>
  <r>
    <d v="2017-11-07T00:00:00"/>
    <m/>
    <x v="26"/>
    <x v="4"/>
    <x v="2"/>
    <n v="0"/>
    <s v=""/>
    <s v=""/>
    <s v=""/>
    <s v=""/>
  </r>
  <r>
    <d v="2017-11-08T00:00:00"/>
    <m/>
    <x v="26"/>
    <x v="4"/>
    <x v="2"/>
    <n v="0"/>
    <s v=""/>
    <s v=""/>
    <s v=""/>
    <s v=""/>
  </r>
  <r>
    <d v="2017-11-09T00:00:00"/>
    <m/>
    <x v="26"/>
    <x v="4"/>
    <x v="2"/>
    <n v="0"/>
    <s v=""/>
    <s v=""/>
    <s v=""/>
    <s v=""/>
  </r>
  <r>
    <d v="2017-11-10T00:00:00"/>
    <m/>
    <x v="26"/>
    <x v="4"/>
    <x v="2"/>
    <n v="0"/>
    <s v=""/>
    <s v=""/>
    <s v=""/>
    <s v=""/>
  </r>
  <r>
    <d v="2017-11-11T00:00:00"/>
    <m/>
    <x v="26"/>
    <x v="4"/>
    <x v="2"/>
    <n v="0"/>
    <s v=""/>
    <s v=""/>
    <s v=""/>
    <s v=""/>
  </r>
  <r>
    <d v="2017-11-12T00:00:00"/>
    <m/>
    <x v="26"/>
    <x v="4"/>
    <x v="2"/>
    <n v="0"/>
    <s v=""/>
    <s v=""/>
    <s v=""/>
    <s v=""/>
  </r>
  <r>
    <d v="2017-11-13T00:00:00"/>
    <m/>
    <x v="26"/>
    <x v="4"/>
    <x v="2"/>
    <n v="0"/>
    <s v=""/>
    <s v=""/>
    <s v=""/>
    <s v=""/>
  </r>
  <r>
    <d v="2017-11-14T00:00:00"/>
    <m/>
    <x v="26"/>
    <x v="4"/>
    <x v="2"/>
    <n v="0"/>
    <s v=""/>
    <s v=""/>
    <s v=""/>
    <s v=""/>
  </r>
  <r>
    <d v="2017-11-15T00:00:00"/>
    <m/>
    <x v="26"/>
    <x v="4"/>
    <x v="2"/>
    <n v="0"/>
    <s v=""/>
    <s v=""/>
    <s v=""/>
    <s v=""/>
  </r>
  <r>
    <d v="2017-11-16T00:00:00"/>
    <m/>
    <x v="26"/>
    <x v="4"/>
    <x v="2"/>
    <n v="0"/>
    <s v=""/>
    <s v=""/>
    <s v=""/>
    <s v=""/>
  </r>
  <r>
    <d v="2017-11-17T00:00:00"/>
    <m/>
    <x v="26"/>
    <x v="4"/>
    <x v="2"/>
    <n v="0"/>
    <s v=""/>
    <s v=""/>
    <s v=""/>
    <s v=""/>
  </r>
  <r>
    <d v="2017-11-18T00:00:00"/>
    <m/>
    <x v="26"/>
    <x v="4"/>
    <x v="2"/>
    <n v="0"/>
    <s v=""/>
    <s v=""/>
    <s v=""/>
    <s v=""/>
  </r>
  <r>
    <d v="2017-11-19T00:00:00"/>
    <m/>
    <x v="26"/>
    <x v="4"/>
    <x v="2"/>
    <n v="0"/>
    <s v=""/>
    <s v=""/>
    <s v=""/>
    <s v=""/>
  </r>
  <r>
    <d v="2017-11-20T00:00:00"/>
    <m/>
    <x v="26"/>
    <x v="4"/>
    <x v="2"/>
    <n v="0"/>
    <s v=""/>
    <s v=""/>
    <s v=""/>
    <s v=""/>
  </r>
  <r>
    <d v="2017-11-21T00:00:00"/>
    <m/>
    <x v="26"/>
    <x v="4"/>
    <x v="2"/>
    <n v="0"/>
    <s v=""/>
    <s v=""/>
    <s v=""/>
    <s v=""/>
  </r>
  <r>
    <d v="2017-11-22T00:00:00"/>
    <m/>
    <x v="26"/>
    <x v="4"/>
    <x v="2"/>
    <n v="0"/>
    <s v=""/>
    <s v=""/>
    <s v=""/>
    <s v=""/>
  </r>
  <r>
    <d v="2017-11-23T00:00:00"/>
    <m/>
    <x v="26"/>
    <x v="4"/>
    <x v="2"/>
    <n v="0"/>
    <s v=""/>
    <s v=""/>
    <s v=""/>
    <s v=""/>
  </r>
  <r>
    <d v="2017-11-24T00:00:00"/>
    <m/>
    <x v="26"/>
    <x v="4"/>
    <x v="2"/>
    <n v="0"/>
    <s v=""/>
    <s v=""/>
    <s v=""/>
    <s v=""/>
  </r>
  <r>
    <d v="2017-11-25T00:00:00"/>
    <m/>
    <x v="26"/>
    <x v="4"/>
    <x v="2"/>
    <n v="0"/>
    <s v=""/>
    <s v=""/>
    <s v=""/>
    <s v=""/>
  </r>
  <r>
    <d v="2017-11-26T00:00:00"/>
    <m/>
    <x v="26"/>
    <x v="4"/>
    <x v="2"/>
    <n v="0"/>
    <s v=""/>
    <s v=""/>
    <s v=""/>
    <s v=""/>
  </r>
  <r>
    <d v="2017-11-27T00:00:00"/>
    <m/>
    <x v="26"/>
    <x v="4"/>
    <x v="2"/>
    <n v="0"/>
    <s v=""/>
    <s v=""/>
    <s v=""/>
    <s v=""/>
  </r>
  <r>
    <d v="2017-11-28T00:00:00"/>
    <m/>
    <x v="26"/>
    <x v="4"/>
    <x v="2"/>
    <n v="0"/>
    <s v=""/>
    <s v=""/>
    <s v=""/>
    <s v=""/>
  </r>
  <r>
    <d v="2017-11-29T00:00:00"/>
    <m/>
    <x v="26"/>
    <x v="4"/>
    <x v="2"/>
    <n v="0"/>
    <s v=""/>
    <s v=""/>
    <s v=""/>
    <s v=""/>
  </r>
  <r>
    <d v="2017-11-30T00:00:00"/>
    <m/>
    <x v="26"/>
    <x v="4"/>
    <x v="2"/>
    <n v="0"/>
    <s v=""/>
    <s v=""/>
    <s v=""/>
    <s v=""/>
  </r>
  <r>
    <d v="2017-12-01T00:00:00"/>
    <m/>
    <x v="26"/>
    <x v="4"/>
    <x v="2"/>
    <n v="0"/>
    <s v=""/>
    <s v=""/>
    <s v=""/>
    <s v=""/>
  </r>
  <r>
    <d v="2017-12-02T00:00:00"/>
    <m/>
    <x v="26"/>
    <x v="4"/>
    <x v="2"/>
    <n v="0"/>
    <s v=""/>
    <s v=""/>
    <s v=""/>
    <s v=""/>
  </r>
  <r>
    <d v="2017-12-03T00:00:00"/>
    <m/>
    <x v="26"/>
    <x v="4"/>
    <x v="2"/>
    <n v="0"/>
    <s v=""/>
    <s v=""/>
    <s v=""/>
    <s v=""/>
  </r>
  <r>
    <d v="2017-12-04T00:00:00"/>
    <m/>
    <x v="26"/>
    <x v="4"/>
    <x v="2"/>
    <n v="0"/>
    <s v=""/>
    <s v=""/>
    <s v=""/>
    <s v=""/>
  </r>
  <r>
    <d v="2017-12-05T00:00:00"/>
    <m/>
    <x v="26"/>
    <x v="4"/>
    <x v="2"/>
    <n v="0"/>
    <s v=""/>
    <s v=""/>
    <s v=""/>
    <s v=""/>
  </r>
  <r>
    <d v="2017-12-06T00:00:00"/>
    <m/>
    <x v="26"/>
    <x v="4"/>
    <x v="2"/>
    <n v="0"/>
    <s v=""/>
    <s v=""/>
    <s v=""/>
    <s v=""/>
  </r>
  <r>
    <d v="2017-12-07T00:00:00"/>
    <m/>
    <x v="26"/>
    <x v="4"/>
    <x v="2"/>
    <n v="0"/>
    <s v=""/>
    <s v=""/>
    <s v=""/>
    <s v=""/>
  </r>
  <r>
    <d v="2017-12-08T00:00:00"/>
    <m/>
    <x v="26"/>
    <x v="4"/>
    <x v="2"/>
    <n v="0"/>
    <s v=""/>
    <s v=""/>
    <s v=""/>
    <s v=""/>
  </r>
  <r>
    <d v="2017-12-09T00:00:00"/>
    <m/>
    <x v="26"/>
    <x v="4"/>
    <x v="2"/>
    <n v="0"/>
    <s v=""/>
    <s v=""/>
    <s v=""/>
    <s v=""/>
  </r>
  <r>
    <d v="2017-12-10T00:00:00"/>
    <m/>
    <x v="26"/>
    <x v="4"/>
    <x v="2"/>
    <n v="0"/>
    <s v=""/>
    <s v=""/>
    <s v=""/>
    <s v=""/>
  </r>
  <r>
    <d v="2017-12-11T00:00:00"/>
    <m/>
    <x v="26"/>
    <x v="4"/>
    <x v="2"/>
    <n v="0"/>
    <s v=""/>
    <s v=""/>
    <s v=""/>
    <s v=""/>
  </r>
  <r>
    <d v="2017-12-12T00:00:00"/>
    <m/>
    <x v="26"/>
    <x v="4"/>
    <x v="2"/>
    <n v="0"/>
    <s v=""/>
    <s v=""/>
    <s v=""/>
    <s v=""/>
  </r>
  <r>
    <d v="2017-12-13T00:00:00"/>
    <m/>
    <x v="26"/>
    <x v="4"/>
    <x v="2"/>
    <n v="0"/>
    <s v=""/>
    <s v=""/>
    <s v=""/>
    <s v=""/>
  </r>
  <r>
    <d v="2017-12-14T00:00:00"/>
    <m/>
    <x v="26"/>
    <x v="4"/>
    <x v="2"/>
    <n v="0"/>
    <s v=""/>
    <s v=""/>
    <s v=""/>
    <s v=""/>
  </r>
  <r>
    <d v="2017-12-15T00:00:00"/>
    <m/>
    <x v="26"/>
    <x v="4"/>
    <x v="2"/>
    <n v="0"/>
    <s v=""/>
    <s v=""/>
    <s v=""/>
    <s v=""/>
  </r>
  <r>
    <d v="2017-12-16T00:00:00"/>
    <m/>
    <x v="26"/>
    <x v="4"/>
    <x v="2"/>
    <n v="0"/>
    <s v=""/>
    <s v=""/>
    <s v=""/>
    <s v=""/>
  </r>
  <r>
    <d v="2017-12-17T00:00:00"/>
    <m/>
    <x v="26"/>
    <x v="4"/>
    <x v="2"/>
    <n v="0"/>
    <s v=""/>
    <s v=""/>
    <s v=""/>
    <s v=""/>
  </r>
  <r>
    <d v="2017-12-18T00:00:00"/>
    <m/>
    <x v="26"/>
    <x v="4"/>
    <x v="2"/>
    <n v="0"/>
    <s v=""/>
    <s v=""/>
    <s v=""/>
    <s v=""/>
  </r>
  <r>
    <d v="2017-12-19T00:00:00"/>
    <m/>
    <x v="26"/>
    <x v="4"/>
    <x v="2"/>
    <n v="0"/>
    <s v=""/>
    <s v=""/>
    <s v=""/>
    <s v=""/>
  </r>
  <r>
    <d v="2017-12-20T00:00:00"/>
    <m/>
    <x v="26"/>
    <x v="4"/>
    <x v="2"/>
    <n v="0"/>
    <s v=""/>
    <s v=""/>
    <s v=""/>
    <s v=""/>
  </r>
  <r>
    <d v="2017-12-21T00:00:00"/>
    <m/>
    <x v="26"/>
    <x v="4"/>
    <x v="2"/>
    <n v="0"/>
    <s v=""/>
    <s v=""/>
    <s v=""/>
    <s v=""/>
  </r>
  <r>
    <d v="2017-12-22T00:00:00"/>
    <m/>
    <x v="26"/>
    <x v="4"/>
    <x v="2"/>
    <n v="0"/>
    <s v=""/>
    <s v=""/>
    <s v=""/>
    <s v=""/>
  </r>
  <r>
    <d v="2017-12-23T00:00:00"/>
    <m/>
    <x v="26"/>
    <x v="4"/>
    <x v="2"/>
    <n v="0"/>
    <s v=""/>
    <s v=""/>
    <s v=""/>
    <s v=""/>
  </r>
  <r>
    <d v="2017-12-24T00:00:00"/>
    <m/>
    <x v="26"/>
    <x v="4"/>
    <x v="2"/>
    <n v="0"/>
    <s v=""/>
    <s v=""/>
    <s v=""/>
    <s v=""/>
  </r>
  <r>
    <d v="2017-12-25T00:00:00"/>
    <m/>
    <x v="26"/>
    <x v="4"/>
    <x v="2"/>
    <n v="0"/>
    <s v=""/>
    <s v=""/>
    <s v=""/>
    <s v=""/>
  </r>
  <r>
    <d v="2017-12-26T00:00:00"/>
    <m/>
    <x v="26"/>
    <x v="4"/>
    <x v="2"/>
    <n v="0"/>
    <s v=""/>
    <s v=""/>
    <s v=""/>
    <s v=""/>
  </r>
  <r>
    <d v="2017-12-27T00:00:00"/>
    <m/>
    <x v="26"/>
    <x v="4"/>
    <x v="2"/>
    <n v="0"/>
    <s v=""/>
    <s v=""/>
    <s v=""/>
    <s v=""/>
  </r>
  <r>
    <d v="2017-12-28T00:00:00"/>
    <m/>
    <x v="26"/>
    <x v="4"/>
    <x v="2"/>
    <n v="0"/>
    <s v=""/>
    <s v=""/>
    <s v=""/>
    <s v=""/>
  </r>
  <r>
    <d v="2017-12-29T00:00:00"/>
    <m/>
    <x v="26"/>
    <x v="4"/>
    <x v="2"/>
    <n v="0"/>
    <s v=""/>
    <s v=""/>
    <s v=""/>
    <s v=""/>
  </r>
  <r>
    <d v="2017-12-30T00:00:00"/>
    <m/>
    <x v="26"/>
    <x v="4"/>
    <x v="2"/>
    <n v="0"/>
    <s v=""/>
    <s v=""/>
    <s v=""/>
    <s v=""/>
  </r>
  <r>
    <d v="2017-12-31T00:00:00"/>
    <m/>
    <x v="26"/>
    <x v="4"/>
    <x v="2"/>
    <n v="0"/>
    <s v=""/>
    <s v=""/>
    <s v=""/>
    <s v=""/>
  </r>
  <r>
    <d v="2018-01-01T00:00:00"/>
    <m/>
    <x v="26"/>
    <x v="4"/>
    <x v="2"/>
    <n v="0"/>
    <s v=""/>
    <s v=""/>
    <s v=""/>
    <s v=""/>
  </r>
  <r>
    <d v="2018-01-02T00:00:00"/>
    <m/>
    <x v="26"/>
    <x v="4"/>
    <x v="2"/>
    <n v="0"/>
    <s v=""/>
    <s v=""/>
    <s v=""/>
    <s v=""/>
  </r>
  <r>
    <d v="2018-01-03T00:00:00"/>
    <m/>
    <x v="26"/>
    <x v="4"/>
    <x v="2"/>
    <n v="0"/>
    <s v=""/>
    <s v=""/>
    <s v=""/>
    <s v=""/>
  </r>
  <r>
    <d v="2018-01-04T00:00:00"/>
    <m/>
    <x v="26"/>
    <x v="4"/>
    <x v="2"/>
    <n v="0"/>
    <s v=""/>
    <s v=""/>
    <s v=""/>
    <s v=""/>
  </r>
  <r>
    <d v="2018-01-05T00:00:00"/>
    <m/>
    <x v="26"/>
    <x v="4"/>
    <x v="2"/>
    <n v="0"/>
    <s v=""/>
    <s v=""/>
    <s v=""/>
    <s v=""/>
  </r>
  <r>
    <d v="2018-01-06T00:00:00"/>
    <m/>
    <x v="26"/>
    <x v="4"/>
    <x v="2"/>
    <n v="0"/>
    <s v=""/>
    <s v=""/>
    <s v=""/>
    <s v=""/>
  </r>
  <r>
    <d v="2018-01-07T00:00:00"/>
    <m/>
    <x v="26"/>
    <x v="4"/>
    <x v="2"/>
    <n v="0"/>
    <s v=""/>
    <s v=""/>
    <s v=""/>
    <s v=""/>
  </r>
  <r>
    <d v="2018-01-08T00:00:00"/>
    <m/>
    <x v="26"/>
    <x v="4"/>
    <x v="2"/>
    <n v="0"/>
    <s v=""/>
    <s v=""/>
    <s v=""/>
    <s v=""/>
  </r>
  <r>
    <d v="2018-01-09T00:00:00"/>
    <m/>
    <x v="26"/>
    <x v="4"/>
    <x v="2"/>
    <n v="0"/>
    <s v=""/>
    <s v=""/>
    <s v=""/>
    <s v=""/>
  </r>
  <r>
    <d v="2018-01-10T00:00:00"/>
    <m/>
    <x v="26"/>
    <x v="4"/>
    <x v="2"/>
    <n v="0"/>
    <s v=""/>
    <s v=""/>
    <s v=""/>
    <s v=""/>
  </r>
  <r>
    <d v="2018-01-11T00:00:00"/>
    <m/>
    <x v="26"/>
    <x v="4"/>
    <x v="2"/>
    <n v="0"/>
    <s v=""/>
    <s v=""/>
    <s v=""/>
    <s v=""/>
  </r>
  <r>
    <d v="2018-01-12T00:00:00"/>
    <m/>
    <x v="26"/>
    <x v="4"/>
    <x v="2"/>
    <n v="0"/>
    <s v=""/>
    <s v=""/>
    <s v=""/>
    <s v=""/>
  </r>
  <r>
    <d v="2018-01-13T00:00:00"/>
    <m/>
    <x v="26"/>
    <x v="4"/>
    <x v="2"/>
    <n v="0"/>
    <s v=""/>
    <s v=""/>
    <s v=""/>
    <s v=""/>
  </r>
  <r>
    <d v="2018-01-14T00:00:00"/>
    <m/>
    <x v="26"/>
    <x v="4"/>
    <x v="2"/>
    <n v="0"/>
    <s v=""/>
    <s v=""/>
    <s v=""/>
    <s v=""/>
  </r>
  <r>
    <d v="2018-01-15T00:00:00"/>
    <m/>
    <x v="26"/>
    <x v="4"/>
    <x v="2"/>
    <n v="0"/>
    <s v=""/>
    <s v=""/>
    <s v=""/>
    <s v=""/>
  </r>
  <r>
    <d v="2018-01-16T00:00:00"/>
    <m/>
    <x v="26"/>
    <x v="4"/>
    <x v="2"/>
    <n v="0"/>
    <s v=""/>
    <s v=""/>
    <s v=""/>
    <s v=""/>
  </r>
  <r>
    <d v="2018-01-17T00:00:00"/>
    <m/>
    <x v="26"/>
    <x v="4"/>
    <x v="2"/>
    <n v="0"/>
    <s v=""/>
    <s v=""/>
    <s v=""/>
    <s v=""/>
  </r>
  <r>
    <d v="2018-01-18T00:00:00"/>
    <m/>
    <x v="26"/>
    <x v="4"/>
    <x v="2"/>
    <n v="0"/>
    <s v=""/>
    <s v=""/>
    <s v=""/>
    <s v=""/>
  </r>
  <r>
    <d v="2018-01-19T00:00:00"/>
    <m/>
    <x v="26"/>
    <x v="4"/>
    <x v="2"/>
    <n v="0"/>
    <s v=""/>
    <s v=""/>
    <s v=""/>
    <s v=""/>
  </r>
  <r>
    <d v="2018-01-20T00:00:00"/>
    <m/>
    <x v="26"/>
    <x v="4"/>
    <x v="2"/>
    <n v="0"/>
    <s v=""/>
    <s v=""/>
    <s v=""/>
    <s v=""/>
  </r>
  <r>
    <d v="2018-01-21T00:00:00"/>
    <m/>
    <x v="26"/>
    <x v="4"/>
    <x v="2"/>
    <n v="0"/>
    <s v=""/>
    <s v=""/>
    <s v=""/>
    <s v=""/>
  </r>
  <r>
    <d v="2018-01-22T00:00:00"/>
    <m/>
    <x v="26"/>
    <x v="4"/>
    <x v="2"/>
    <n v="0"/>
    <s v=""/>
    <s v=""/>
    <s v=""/>
    <s v=""/>
  </r>
  <r>
    <d v="2018-01-23T00:00:00"/>
    <m/>
    <x v="26"/>
    <x v="4"/>
    <x v="2"/>
    <n v="0"/>
    <s v=""/>
    <s v=""/>
    <s v=""/>
    <s v=""/>
  </r>
  <r>
    <d v="2018-01-24T00:00:00"/>
    <m/>
    <x v="26"/>
    <x v="4"/>
    <x v="2"/>
    <n v="0"/>
    <s v=""/>
    <s v=""/>
    <s v=""/>
    <s v=""/>
  </r>
  <r>
    <d v="2018-01-25T00:00:00"/>
    <m/>
    <x v="26"/>
    <x v="4"/>
    <x v="2"/>
    <n v="0"/>
    <s v=""/>
    <s v=""/>
    <s v=""/>
    <s v=""/>
  </r>
  <r>
    <d v="2018-01-26T00:00:00"/>
    <m/>
    <x v="26"/>
    <x v="4"/>
    <x v="2"/>
    <n v="0"/>
    <s v=""/>
    <s v=""/>
    <s v=""/>
    <s v=""/>
  </r>
  <r>
    <d v="2018-01-27T00:00:00"/>
    <m/>
    <x v="26"/>
    <x v="4"/>
    <x v="2"/>
    <n v="0"/>
    <s v=""/>
    <s v=""/>
    <s v=""/>
    <s v=""/>
  </r>
  <r>
    <d v="2018-01-28T00:00:00"/>
    <m/>
    <x v="26"/>
    <x v="4"/>
    <x v="2"/>
    <n v="0"/>
    <s v=""/>
    <s v=""/>
    <s v=""/>
    <s v=""/>
  </r>
  <r>
    <d v="2018-01-29T00:00:00"/>
    <m/>
    <x v="26"/>
    <x v="4"/>
    <x v="2"/>
    <n v="0"/>
    <s v=""/>
    <s v=""/>
    <s v=""/>
    <s v=""/>
  </r>
  <r>
    <d v="2018-01-30T00:00:00"/>
    <m/>
    <x v="26"/>
    <x v="4"/>
    <x v="2"/>
    <n v="0"/>
    <s v=""/>
    <s v=""/>
    <s v=""/>
    <s v=""/>
  </r>
  <r>
    <d v="2018-01-31T00:00:00"/>
    <m/>
    <x v="26"/>
    <x v="4"/>
    <x v="2"/>
    <n v="0"/>
    <s v=""/>
    <s v=""/>
    <s v=""/>
    <s v=""/>
  </r>
  <r>
    <d v="2018-02-01T00:00:00"/>
    <m/>
    <x v="26"/>
    <x v="4"/>
    <x v="2"/>
    <n v="0"/>
    <s v=""/>
    <s v=""/>
    <s v=""/>
    <s v=""/>
  </r>
  <r>
    <d v="2018-02-02T00:00:00"/>
    <m/>
    <x v="26"/>
    <x v="4"/>
    <x v="2"/>
    <n v="0"/>
    <s v=""/>
    <s v=""/>
    <s v=""/>
    <s v=""/>
  </r>
  <r>
    <d v="2018-02-03T00:00:00"/>
    <m/>
    <x v="26"/>
    <x v="4"/>
    <x v="2"/>
    <n v="0"/>
    <s v=""/>
    <s v=""/>
    <s v=""/>
    <s v=""/>
  </r>
  <r>
    <d v="2018-02-04T00:00:00"/>
    <m/>
    <x v="26"/>
    <x v="4"/>
    <x v="2"/>
    <n v="0"/>
    <s v=""/>
    <s v=""/>
    <s v=""/>
    <s v=""/>
  </r>
  <r>
    <d v="2018-02-05T00:00:00"/>
    <m/>
    <x v="26"/>
    <x v="4"/>
    <x v="2"/>
    <n v="0"/>
    <s v=""/>
    <s v=""/>
    <s v=""/>
    <s v=""/>
  </r>
  <r>
    <d v="2018-02-06T00:00:00"/>
    <m/>
    <x v="26"/>
    <x v="4"/>
    <x v="2"/>
    <n v="0"/>
    <s v=""/>
    <s v=""/>
    <s v=""/>
    <s v=""/>
  </r>
  <r>
    <d v="2018-02-07T00:00:00"/>
    <m/>
    <x v="26"/>
    <x v="4"/>
    <x v="2"/>
    <n v="0"/>
    <s v=""/>
    <s v=""/>
    <s v=""/>
    <s v=""/>
  </r>
  <r>
    <d v="2018-02-08T00:00:00"/>
    <m/>
    <x v="26"/>
    <x v="4"/>
    <x v="2"/>
    <n v="0"/>
    <s v=""/>
    <s v=""/>
    <s v=""/>
    <s v=""/>
  </r>
  <r>
    <d v="2018-02-09T00:00:00"/>
    <m/>
    <x v="26"/>
    <x v="4"/>
    <x v="2"/>
    <n v="0"/>
    <s v=""/>
    <s v=""/>
    <s v=""/>
    <s v=""/>
  </r>
  <r>
    <d v="2018-02-10T00:00:00"/>
    <m/>
    <x v="26"/>
    <x v="4"/>
    <x v="2"/>
    <n v="0"/>
    <s v=""/>
    <s v=""/>
    <s v=""/>
    <s v=""/>
  </r>
  <r>
    <d v="2018-02-11T00:00:00"/>
    <m/>
    <x v="26"/>
    <x v="4"/>
    <x v="2"/>
    <n v="0"/>
    <s v=""/>
    <s v=""/>
    <s v=""/>
    <s v=""/>
  </r>
  <r>
    <d v="2018-02-12T00:00:00"/>
    <m/>
    <x v="26"/>
    <x v="4"/>
    <x v="2"/>
    <n v="0"/>
    <s v=""/>
    <s v=""/>
    <s v=""/>
    <s v=""/>
  </r>
  <r>
    <d v="2018-02-13T00:00:00"/>
    <m/>
    <x v="26"/>
    <x v="4"/>
    <x v="2"/>
    <n v="0"/>
    <s v=""/>
    <s v=""/>
    <s v=""/>
    <s v=""/>
  </r>
  <r>
    <d v="2018-02-14T00:00:00"/>
    <m/>
    <x v="26"/>
    <x v="4"/>
    <x v="2"/>
    <n v="0"/>
    <s v=""/>
    <s v=""/>
    <s v=""/>
    <s v=""/>
  </r>
  <r>
    <d v="2018-02-15T00:00:00"/>
    <m/>
    <x v="26"/>
    <x v="4"/>
    <x v="2"/>
    <n v="0"/>
    <s v=""/>
    <s v=""/>
    <s v=""/>
    <s v=""/>
  </r>
  <r>
    <d v="2018-02-16T00:00:00"/>
    <m/>
    <x v="26"/>
    <x v="4"/>
    <x v="2"/>
    <n v="0"/>
    <s v=""/>
    <s v=""/>
    <s v=""/>
    <s v=""/>
  </r>
  <r>
    <d v="2018-02-17T00:00:00"/>
    <m/>
    <x v="26"/>
    <x v="4"/>
    <x v="2"/>
    <n v="0"/>
    <s v=""/>
    <s v=""/>
    <s v=""/>
    <s v=""/>
  </r>
  <r>
    <d v="2018-02-18T00:00:00"/>
    <m/>
    <x v="26"/>
    <x v="4"/>
    <x v="2"/>
    <n v="0"/>
    <s v=""/>
    <s v=""/>
    <s v=""/>
    <s v=""/>
  </r>
  <r>
    <d v="2018-02-19T00:00:00"/>
    <m/>
    <x v="26"/>
    <x v="4"/>
    <x v="2"/>
    <n v="0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8">
  <r>
    <d v="2018-01-13T00:32:36"/>
    <d v="2018-01-13T00:32:36"/>
    <s v="GS 43113/46"/>
    <x v="0"/>
    <n v="695856110"/>
    <n v="540000"/>
    <n v="500000"/>
    <n v="40000"/>
  </r>
  <r>
    <d v="2017-10-21T14:54:53"/>
    <d v="2017-10-21T14:54:54"/>
    <s v="GS 43029/45"/>
    <x v="0"/>
    <n v="695856110"/>
    <n v="540000"/>
    <n v="500000"/>
    <n v="40000"/>
  </r>
  <r>
    <d v="2017-10-20T17:00:47"/>
    <d v="2017-10-20T17:00:47"/>
    <s v="GS 43028/44"/>
    <x v="0"/>
    <n v="695856110"/>
    <n v="540000"/>
    <n v="500000"/>
    <n v="40000"/>
  </r>
  <r>
    <d v="2017-10-20T17:00:41"/>
    <d v="2017-10-20T17:00:41"/>
    <s v="GS 43028/43"/>
    <x v="0"/>
    <n v="695856110"/>
    <n v="540000"/>
    <n v="500000"/>
    <n v="40000"/>
  </r>
  <r>
    <d v="2017-10-20T17:00:34"/>
    <d v="2017-10-20T17:00:34"/>
    <s v="GS 43028/42"/>
    <x v="0"/>
    <n v="695856110"/>
    <n v="540000"/>
    <n v="500000"/>
    <n v="40000"/>
  </r>
  <r>
    <d v="2017-10-20T16:39:26"/>
    <d v="2017-10-20T16:39:26"/>
    <s v="GS 43028/41"/>
    <x v="0"/>
    <n v="695856110"/>
    <n v="540000"/>
    <n v="500000"/>
    <n v="40000"/>
  </r>
  <r>
    <d v="2017-10-07T22:58:43"/>
    <d v="2017-10-07T22:58:43"/>
    <s v="GS 43015/40"/>
    <x v="0"/>
    <n v="695856110"/>
    <n v="540000"/>
    <n v="500000"/>
    <n v="40000"/>
  </r>
  <r>
    <d v="2017-10-07T22:58:38"/>
    <d v="2017-10-07T22:58:38"/>
    <s v="GS 43015/39"/>
    <x v="0"/>
    <n v="695856110"/>
    <n v="540000"/>
    <n v="500000"/>
    <n v="40000"/>
  </r>
  <r>
    <d v="2017-10-07T22:58:33"/>
    <d v="2017-10-07T22:58:33"/>
    <s v="GS 43015/38"/>
    <x v="0"/>
    <n v="695856110"/>
    <n v="540000"/>
    <n v="500000"/>
    <n v="40000"/>
  </r>
  <r>
    <d v="2017-10-07T22:58:24"/>
    <d v="2017-10-07T22:58:24"/>
    <s v="GS 43015/37"/>
    <x v="0"/>
    <n v="695856110"/>
    <n v="540000"/>
    <n v="500000"/>
    <n v="40000"/>
  </r>
  <r>
    <d v="2017-10-07T22:58:17"/>
    <d v="2017-10-07T22:58:17"/>
    <s v="GS 43015/36"/>
    <x v="0"/>
    <n v="695856110"/>
    <n v="540000"/>
    <n v="500000"/>
    <n v="40000"/>
  </r>
  <r>
    <d v="2017-10-07T22:58:10"/>
    <d v="2017-10-07T22:58:10"/>
    <s v="GS 43015/35"/>
    <x v="0"/>
    <n v="695856110"/>
    <n v="540000"/>
    <n v="500000"/>
    <n v="40000"/>
  </r>
  <r>
    <d v="2017-10-07T22:58:01"/>
    <d v="2017-10-07T22:58:01"/>
    <s v="GS 43015/34"/>
    <x v="0"/>
    <n v="695856110"/>
    <n v="540000"/>
    <n v="500000"/>
    <n v="40000"/>
  </r>
  <r>
    <d v="2017-10-07T22:57:51"/>
    <d v="2017-10-07T22:57:51"/>
    <s v="GS 43015/33"/>
    <x v="0"/>
    <n v="695856110"/>
    <n v="540000"/>
    <n v="500000"/>
    <n v="40000"/>
  </r>
  <r>
    <d v="2017-10-07T22:57:13"/>
    <d v="2017-10-07T22:57:13"/>
    <s v="GS 43015/32"/>
    <x v="0"/>
    <n v="695856110"/>
    <n v="540000"/>
    <n v="500000"/>
    <n v="40000"/>
  </r>
  <r>
    <d v="2017-10-03T13:13:19"/>
    <d v="2017-10-03T13:13:19"/>
    <s v="GS 43011/31"/>
    <x v="0"/>
    <n v="695856110"/>
    <n v="1700000"/>
    <n v="500000"/>
    <n v="1200000"/>
  </r>
  <r>
    <d v="2017-10-03T11:46:36"/>
    <d v="2017-10-03T11:46:36"/>
    <s v="GS 43011/31"/>
    <x v="0"/>
    <n v="695856110"/>
    <n v="1700000"/>
    <n v="500000"/>
    <n v="1200000"/>
  </r>
  <r>
    <d v="2017-10-03T08:53:33"/>
    <d v="2017-10-03T08:53:33"/>
    <s v="GS 43011/30"/>
    <x v="0"/>
    <n v="695856110"/>
    <n v="1700000"/>
    <n v="500000"/>
    <n v="1200000"/>
  </r>
  <r>
    <d v="2017-10-03T08:53:26"/>
    <d v="2017-10-03T08:53:26"/>
    <s v="GS 43011/29"/>
    <x v="0"/>
    <n v="695856110"/>
    <n v="1700000"/>
    <n v="500000"/>
    <n v="1200000"/>
  </r>
  <r>
    <d v="2017-10-03T08:53:07"/>
    <d v="2017-10-03T08:53:08"/>
    <s v="GS 43011/28"/>
    <x v="0"/>
    <n v="695856110"/>
    <n v="1700000"/>
    <n v="500000"/>
    <n v="1200000"/>
  </r>
  <r>
    <d v="2017-10-03T08:52:02"/>
    <d v="2017-10-03T08:52:02"/>
    <s v="GS 43011/27"/>
    <x v="0"/>
    <n v="695856110"/>
    <n v="1700000"/>
    <n v="500000"/>
    <n v="1200000"/>
  </r>
  <r>
    <d v="2017-10-03T08:51:59"/>
    <d v="2017-10-03T08:51:59"/>
    <s v="GS 43011/27"/>
    <x v="0"/>
    <n v="695856110"/>
    <n v="1700000"/>
    <n v="500000"/>
    <n v="1200000"/>
  </r>
  <r>
    <d v="2017-10-02T08:01:37"/>
    <d v="2017-10-02T08:01:37"/>
    <s v="GS 43010/26"/>
    <x v="0"/>
    <n v="695856110"/>
    <n v="1700000"/>
    <n v="500000"/>
    <n v="1200000"/>
  </r>
  <r>
    <d v="2017-10-02T08:01:20"/>
    <d v="2017-10-02T08:01:21"/>
    <s v="GS 43010/25"/>
    <x v="0"/>
    <n v="695856110"/>
    <n v="1700000"/>
    <n v="500000"/>
    <n v="1200000"/>
  </r>
  <r>
    <d v="2017-10-02T07:59:12"/>
    <d v="2017-10-02T07:59:12"/>
    <s v="GS 43010/24"/>
    <x v="0"/>
    <n v="695856110"/>
    <n v="1700000"/>
    <n v="500000"/>
    <n v="1200000"/>
  </r>
  <r>
    <d v="2017-10-02T07:58:56"/>
    <d v="2017-10-02T07:58:56"/>
    <s v="GS 43010/23"/>
    <x v="0"/>
    <n v="695856110"/>
    <n v="1700000"/>
    <n v="500000"/>
    <n v="1200000"/>
  </r>
  <r>
    <d v="2017-10-02T07:58:54"/>
    <d v="2017-10-02T07:58:54"/>
    <s v="GS 43010/23"/>
    <x v="0"/>
    <n v="695856110"/>
    <n v="1700000"/>
    <n v="500000"/>
    <n v="1200000"/>
  </r>
  <r>
    <d v="2017-10-02T07:57:54"/>
    <d v="2017-10-02T07:57:54"/>
    <s v="GS 43010/22"/>
    <x v="0"/>
    <n v="695856110"/>
    <n v="1700000"/>
    <n v="500000"/>
    <n v="1200000"/>
  </r>
  <r>
    <d v="2017-10-02T07:57:43"/>
    <d v="2017-10-02T07:57:43"/>
    <s v="GS 43010/21"/>
    <x v="0"/>
    <n v="695856110"/>
    <n v="1700000"/>
    <n v="500000"/>
    <n v="1200000"/>
  </r>
  <r>
    <d v="2017-10-02T07:57:08"/>
    <d v="2017-10-02T07:57:08"/>
    <s v="GS 43010/20"/>
    <x v="0"/>
    <n v="695856110"/>
    <n v="1700000"/>
    <n v="500000"/>
    <n v="1200000"/>
  </r>
  <r>
    <d v="2017-10-02T07:57:06"/>
    <d v="2017-10-02T07:57:06"/>
    <s v="GS 43010/20"/>
    <x v="0"/>
    <n v="695856110"/>
    <n v="1700000"/>
    <n v="500000"/>
    <n v="1200000"/>
  </r>
  <r>
    <d v="2017-10-02T07:56:58"/>
    <d v="2017-10-02T07:56:58"/>
    <s v="GS 43010/20"/>
    <x v="0"/>
    <n v="695856110"/>
    <n v="1700000"/>
    <n v="500000"/>
    <n v="1200000"/>
  </r>
  <r>
    <d v="2017-10-02T07:42:29"/>
    <d v="2017-10-02T07:42:29"/>
    <s v="GS 43010/20"/>
    <x v="0"/>
    <n v="695856110"/>
    <n v="1700000"/>
    <n v="500000"/>
    <n v="1200000"/>
  </r>
  <r>
    <d v="2017-10-02T00:05:06"/>
    <d v="2017-10-02T00:05:06"/>
    <s v="GS 43010/20"/>
    <x v="0"/>
    <n v="695856110"/>
    <n v="1700000"/>
    <n v="500000"/>
    <n v="1200000"/>
  </r>
  <r>
    <d v="2017-10-02T00:05:02"/>
    <d v="2017-10-02T00:05:02"/>
    <s v="GS 43010/19"/>
    <x v="0"/>
    <n v="695856110"/>
    <n v="1700000"/>
    <n v="500000"/>
    <n v="1200000"/>
  </r>
  <r>
    <d v="2017-10-02T00:04:55"/>
    <d v="2017-10-02T00:04:55"/>
    <s v="GS 43010/18"/>
    <x v="0"/>
    <n v="695856110"/>
    <n v="1700000"/>
    <n v="500000"/>
    <n v="1200000"/>
  </r>
  <r>
    <d v="2017-10-02T00:03:15"/>
    <d v="2017-10-02T00:03:15"/>
    <s v="GS 43010/17"/>
    <x v="1"/>
    <n v="695856110"/>
    <n v="270000"/>
    <n v="100000"/>
    <n v="170000"/>
  </r>
  <r>
    <d v="2017-10-02T00:03:14"/>
    <d v="2017-10-02T00:03:14"/>
    <s v="GS 43010/17"/>
    <x v="1"/>
    <n v="695856110"/>
    <n v="270000"/>
    <n v="100000"/>
    <n v="170000"/>
  </r>
  <r>
    <d v="2017-10-02T00:03:03"/>
    <d v="2017-10-02T00:03:03"/>
    <s v="GS 43010/17"/>
    <x v="1"/>
    <n v="695856110"/>
    <n v="270000"/>
    <n v="100000"/>
    <n v="170000"/>
  </r>
  <r>
    <d v="2017-10-02T00:00:47"/>
    <d v="2017-10-02T00:00:47"/>
    <s v="GS 43010/16"/>
    <x v="1"/>
    <n v="695856110"/>
    <n v="270000"/>
    <n v="100000"/>
    <n v="170000"/>
  </r>
  <r>
    <d v="2017-10-01T23:56:27"/>
    <d v="2017-10-01T23:57:33"/>
    <s v="GS 43009/15"/>
    <x v="1"/>
    <n v="695856110"/>
    <n v="270000"/>
    <n v="100000"/>
    <n v="170000"/>
  </r>
  <r>
    <d v="2017-09-30T13:44:44"/>
    <d v="2017-09-30T13:44:44"/>
    <s v="GS 43008/13"/>
    <x v="1"/>
    <n v="678908599"/>
    <n v="270000"/>
    <n v="100000"/>
    <n v="170000"/>
  </r>
  <r>
    <d v="2017-09-30T13:44:43"/>
    <d v="2017-09-30T13:44:43"/>
    <s v="GS 43008/13"/>
    <x v="1"/>
    <n v="678908599"/>
    <n v="270000"/>
    <n v="100000"/>
    <n v="170000"/>
  </r>
  <r>
    <d v="2017-09-30T13:44:41"/>
    <d v="2017-09-30T13:44:41"/>
    <s v="GS 43008/13"/>
    <x v="1"/>
    <n v="678908599"/>
    <n v="270000"/>
    <n v="100000"/>
    <n v="170000"/>
  </r>
  <r>
    <d v="2017-09-30T13:44:40"/>
    <d v="2017-09-30T13:44:40"/>
    <s v="GS 43008/13"/>
    <x v="1"/>
    <n v="678908599"/>
    <n v="270000"/>
    <n v="100000"/>
    <n v="170000"/>
  </r>
  <r>
    <d v="2017-09-30T13:44:38"/>
    <d v="2017-09-30T13:44:38"/>
    <s v="GS 43008/13"/>
    <x v="1"/>
    <n v="678908599"/>
    <n v="270000"/>
    <n v="100000"/>
    <n v="170000"/>
  </r>
  <r>
    <d v="2017-09-30T13:44:36"/>
    <d v="2017-09-30T13:44:37"/>
    <s v="GS 43008/13"/>
    <x v="1"/>
    <n v="678908599"/>
    <n v="270000"/>
    <n v="100000"/>
    <n v="170000"/>
  </r>
  <r>
    <d v="2017-09-30T13:44:34"/>
    <d v="2017-09-30T13:44:34"/>
    <s v="GS 43008/13"/>
    <x v="1"/>
    <n v="678908599"/>
    <n v="270000"/>
    <n v="100000"/>
    <n v="170000"/>
  </r>
  <r>
    <d v="2017-09-30T13:43:22"/>
    <d v="2017-09-30T13:43:22"/>
    <s v="GS 43008/12"/>
    <x v="0"/>
    <n v="678908599"/>
    <n v="650000"/>
    <n v="100000"/>
    <n v="550000"/>
  </r>
  <r>
    <d v="2017-09-30T13:43:18"/>
    <d v="2017-09-30T13:43:19"/>
    <s v="GS 43008/11"/>
    <x v="0"/>
    <n v="678908599"/>
    <n v="650000"/>
    <n v="100000"/>
    <n v="550000"/>
  </r>
  <r>
    <d v="2017-09-30T13:43:14"/>
    <d v="2017-09-30T13:43:14"/>
    <s v="GS 43008/10"/>
    <x v="0"/>
    <n v="678908599"/>
    <n v="650000"/>
    <n v="100000"/>
    <n v="550000"/>
  </r>
  <r>
    <d v="2017-09-30T13:43:09"/>
    <d v="2017-09-30T13:43:09"/>
    <s v="GS 43008/9"/>
    <x v="0"/>
    <n v="678908599"/>
    <n v="650000"/>
    <n v="100000"/>
    <n v="550000"/>
  </r>
  <r>
    <d v="2017-09-30T13:43:07"/>
    <d v="2017-09-30T13:43:07"/>
    <s v="GS 43008/9"/>
    <x v="0"/>
    <n v="678908599"/>
    <n v="650000"/>
    <n v="100000"/>
    <n v="550000"/>
  </r>
  <r>
    <d v="2017-09-30T13:42:01"/>
    <d v="2017-09-30T13:42:01"/>
    <s v="GS 43008/9"/>
    <x v="2"/>
    <n v="678908599"/>
    <n v="970000"/>
    <n v="100000"/>
    <n v="870000"/>
  </r>
  <r>
    <d v="2017-09-30T13:41:59"/>
    <d v="2017-09-30T13:41:59"/>
    <s v="GS 43008/9"/>
    <x v="2"/>
    <n v="678908599"/>
    <n v="970000"/>
    <n v="100000"/>
    <n v="870000"/>
  </r>
  <r>
    <d v="2017-09-30T13:41:57"/>
    <d v="2017-09-30T13:41:57"/>
    <s v="GS 43008/9"/>
    <x v="2"/>
    <n v="678908599"/>
    <n v="970000"/>
    <n v="100000"/>
    <n v="870000"/>
  </r>
  <r>
    <d v="2017-09-30T13:41:55"/>
    <d v="2017-09-30T13:41:56"/>
    <s v="GS 43008/9"/>
    <x v="2"/>
    <n v="678908599"/>
    <n v="970000"/>
    <n v="100000"/>
    <n v="870000"/>
  </r>
  <r>
    <d v="2017-09-30T13:41:54"/>
    <d v="2017-09-30T13:41:54"/>
    <s v="GS 43008/9"/>
    <x v="2"/>
    <n v="678908599"/>
    <n v="970000"/>
    <n v="100000"/>
    <n v="870000"/>
  </r>
  <r>
    <d v="2017-09-30T13:40:42"/>
    <d v="2017-09-30T13:40:42"/>
    <s v="GS 43008/9"/>
    <x v="3"/>
    <n v="678908599"/>
    <n v="213500"/>
    <n v="100000"/>
    <n v="113500"/>
  </r>
  <r>
    <d v="2017-09-30T13:40:40"/>
    <d v="2017-09-30T13:40:40"/>
    <s v="GS 43008/9"/>
    <x v="3"/>
    <n v="678908599"/>
    <n v="213500"/>
    <n v="100000"/>
    <n v="113500"/>
  </r>
  <r>
    <d v="2017-09-30T13:40:38"/>
    <d v="2017-09-30T13:40:38"/>
    <s v="GS 43008/9"/>
    <x v="3"/>
    <n v="678908599"/>
    <n v="213500"/>
    <n v="100000"/>
    <n v="113500"/>
  </r>
  <r>
    <d v="2017-09-30T13:40:36"/>
    <d v="2017-09-30T13:40:36"/>
    <s v="GS 43008/9"/>
    <x v="3"/>
    <n v="678908599"/>
    <n v="213500"/>
    <n v="100000"/>
    <n v="113500"/>
  </r>
  <r>
    <d v="2017-09-30T13:40:34"/>
    <d v="2017-09-30T13:40:34"/>
    <s v="GS 43008/9"/>
    <x v="3"/>
    <n v="678908599"/>
    <n v="213500"/>
    <n v="100000"/>
    <n v="113500"/>
  </r>
  <r>
    <d v="2017-09-30T13:39:18"/>
    <d v="2017-09-30T13:39:18"/>
    <s v="GS 43008/9"/>
    <x v="2"/>
    <n v="678908599"/>
    <n v="73000"/>
    <n v="500000"/>
    <n v="-427000"/>
  </r>
  <r>
    <d v="2017-09-30T13:38:57"/>
    <d v="2017-09-30T13:38:57"/>
    <s v="GS 43008/8"/>
    <x v="2"/>
    <n v="678908599"/>
    <n v="73000"/>
    <n v="500000"/>
    <n v="-427000"/>
  </r>
  <r>
    <d v="2017-09-30T13:38:53"/>
    <d v="2017-09-30T13:38:53"/>
    <s v="GS 43008/7"/>
    <x v="2"/>
    <n v="678908599"/>
    <n v="73000"/>
    <n v="500000"/>
    <n v="-427000"/>
  </r>
  <r>
    <d v="2017-09-30T13:38:49"/>
    <d v="2017-09-30T13:38:50"/>
    <s v="GS 43008/6"/>
    <x v="2"/>
    <n v="678908599"/>
    <n v="73000"/>
    <n v="500000"/>
    <n v="-427000"/>
  </r>
  <r>
    <d v="2017-09-30T13:38:46"/>
    <d v="2017-09-30T13:38:46"/>
    <s v="GS 43008/5"/>
    <x v="2"/>
    <n v="678908599"/>
    <n v="73000"/>
    <n v="500000"/>
    <n v="-427000"/>
  </r>
  <r>
    <d v="2017-09-30T13:38:42"/>
    <d v="2017-09-30T13:38:42"/>
    <s v="GS 43008/4"/>
    <x v="2"/>
    <n v="678908599"/>
    <n v="73000"/>
    <n v="500000"/>
    <n v="-427000"/>
  </r>
  <r>
    <d v="2017-09-30T13:38:38"/>
    <d v="2017-09-30T13:38:38"/>
    <s v="GS 43008/3"/>
    <x v="2"/>
    <n v="678908599"/>
    <n v="73000"/>
    <n v="500000"/>
    <n v="-427000"/>
  </r>
  <r>
    <d v="2017-09-30T13:37:12"/>
    <d v="2017-09-30T13:37:12"/>
    <s v="GS 43008/2"/>
    <x v="4"/>
    <n v="678908599"/>
    <n v="920500"/>
    <n v="500000"/>
    <n v="420500"/>
  </r>
  <r>
    <d v="2017-09-30T13:37:11"/>
    <d v="2017-09-30T13:37:11"/>
    <s v="GS 43008/2"/>
    <x v="4"/>
    <n v="678908599"/>
    <n v="920500"/>
    <n v="500000"/>
    <n v="420500"/>
  </r>
  <r>
    <d v="2017-09-30T13:37:09"/>
    <d v="2017-09-30T13:37:09"/>
    <s v="GS 43008/2"/>
    <x v="4"/>
    <n v="678908599"/>
    <n v="920500"/>
    <n v="500000"/>
    <n v="420500"/>
  </r>
  <r>
    <d v="2017-09-30T13:37:08"/>
    <d v="2017-09-30T13:37:08"/>
    <s v="GS 43008/2"/>
    <x v="4"/>
    <n v="678908599"/>
    <n v="920500"/>
    <n v="500000"/>
    <n v="420500"/>
  </r>
  <r>
    <d v="2017-09-30T13:37:07"/>
    <d v="2017-09-30T13:37:07"/>
    <s v="GS 43008/2"/>
    <x v="4"/>
    <n v="678908599"/>
    <n v="920500"/>
    <n v="500000"/>
    <n v="420500"/>
  </r>
  <r>
    <d v="2017-09-30T13:36:19"/>
    <d v="2017-09-30T13:36:19"/>
    <s v="GS 43008/2"/>
    <x v="4"/>
    <n v="678908599"/>
    <n v="920500"/>
    <n v="500000"/>
    <n v="420500"/>
  </r>
  <r>
    <d v="2017-09-30T13:35:03"/>
    <d v="2017-09-30T13:35:03"/>
    <s v="GS 43008/1"/>
    <x v="4"/>
    <n v="678908599"/>
    <n v="920500"/>
    <n v="1500000"/>
    <n v="-579500"/>
  </r>
  <r>
    <m/>
    <m/>
    <m/>
    <x v="5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O3:Q10" firstHeaderRow="1" firstDataRow="2" firstDataCol="1"/>
  <pivotFields count="10">
    <pivotField numFmtId="14" showAll="0"/>
    <pivotField showAll="0"/>
    <pivotField showAll="0"/>
    <pivotField axis="axisRow" showAll="0" sortType="descending">
      <items count="6">
        <item x="3"/>
        <item x="1"/>
        <item x="2"/>
        <item x="0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6" showAll="0"/>
    <pivotField numFmtId="166" showAll="0"/>
    <pivotField numFmtId="164" showAll="0"/>
    <pivotField dataField="1" numFmtId="164" showAll="0"/>
    <pivotField numFmtId="164" showAll="0"/>
  </pivotFields>
  <rowFields count="1">
    <field x="3"/>
  </rowFields>
  <rowItems count="6">
    <i>
      <x v="1"/>
    </i>
    <i>
      <x v="3"/>
    </i>
    <i>
      <x v="2"/>
    </i>
    <i>
      <x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8" baseField="0" baseItem="0"/>
    <dataField name="Somme de MONTANT2" fld="8" showDataAs="percentOfTotal" baseField="0" baseItem="0" numFmtId="1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K3:M17" firstHeaderRow="1" firstDataRow="2" firstDataCol="1"/>
  <pivotFields count="10">
    <pivotField numFmtId="14" showAll="0"/>
    <pivotField showAll="0"/>
    <pivotField axis="axisRow" showAll="0" sortType="descending">
      <items count="33">
        <item m="1" x="30"/>
        <item x="0"/>
        <item x="1"/>
        <item m="1" x="27"/>
        <item x="4"/>
        <item x="10"/>
        <item x="2"/>
        <item x="3"/>
        <item m="1" x="29"/>
        <item x="8"/>
        <item x="5"/>
        <item x="6"/>
        <item x="22"/>
        <item x="23"/>
        <item x="11"/>
        <item x="12"/>
        <item x="7"/>
        <item x="18"/>
        <item x="9"/>
        <item x="17"/>
        <item x="16"/>
        <item x="19"/>
        <item x="20"/>
        <item x="24"/>
        <item x="13"/>
        <item x="15"/>
        <item x="21"/>
        <item x="14"/>
        <item m="1" x="28"/>
        <item x="26"/>
        <item m="1" x="31"/>
        <item x="25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4" count="1" selected="0">
              <x v="0"/>
            </reference>
          </references>
        </pivotArea>
      </autoSortScope>
    </pivotField>
    <pivotField showAll="0"/>
    <pivotField axis="axisCol" showAll="0">
      <items count="4">
        <item x="1"/>
        <item h="1" x="0"/>
        <item h="1" x="2"/>
        <item t="default"/>
      </items>
    </pivotField>
    <pivotField numFmtId="166" showAll="0"/>
    <pivotField numFmtId="166" showAll="0"/>
    <pivotField numFmtId="164" showAll="0"/>
    <pivotField dataField="1" numFmtId="164" showAll="0"/>
    <pivotField numFmtId="164" showAll="0"/>
  </pivotFields>
  <rowFields count="1">
    <field x="2"/>
  </rowFields>
  <rowItems count="13">
    <i>
      <x v="13"/>
    </i>
    <i>
      <x v="22"/>
    </i>
    <i>
      <x v="26"/>
    </i>
    <i>
      <x v="23"/>
    </i>
    <i>
      <x v="14"/>
    </i>
    <i>
      <x v="19"/>
    </i>
    <i>
      <x v="6"/>
    </i>
    <i>
      <x v="21"/>
    </i>
    <i>
      <x v="17"/>
    </i>
    <i>
      <x v="12"/>
    </i>
    <i>
      <x v="10"/>
    </i>
    <i>
      <x v="4"/>
    </i>
    <i t="grand">
      <x/>
    </i>
  </rowItems>
  <colFields count="1">
    <field x="4"/>
  </colFields>
  <colItems count="2">
    <i>
      <x/>
    </i>
    <i t="grand">
      <x/>
    </i>
  </colItems>
  <dataFields count="1">
    <dataField name="Somme de MONTANT" fld="8" baseField="0" baseItem="0" numFmtId="169"/>
  </dataFields>
  <formats count="5">
    <format dxfId="30">
      <pivotArea outline="0" collapsedLevelsAreSubtotals="1" fieldPosition="0"/>
    </format>
    <format dxfId="29">
      <pivotArea field="4" type="button" dataOnly="0" labelOnly="1" outline="0" axis="axisCol" fieldPosition="0"/>
    </format>
    <format dxfId="28">
      <pivotArea type="topRight" dataOnly="0" labelOnly="1" outline="0" fieldPosition="0"/>
    </format>
    <format dxfId="27">
      <pivotArea dataOnly="0" labelOnly="1" fieldPosition="0">
        <references count="1">
          <reference field="4" count="0"/>
        </references>
      </pivotArea>
    </format>
    <format dxfId="26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3:E7" firstHeaderRow="1" firstDataRow="1" firstDataCol="1"/>
  <pivotFields count="10">
    <pivotField numFmtId="14"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numFmtId="166" showAll="0"/>
    <pivotField numFmtId="166" showAll="0"/>
    <pivotField numFmtId="164" showAll="0"/>
    <pivotField dataField="1" numFmtId="164" showAll="0"/>
    <pivotField numFmtId="164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" fld="8" baseField="0" baseItem="0" numFmtId="169"/>
  </dataFields>
  <formats count="2">
    <format dxfId="32">
      <pivotArea outline="0" collapsedLevelsAreSubtotals="1" fieldPosition="0"/>
    </format>
    <format dxfId="31">
      <pivotArea dataOnly="0" labelOnly="1" outline="0" axis="axisValues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A3:AE32" firstHeaderRow="1" firstDataRow="2" firstDataCol="1"/>
  <pivotFields count="10">
    <pivotField numFmtId="14" showAll="0"/>
    <pivotField showAll="0"/>
    <pivotField axis="axisRow" showAll="0">
      <items count="33">
        <item m="1" x="30"/>
        <item x="0"/>
        <item x="1"/>
        <item m="1" x="27"/>
        <item x="4"/>
        <item x="10"/>
        <item x="2"/>
        <item x="3"/>
        <item m="1" x="29"/>
        <item x="8"/>
        <item x="5"/>
        <item x="6"/>
        <item x="22"/>
        <item x="23"/>
        <item x="11"/>
        <item x="12"/>
        <item x="7"/>
        <item x="18"/>
        <item x="9"/>
        <item x="17"/>
        <item x="16"/>
        <item x="19"/>
        <item x="20"/>
        <item x="24"/>
        <item x="13"/>
        <item x="15"/>
        <item x="21"/>
        <item x="14"/>
        <item m="1" x="28"/>
        <item x="26"/>
        <item m="1" x="31"/>
        <item x="25"/>
        <item t="default"/>
      </items>
    </pivotField>
    <pivotField showAll="0"/>
    <pivotField axis="axisCol" showAll="0">
      <items count="4">
        <item x="1"/>
        <item x="0"/>
        <item x="2"/>
        <item t="default"/>
      </items>
    </pivotField>
    <pivotField dataField="1" numFmtId="166" showAll="0"/>
    <pivotField numFmtId="166" showAll="0"/>
    <pivotField numFmtId="164" showAll="0"/>
    <pivotField numFmtId="164" showAll="0"/>
    <pivotField numFmtId="164" showAll="0"/>
  </pivotFields>
  <rowFields count="1">
    <field x="2"/>
  </rowFields>
  <rowItems count="28">
    <i>
      <x v="1"/>
    </i>
    <i>
      <x v="2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9"/>
    </i>
    <i>
      <x v="31"/>
    </i>
    <i t="grand">
      <x/>
    </i>
  </rowItems>
  <colFields count="1">
    <field x="4"/>
  </colFields>
  <colItems count="4">
    <i>
      <x/>
    </i>
    <i>
      <x v="1"/>
    </i>
    <i>
      <x v="2"/>
    </i>
    <i t="grand">
      <x/>
    </i>
  </colItems>
  <dataFields count="1">
    <dataField name="Somme de QTE" fld="5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W3:Y10" firstHeaderRow="1" firstDataRow="2" firstDataCol="1"/>
  <pivotFields count="8">
    <pivotField showAll="0"/>
    <pivotField showAll="0"/>
    <pivotField showAll="0"/>
    <pivotField axis="axisRow" showAll="0" sortType="descending">
      <items count="10">
        <item x="1"/>
        <item h="1" m="1" x="7"/>
        <item x="0"/>
        <item h="1" m="1" x="8"/>
        <item h="1" m="1" x="6"/>
        <item h="1" x="5"/>
        <item x="4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dataField="1" showAll="0"/>
    <pivotField showAll="0"/>
    <pivotField dataField="1" showAll="0"/>
  </pivotFields>
  <rowFields count="1">
    <field x="3"/>
  </rowFields>
  <rowItems count="6">
    <i>
      <x v="2"/>
    </i>
    <i>
      <x v="6"/>
    </i>
    <i>
      <x v="7"/>
    </i>
    <i>
      <x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FACTURE" fld="5" baseField="0" baseItem="0"/>
    <dataField name="Somme de SOLDE" fld="7" baseField="0" baseItem="0"/>
  </dataFields>
  <formats count="4">
    <format dxfId="36">
      <pivotArea outline="0" collapsedLevelsAreSubtotals="1" fieldPosition="0"/>
    </format>
    <format dxfId="35">
      <pivotArea field="-2" type="button" dataOnly="0" labelOnly="1" outline="0" axis="axisCol" fieldPosition="0"/>
    </format>
    <format dxfId="34">
      <pivotArea type="topRight" dataOnly="0" labelOnly="1" outline="0" fieldPosition="0"/>
    </format>
    <format dxfId="3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S3:U20" firstHeaderRow="1" firstDataRow="1" firstDataCol="0"/>
  <pivotFields count="10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3:I22" firstHeaderRow="1" firstDataRow="2" firstDataCol="1"/>
  <pivotFields count="10">
    <pivotField numFmtId="14" showAll="0"/>
    <pivotField showAll="0"/>
    <pivotField axis="axisRow" showAll="0" sortType="descending">
      <items count="33">
        <item m="1" x="30"/>
        <item x="0"/>
        <item x="1"/>
        <item m="1" x="27"/>
        <item x="4"/>
        <item x="10"/>
        <item x="2"/>
        <item x="3"/>
        <item m="1" x="29"/>
        <item x="8"/>
        <item x="5"/>
        <item x="6"/>
        <item x="22"/>
        <item x="23"/>
        <item x="11"/>
        <item x="12"/>
        <item x="7"/>
        <item x="18"/>
        <item x="9"/>
        <item x="17"/>
        <item x="16"/>
        <item x="19"/>
        <item x="20"/>
        <item x="24"/>
        <item x="13"/>
        <item x="15"/>
        <item x="21"/>
        <item x="14"/>
        <item m="1" x="28"/>
        <item x="26"/>
        <item m="1" x="31"/>
        <item x="25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4" count="1" selected="0">
              <x v="1"/>
            </reference>
          </references>
        </pivotArea>
      </autoSortScope>
    </pivotField>
    <pivotField showAll="0"/>
    <pivotField axis="axisCol" showAll="0">
      <items count="4">
        <item h="1" x="1"/>
        <item x="0"/>
        <item h="1" x="2"/>
        <item t="default"/>
      </items>
    </pivotField>
    <pivotField numFmtId="166" showAll="0"/>
    <pivotField numFmtId="166" showAll="0"/>
    <pivotField numFmtId="164" showAll="0"/>
    <pivotField dataField="1" numFmtId="164" showAll="0"/>
    <pivotField numFmtId="164" showAll="0"/>
  </pivotFields>
  <rowFields count="1">
    <field x="2"/>
  </rowFields>
  <rowItems count="18">
    <i>
      <x v="4"/>
    </i>
    <i>
      <x v="10"/>
    </i>
    <i>
      <x v="9"/>
    </i>
    <i>
      <x v="1"/>
    </i>
    <i>
      <x v="20"/>
    </i>
    <i>
      <x v="18"/>
    </i>
    <i>
      <x v="6"/>
    </i>
    <i>
      <x v="31"/>
    </i>
    <i>
      <x v="15"/>
    </i>
    <i>
      <x v="25"/>
    </i>
    <i>
      <x v="2"/>
    </i>
    <i>
      <x v="24"/>
    </i>
    <i>
      <x v="11"/>
    </i>
    <i>
      <x v="7"/>
    </i>
    <i>
      <x v="5"/>
    </i>
    <i>
      <x v="16"/>
    </i>
    <i>
      <x v="27"/>
    </i>
    <i t="grand">
      <x/>
    </i>
  </rowItems>
  <colFields count="1">
    <field x="4"/>
  </colFields>
  <colItems count="2">
    <i>
      <x v="1"/>
    </i>
    <i t="grand">
      <x/>
    </i>
  </colItems>
  <dataFields count="1">
    <dataField name="Somme de MONTANT" fld="8" baseField="0" baseItem="0"/>
  </dataFields>
  <formats count="6">
    <format dxfId="42">
      <pivotArea outline="0" collapsedLevelsAreSubtotals="1" fieldPosition="0">
        <references count="1">
          <reference field="4" count="0" selected="0"/>
        </references>
      </pivotArea>
    </format>
    <format dxfId="41">
      <pivotArea field="4" type="button" dataOnly="0" labelOnly="1" outline="0" axis="axisCol" fieldPosition="0"/>
    </format>
    <format dxfId="40">
      <pivotArea dataOnly="0" labelOnly="1" fieldPosition="0">
        <references count="1">
          <reference field="4" count="0"/>
        </references>
      </pivotArea>
    </format>
    <format dxfId="39">
      <pivotArea grandCol="1" outline="0" collapsedLevelsAreSubtotals="1" fieldPosition="0"/>
    </format>
    <format dxfId="38">
      <pivotArea type="topRight" dataOnly="0" labelOnly="1" outline="0" fieldPosition="0"/>
    </format>
    <format dxfId="37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7" firstHeaderRow="1" firstDataRow="1" firstDataCol="1"/>
  <pivotFields count="10">
    <pivotField numFmtId="14"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dataField="1" numFmtId="166" showAll="0"/>
    <pivotField numFmtId="166" showAll="0"/>
    <pivotField numFmtId="164" showAll="0"/>
    <pivotField numFmtId="164" showAll="0"/>
    <pivotField numFmtId="164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E" fld="5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produits" displayName="Tproduits" ref="A1:E108" totalsRowShown="0" tableBorderDxfId="52">
  <autoFilter ref="A1:E108">
    <filterColumn colId="4"/>
  </autoFilter>
  <tableColumns count="5">
    <tableColumn id="1" name="PRODUCTS" dataDxfId="51"/>
    <tableColumn id="2" name="STOCK" dataDxfId="50"/>
    <tableColumn id="3" name="STOCK MINIMUM" dataDxfId="49"/>
    <tableColumn id="4" name="COST PRICE" dataDxfId="48"/>
    <tableColumn id="5" name="SEGMENTATION" dataDxfId="4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categorie" displayName="Tcategorie" ref="G1:G3" totalsRowShown="0" headerRowDxfId="46" headerRowBorderDxfId="45" tableBorderDxfId="44" totalsRowBorderDxfId="43">
  <autoFilter ref="G1:G3"/>
  <tableColumns count="1">
    <tableColumn id="1" name="CATEGORI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4" name="Tclients" displayName="Tclients" ref="I1:I12" totalsRowShown="0">
  <autoFilter ref="I1:I12"/>
  <tableColumns count="1">
    <tableColumn id="1" name="Clients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1" name="Tsuivistock" displayName="Tsuivistock" ref="A1:J163" totalsRowShown="0" headerRowDxfId="22" dataDxfId="21">
  <tableColumns count="10">
    <tableColumn id="1" name="DATE" dataDxfId="20"/>
    <tableColumn id="8" name="CLIENTS" dataDxfId="19"/>
    <tableColumn id="2" name="PRODUCTS" dataDxfId="18"/>
    <tableColumn id="12" name="CATEGORIE" dataDxfId="17">
      <calculatedColumnFormula>IFERROR(VLOOKUP(Tsuivistock[[#This Row],[PRODUCTS]],LISTES!$A$2:$E$107,5,0),"")</calculatedColumnFormula>
    </tableColumn>
    <tableColumn id="3" name="MVT" dataDxfId="16"/>
    <tableColumn id="4" name="QTE" dataDxfId="15" dataCellStyle="Milliers">
      <calculatedColumnFormula>IF(Tsuivistock[[#This Row],[SOLDE]]&lt;FACTURIER!C$20:C20,"",FACTURIER!C19:C$20)</calculatedColumnFormula>
    </tableColumn>
    <tableColumn id="11" name="PRIX ACHAT" dataDxfId="14" dataCellStyle="Milliers">
      <calculatedColumnFormula>VLOOKUP(Tsuivistock[[#This Row],[PRODUCTS]],Tproduits[#All],4,0)</calculatedColumnFormula>
    </tableColumn>
    <tableColumn id="10" name="P.V" dataDxfId="13">
      <calculatedColumnFormula>IFERROR(VLOOKUP(Tsuivistock[[#This Row],[PRODUCTS]],LISTES!A1:D107,4,0),"")</calculatedColumnFormula>
    </tableColumn>
    <tableColumn id="9" name="MONTANT" dataDxfId="12">
      <calculatedColumnFormula>IFERROR(Tsuivistock[[#This Row],[QTE]]*Tsuivistock[[#This Row],[P.V]],"")</calculatedColumnFormula>
    </tableColumn>
    <tableColumn id="5" name="SOLDE" dataDxfId="11">
      <calculatedColumnFormula>IF(IFERROR(VLOOKUP(Tsuivistock[[#This Row],[PRODUCTS]],Tproduits[],2,0)+ SUMIFS(F$2:F2,C$2:C2,[PRODUCTS],E$2:E2, "Entree")- SUMIFS(F$2:F2,C$2:C2,[PRODUCTS],E$2:E2,"Sortie"),"")&lt;=0,"STOCK EPUISE",IFERROR(VLOOKUP(Tsuivistock[[#This Row],[PRODUCTS]],Tproduits[],2,0)+ SUMIFS(F$2:F2,C$2:C2,[PRODUCTS],E$2:E2, "Entree")- SUMIFS(F$2:F2,C$2:C2,[PRODUCTS],E$2:E2,"Sortie"),""))</calculatedColumnFormula>
    </tableColumn>
  </tableColumns>
  <tableStyleInfo name="TableStyleDark2" showFirstColumn="0" showLastColumn="0" showRowStripes="1" showColumnStripes="0"/>
</table>
</file>

<file path=xl/tables/table5.xml><?xml version="1.0" encoding="utf-8"?>
<table xmlns="http://schemas.openxmlformats.org/spreadsheetml/2006/main" id="8" name="Tsuividesventes" displayName="Tsuividesventes" ref="A1:H79" totalsRowShown="0" headerRowDxfId="9" dataDxfId="8">
  <autoFilter ref="A1:H79">
    <filterColumn colId="1"/>
    <filterColumn colId="6"/>
  </autoFilter>
  <tableColumns count="8">
    <tableColumn id="1" name="DATE" dataDxfId="7"/>
    <tableColumn id="8" name="HEURE" dataDxfId="6"/>
    <tableColumn id="2" name="N° FACTURE" dataDxfId="5"/>
    <tableColumn id="3" name="NOM CLIENT" dataDxfId="4"/>
    <tableColumn id="4" name="TELEPHONE" dataDxfId="3"/>
    <tableColumn id="5" name="TOTAL FACTURE" dataDxfId="2"/>
    <tableColumn id="7" name="AVANCE" dataDxfId="1"/>
    <tableColumn id="6" name="SOL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judithgael@gmail.com" TargetMode="Externa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A1:L87"/>
  <sheetViews>
    <sheetView showGridLines="0" zoomScaleNormal="100" workbookViewId="0">
      <selection activeCell="J3" sqref="J3"/>
    </sheetView>
  </sheetViews>
  <sheetFormatPr baseColWidth="10" defaultRowHeight="16.5"/>
  <cols>
    <col min="1" max="1" width="20.42578125" style="52" customWidth="1"/>
    <col min="2" max="2" width="18.85546875" style="53" customWidth="1"/>
    <col min="3" max="3" width="17.85546875" style="52" customWidth="1"/>
    <col min="4" max="4" width="2.85546875" style="27" customWidth="1"/>
    <col min="5" max="5" width="1.28515625" style="27" hidden="1" customWidth="1"/>
    <col min="6" max="6" width="21" style="27" customWidth="1"/>
    <col min="7" max="7" width="20.42578125" style="27" customWidth="1"/>
    <col min="8" max="8" width="1" style="27" customWidth="1"/>
    <col min="9" max="9" width="19.85546875" style="27" customWidth="1"/>
    <col min="10" max="10" width="19.7109375" style="27" customWidth="1"/>
    <col min="11" max="16384" width="11.42578125" style="27"/>
  </cols>
  <sheetData>
    <row r="1" spans="1:12" s="30" customFormat="1" ht="33">
      <c r="A1" s="208" t="s">
        <v>207</v>
      </c>
      <c r="B1" s="209"/>
      <c r="C1" s="210"/>
      <c r="D1" s="166">
        <v>32</v>
      </c>
      <c r="E1" s="56"/>
      <c r="F1" s="56"/>
      <c r="G1" s="56"/>
      <c r="H1" s="56"/>
      <c r="I1" s="56"/>
      <c r="J1" s="56"/>
      <c r="K1" s="31"/>
      <c r="L1" s="31"/>
    </row>
    <row r="2" spans="1:12" s="29" customFormat="1" ht="21.75" customHeight="1" thickBot="1">
      <c r="A2" s="215" t="s">
        <v>166</v>
      </c>
      <c r="B2" s="216"/>
      <c r="C2" s="217"/>
      <c r="D2" s="57"/>
      <c r="E2" s="57"/>
      <c r="F2" s="140" t="s">
        <v>158</v>
      </c>
      <c r="G2" s="140" t="s">
        <v>175</v>
      </c>
      <c r="H2" s="139"/>
      <c r="I2" s="140" t="s">
        <v>176</v>
      </c>
      <c r="J2" s="141" t="s">
        <v>177</v>
      </c>
      <c r="K2" s="43"/>
      <c r="L2" s="43"/>
    </row>
    <row r="3" spans="1:12" s="29" customFormat="1" ht="25.5" customHeight="1" thickBot="1">
      <c r="A3" s="134" t="s">
        <v>165</v>
      </c>
      <c r="B3" s="143" t="s">
        <v>151</v>
      </c>
      <c r="C3" s="134" t="s">
        <v>155</v>
      </c>
      <c r="D3" s="57"/>
      <c r="E3" s="57"/>
      <c r="F3" s="192" t="str">
        <f>INDEX(LISTES!$A$2:$A$107,D1,1)</f>
        <v>Mokassin</v>
      </c>
      <c r="G3" s="189">
        <f>IF((VLOOKUP(F3,Tproduits[],2,0)+I3-J3)&lt;0,"-",(VLOOKUP(F3,Tproduits[],2,0)+I3-J3))</f>
        <v>8</v>
      </c>
      <c r="H3" s="142"/>
      <c r="I3" s="190" t="str">
        <f>IFERROR(GETPIVOTDATA("QTE",Feuil1!$AA$3,"PRODUCTS",F3,"MVT","Entree"),"0")</f>
        <v>0</v>
      </c>
      <c r="J3" s="191" t="str">
        <f>IFERROR(GETPIVOTDATA("QTE",Feuil1!$AA$3,"PRODUCTS",F3,"MVT","Sortie"),"0")</f>
        <v>0</v>
      </c>
      <c r="K3" s="43"/>
      <c r="L3" s="43"/>
    </row>
    <row r="4" spans="1:12" s="29" customFormat="1">
      <c r="A4" s="120" t="s">
        <v>110</v>
      </c>
      <c r="B4" s="121">
        <f>GETPIVOTDATA("QTE",Feuil1!$A$3)</f>
        <v>185</v>
      </c>
      <c r="C4" s="121">
        <f>GETPIVOTDATA("MONTANT",Feuil1!$D$3)</f>
        <v>1360232</v>
      </c>
      <c r="D4" s="57"/>
      <c r="E4" s="57"/>
      <c r="F4" s="135"/>
      <c r="G4" s="136"/>
      <c r="H4" s="137"/>
      <c r="I4" s="138"/>
      <c r="J4" s="137"/>
      <c r="K4" s="43"/>
      <c r="L4" s="43"/>
    </row>
    <row r="5" spans="1:12" s="29" customFormat="1" ht="21" customHeight="1">
      <c r="A5" s="120" t="s">
        <v>163</v>
      </c>
      <c r="B5" s="121">
        <f>GETPIVOTDATA("QTE",Feuil1!$A$3,"MVT","Entree")</f>
        <v>68</v>
      </c>
      <c r="C5" s="121">
        <f>GETPIVOTDATA("MONTANT",Feuil1!$D$3,"MVT","Entree")</f>
        <v>486832</v>
      </c>
      <c r="F5" s="214" t="s">
        <v>160</v>
      </c>
      <c r="G5" s="212"/>
      <c r="I5" s="211" t="s">
        <v>161</v>
      </c>
      <c r="J5" s="212"/>
      <c r="K5" s="43"/>
      <c r="L5" s="43"/>
    </row>
    <row r="6" spans="1:12" s="29" customFormat="1" ht="18.75" customHeight="1">
      <c r="A6" s="120" t="s">
        <v>164</v>
      </c>
      <c r="B6" s="121">
        <f>GETPIVOTDATA("QTE",Feuil1!$A$3,"MVT","Sortie")</f>
        <v>117</v>
      </c>
      <c r="C6" s="121">
        <f>GETPIVOTDATA("MONTANT",Feuil1!$D$3,"MVT","Sortie")</f>
        <v>873400</v>
      </c>
      <c r="D6" s="119"/>
      <c r="F6" s="134" t="s">
        <v>158</v>
      </c>
      <c r="G6" s="153" t="s">
        <v>159</v>
      </c>
      <c r="I6" s="154" t="s">
        <v>158</v>
      </c>
      <c r="J6" s="154" t="s">
        <v>162</v>
      </c>
      <c r="K6" s="43"/>
      <c r="L6" s="43"/>
    </row>
    <row r="7" spans="1:12" s="29" customFormat="1" ht="21">
      <c r="A7" s="218" t="s">
        <v>167</v>
      </c>
      <c r="B7" s="218"/>
      <c r="C7" s="218"/>
      <c r="F7" s="150" t="str">
        <f>Feuil1!G5</f>
        <v>Coat</v>
      </c>
      <c r="G7" s="126">
        <f>GETPIVOTDATA("MONTANT",Feuil1!$G$3,"PRODUCTS",F7,"MVT","Sortie")</f>
        <v>227000</v>
      </c>
      <c r="I7" s="155" t="str">
        <f>Feuil1!K5</f>
        <v>Kenzel</v>
      </c>
      <c r="J7" s="129">
        <f>GETPIVOTDATA("MONTANT",Feuil1!$K$3,"PRODUCTS",I7,"MVT","Entree")</f>
        <v>125000</v>
      </c>
      <c r="K7" s="43"/>
      <c r="L7" s="43"/>
    </row>
    <row r="8" spans="1:12" s="29" customFormat="1" ht="19.5">
      <c r="A8" s="132" t="s">
        <v>168</v>
      </c>
      <c r="B8" s="132" t="s">
        <v>170</v>
      </c>
      <c r="C8" s="132" t="s">
        <v>169</v>
      </c>
      <c r="F8" s="151" t="str">
        <f>Feuil1!G6</f>
        <v>Jean Trouser</v>
      </c>
      <c r="G8" s="127">
        <f>GETPIVOTDATA("MONTANT",Feuil1!$G$3,"PRODUCTS",F8,"MVT","Sortie")</f>
        <v>153000</v>
      </c>
      <c r="I8" s="156" t="str">
        <f>Feuil1!K6</f>
        <v>Stomach Band</v>
      </c>
      <c r="J8" s="130">
        <f>GETPIVOTDATA("MONTANT",Feuil1!$K$3,"PRODUCTS",I8,"MVT","Entree")</f>
        <v>120000</v>
      </c>
      <c r="K8" s="43"/>
      <c r="L8" s="43"/>
    </row>
    <row r="9" spans="1:12" s="29" customFormat="1" ht="17.25">
      <c r="A9" s="122" t="str">
        <f>Feuil1!W5</f>
        <v>Mailvin Afanyui</v>
      </c>
      <c r="B9" s="123">
        <f>GETPIVOTDATA("Somme de TOTAL FACTURE",Feuil1!$W$3,"NOM CLIENT",A9)</f>
        <v>47050000</v>
      </c>
      <c r="C9" s="121">
        <f>GETPIVOTDATA("Somme de SOLDE",Feuil1!$W$3,"NOM CLIENT",A9)</f>
        <v>28550000</v>
      </c>
      <c r="F9" s="151" t="str">
        <f>Feuil1!G7</f>
        <v>Feurte gowns</v>
      </c>
      <c r="G9" s="127">
        <f>GETPIVOTDATA("MONTANT",Feuil1!$G$3,"PRODUCTS",F9,"MVT","Sortie")</f>
        <v>136000</v>
      </c>
      <c r="I9" s="156" t="str">
        <f>Feuil1!K7</f>
        <v>Trebein white qown</v>
      </c>
      <c r="J9" s="130">
        <f>GETPIVOTDATA("MONTANT",Feuil1!$K$3,"PRODUCTS",I9,"MVT","Entree")</f>
        <v>41332</v>
      </c>
      <c r="K9" s="43"/>
      <c r="L9" s="43"/>
    </row>
    <row r="10" spans="1:12" s="29" customFormat="1" ht="17.25">
      <c r="A10" s="122" t="str">
        <f>Feuil1!W6</f>
        <v>Raissa Bih</v>
      </c>
      <c r="B10" s="123">
        <f>GETPIVOTDATA("Somme de TOTAL FACTURE",Feuil1!$W$3,"NOM CLIENT",A10)</f>
        <v>6443500</v>
      </c>
      <c r="C10" s="121">
        <f>GETPIVOTDATA("Somme de SOLDE",Feuil1!$W$3,"NOM CLIENT",A10)</f>
        <v>1943500</v>
      </c>
      <c r="F10" s="151" t="str">
        <f>Feuil1!G8</f>
        <v>Belt</v>
      </c>
      <c r="G10" s="127">
        <f>GETPIVOTDATA("MONTANT",Feuil1!$G$3,"PRODUCTS",F10,"MVT","Sortie")</f>
        <v>95000</v>
      </c>
      <c r="I10" s="156" t="str">
        <f>Feuil1!K8</f>
        <v>Sun shaes</v>
      </c>
      <c r="J10" s="130">
        <f>GETPIVOTDATA("MONTANT",Feuil1!$K$3,"PRODUCTS",I10,"MVT","Entree")</f>
        <v>35000</v>
      </c>
      <c r="K10" s="43"/>
      <c r="L10" s="43"/>
    </row>
    <row r="11" spans="1:12" s="29" customFormat="1" ht="17.25">
      <c r="A11" s="122" t="str">
        <f>Feuil1!W7</f>
        <v>Cynthia Borrom</v>
      </c>
      <c r="B11" s="123">
        <f>GETPIVOTDATA("Somme de TOTAL FACTURE",Feuil1!$W$3,"NOM CLIENT",A11)</f>
        <v>5361000</v>
      </c>
      <c r="C11" s="121">
        <f>GETPIVOTDATA("Somme de SOLDE",Feuil1!$W$3,"NOM CLIENT",A11)</f>
        <v>1361000</v>
      </c>
      <c r="F11" s="151" t="str">
        <f>Feuil1!G9</f>
        <v>Sabra Blouses</v>
      </c>
      <c r="G11" s="127">
        <f>GETPIVOTDATA("MONTANT",Feuil1!$G$3,"PRODUCTS",F11,"MVT","Sortie")</f>
        <v>63000</v>
      </c>
      <c r="I11" s="156" t="str">
        <f>Feuil1!K9</f>
        <v xml:space="preserve">Male Slippers </v>
      </c>
      <c r="J11" s="130">
        <f>GETPIVOTDATA("MONTANT",Feuil1!$K$3,"PRODUCTS",I11,"MVT","Entree")</f>
        <v>35000</v>
      </c>
      <c r="K11" s="43"/>
      <c r="L11" s="43"/>
    </row>
    <row r="12" spans="1:12" s="29" customFormat="1" ht="17.25">
      <c r="A12" s="122" t="str">
        <f>Feuil1!W8</f>
        <v>Boock Alphonse</v>
      </c>
      <c r="B12" s="123">
        <f>GETPIVOTDATA("Somme de TOTAL FACTURE",Feuil1!$W$3,"NOM CLIENT",A12)</f>
        <v>3240000</v>
      </c>
      <c r="C12" s="121">
        <f>GETPIVOTDATA("Somme de SOLDE",Feuil1!$W$3,"NOM CLIENT",A12)</f>
        <v>2040000</v>
      </c>
      <c r="F12" s="151" t="str">
        <f>Feuil1!G10</f>
        <v>Polos</v>
      </c>
      <c r="G12" s="127">
        <f>GETPIVOTDATA("MONTANT",Feuil1!$G$3,"PRODUCTS",F12,"MVT","Sortie")</f>
        <v>50000</v>
      </c>
      <c r="I12" s="156" t="str">
        <f>Feuil1!K10</f>
        <v xml:space="preserve">Purs </v>
      </c>
      <c r="J12" s="130">
        <f>GETPIVOTDATA("MONTANT",Feuil1!$K$3,"PRODUCTS",I12,"MVT","Entree")</f>
        <v>30000</v>
      </c>
      <c r="K12" s="43"/>
      <c r="L12" s="43"/>
    </row>
    <row r="13" spans="1:12" s="29" customFormat="1" ht="17.25">
      <c r="A13" s="122" t="str">
        <f>Feuil1!W9</f>
        <v>Nkweijei Rene</v>
      </c>
      <c r="B13" s="123">
        <f>GETPIVOTDATA("Somme de TOTAL FACTURE",Feuil1!$W$3,"NOM CLIENT",A13)</f>
        <v>1067500</v>
      </c>
      <c r="C13" s="121">
        <f>GETPIVOTDATA("Somme de SOLDE",Feuil1!$W$3,"NOM CLIENT",A13)</f>
        <v>567500</v>
      </c>
      <c r="F13" s="151" t="str">
        <f>Feuil1!G11</f>
        <v>Dagi pants</v>
      </c>
      <c r="G13" s="127">
        <f>GETPIVOTDATA("MONTANT",Feuil1!$G$3,"PRODUCTS",F13,"MVT","Sortie")</f>
        <v>30000</v>
      </c>
      <c r="I13" s="156" t="str">
        <f>Feuil1!K11</f>
        <v>Dagi pants</v>
      </c>
      <c r="J13" s="130">
        <f>GETPIVOTDATA("MONTANT",Feuil1!$K$3,"PRODUCTS",I13,"MVT","Entree")</f>
        <v>25000</v>
      </c>
      <c r="K13" s="43"/>
      <c r="L13" s="43"/>
    </row>
    <row r="14" spans="1:12" s="29" customFormat="1" ht="20.25">
      <c r="A14" s="213" t="s">
        <v>173</v>
      </c>
      <c r="B14" s="213"/>
      <c r="C14" s="213"/>
      <c r="D14" s="45"/>
      <c r="E14" s="44"/>
      <c r="F14" s="151" t="str">
        <f>Feuil1!G12</f>
        <v>Perfumes</v>
      </c>
      <c r="G14" s="127">
        <f>GETPIVOTDATA("MONTANT",Feuil1!$G$3,"PRODUCTS",F14,"MVT","Sortie")</f>
        <v>30000</v>
      </c>
      <c r="H14" s="43"/>
      <c r="I14" s="156" t="str">
        <f>Feuil1!K12</f>
        <v>S'costa shirt</v>
      </c>
      <c r="J14" s="130">
        <f>GETPIVOTDATA("MONTANT",Feuil1!$K$3,"PRODUCTS",I14,"MVT","Entree")</f>
        <v>25000</v>
      </c>
      <c r="K14" s="43"/>
      <c r="L14" s="43"/>
    </row>
    <row r="15" spans="1:12" s="29" customFormat="1" ht="19.5">
      <c r="A15" s="132" t="s">
        <v>112</v>
      </c>
      <c r="B15" s="133" t="s">
        <v>159</v>
      </c>
      <c r="C15" s="132" t="s">
        <v>174</v>
      </c>
      <c r="D15" s="45"/>
      <c r="E15" s="44"/>
      <c r="F15" s="151" t="str">
        <f>Feuil1!G13</f>
        <v>Male slippers Genio</v>
      </c>
      <c r="G15" s="127">
        <f>GETPIVOTDATA("MONTANT",Feuil1!$G$3,"PRODUCTS",F15,"MVT","Sortie")</f>
        <v>17400</v>
      </c>
      <c r="H15" s="43"/>
      <c r="I15" s="156" t="str">
        <f>Feuil1!K13</f>
        <v>Pinema Gowns</v>
      </c>
      <c r="J15" s="130">
        <f>GETPIVOTDATA("MONTANT",Feuil1!$K$3,"PRODUCTS",I15,"MVT","Entree")</f>
        <v>22500</v>
      </c>
      <c r="K15" s="43"/>
      <c r="L15" s="43"/>
    </row>
    <row r="16" spans="1:12" s="29" customFormat="1" ht="17.25">
      <c r="A16" s="122" t="str">
        <f>Feuil1!O5</f>
        <v>Vetements femmes</v>
      </c>
      <c r="B16" s="124">
        <f>GETPIVOTDATA("Somme de MONTANT",Feuil1!$O$3,"CATEGORIE",A16)</f>
        <v>605832</v>
      </c>
      <c r="C16" s="125">
        <f>GETPIVOTDATA("Somme de MONTANT2",Feuil1!$O$3,"CATEGORIE",A16)</f>
        <v>0.44538872780525673</v>
      </c>
      <c r="D16" s="45"/>
      <c r="E16" s="44"/>
      <c r="F16" s="152" t="str">
        <f>Feuil1!G14</f>
        <v>Ties</v>
      </c>
      <c r="G16" s="128">
        <f>GETPIVOTDATA("MONTANT",Feuil1!$G$3,"PRODUCTS",F16,"MVT","Sortie")</f>
        <v>12000</v>
      </c>
      <c r="H16" s="43"/>
      <c r="I16" s="157" t="str">
        <f>Feuil1!K14</f>
        <v>Keikei</v>
      </c>
      <c r="J16" s="131">
        <f>GETPIVOTDATA("MONTANT",Feuil1!$K$3,"PRODUCTS",I16,"MVT","Entree")</f>
        <v>18000</v>
      </c>
      <c r="K16" s="43"/>
      <c r="L16" s="43"/>
    </row>
    <row r="17" spans="1:12" s="29" customFormat="1" ht="17.25">
      <c r="A17" s="122" t="str">
        <f>Feuil1!O6</f>
        <v>Vetements mixtes</v>
      </c>
      <c r="B17" s="124">
        <f>GETPIVOTDATA("Somme de MONTANT",Feuil1!$O$3,"CATEGORIE",A17)</f>
        <v>409000</v>
      </c>
      <c r="C17" s="125">
        <f>GETPIVOTDATA("Somme de MONTANT2",Feuil1!$O$3,"CATEGORIE",A17)</f>
        <v>0.30068400096454134</v>
      </c>
      <c r="D17" s="45"/>
      <c r="E17" s="44"/>
      <c r="H17" s="43"/>
      <c r="K17" s="43"/>
      <c r="L17" s="43"/>
    </row>
    <row r="18" spans="1:12" s="29" customFormat="1" ht="17.25">
      <c r="A18" s="122" t="str">
        <f>Feuil1!O7</f>
        <v>Vetements Hommes</v>
      </c>
      <c r="B18" s="124">
        <f>GETPIVOTDATA("Somme de MONTANT",Feuil1!$O$3,"CATEGORIE",A18)</f>
        <v>255200</v>
      </c>
      <c r="C18" s="125">
        <f>GETPIVOTDATA("Somme de MONTANT2",Feuil1!$O$3,"CATEGORIE",A18)</f>
        <v>0.18761505390256955</v>
      </c>
      <c r="D18" s="45"/>
      <c r="E18" s="44"/>
      <c r="F18" s="27"/>
      <c r="G18" s="27"/>
      <c r="H18" s="45"/>
      <c r="K18" s="43"/>
      <c r="L18" s="43"/>
    </row>
    <row r="19" spans="1:12" s="29" customFormat="1" ht="17.25">
      <c r="A19" s="122" t="str">
        <f>Feuil1!O8</f>
        <v>Accessoires</v>
      </c>
      <c r="B19" s="124">
        <f>GETPIVOTDATA("Somme de MONTANT",Feuil1!$O$3,"CATEGORIE",A19)</f>
        <v>90200</v>
      </c>
      <c r="C19" s="125">
        <f>GETPIVOTDATA("Somme de MONTANT2",Feuil1!$O$3,"CATEGORIE",A19)</f>
        <v>6.6312217327632345E-2</v>
      </c>
      <c r="D19" s="43"/>
      <c r="E19" s="43"/>
      <c r="F19" s="27"/>
      <c r="G19" s="27"/>
      <c r="H19" s="43"/>
      <c r="K19" s="43"/>
      <c r="L19" s="43"/>
    </row>
    <row r="20" spans="1:12">
      <c r="A20" s="122" t="s">
        <v>217</v>
      </c>
      <c r="B20" s="124">
        <f>SUM(B16:B19)</f>
        <v>1360232</v>
      </c>
      <c r="C20" s="125">
        <f>SUM(C16:C19)</f>
        <v>1</v>
      </c>
      <c r="E20" s="49"/>
      <c r="H20" s="49"/>
    </row>
    <row r="21" spans="1:12">
      <c r="B21" s="52"/>
      <c r="E21" s="28"/>
      <c r="H21" s="28"/>
    </row>
    <row r="22" spans="1:12">
      <c r="E22" s="28"/>
      <c r="H22" s="28"/>
    </row>
    <row r="23" spans="1:12">
      <c r="E23" s="28"/>
      <c r="H23" s="28"/>
    </row>
    <row r="24" spans="1:12">
      <c r="E24" s="28"/>
      <c r="H24" s="28"/>
    </row>
    <row r="25" spans="1:12">
      <c r="E25" s="28"/>
      <c r="H25" s="28"/>
    </row>
    <row r="26" spans="1:12">
      <c r="E26" s="28"/>
      <c r="H26" s="28"/>
    </row>
    <row r="27" spans="1:12">
      <c r="E27" s="28"/>
      <c r="H27" s="28"/>
    </row>
    <row r="28" spans="1:12">
      <c r="E28" s="28"/>
      <c r="H28" s="28"/>
    </row>
    <row r="29" spans="1:12">
      <c r="E29" s="28"/>
      <c r="H29" s="28"/>
    </row>
    <row r="30" spans="1:12">
      <c r="B30" s="54"/>
      <c r="E30" s="28"/>
      <c r="H30" s="28"/>
    </row>
    <row r="31" spans="1:12">
      <c r="B31" s="54"/>
      <c r="E31" s="28"/>
      <c r="F31" s="28"/>
      <c r="G31" s="28"/>
      <c r="H31" s="28"/>
    </row>
    <row r="32" spans="1:12">
      <c r="B32" s="54"/>
      <c r="E32" s="28"/>
      <c r="F32" s="28"/>
      <c r="G32" s="28"/>
      <c r="H32" s="28"/>
    </row>
    <row r="33" spans="1:8">
      <c r="B33" s="52"/>
      <c r="E33" s="28"/>
      <c r="F33" s="28"/>
      <c r="G33" s="28"/>
      <c r="H33" s="28"/>
    </row>
    <row r="34" spans="1:8">
      <c r="B34" s="52"/>
      <c r="E34" s="28"/>
      <c r="H34" s="28"/>
    </row>
    <row r="35" spans="1:8">
      <c r="E35" s="28"/>
      <c r="H35" s="28"/>
    </row>
    <row r="42" spans="1:8">
      <c r="B42" s="54"/>
    </row>
    <row r="43" spans="1:8">
      <c r="A43" s="55"/>
      <c r="B43" s="54"/>
    </row>
    <row r="44" spans="1:8">
      <c r="B44" s="54"/>
    </row>
    <row r="45" spans="1:8">
      <c r="B45" s="52"/>
    </row>
    <row r="46" spans="1:8">
      <c r="B46" s="52"/>
    </row>
    <row r="47" spans="1:8">
      <c r="B47" s="52"/>
    </row>
    <row r="48" spans="1:8">
      <c r="B48" s="52"/>
    </row>
    <row r="49" spans="2:2">
      <c r="B49" s="52"/>
    </row>
    <row r="50" spans="2:2">
      <c r="B50" s="52"/>
    </row>
    <row r="51" spans="2:2">
      <c r="B51" s="52"/>
    </row>
    <row r="56" spans="2:2">
      <c r="B56" s="54"/>
    </row>
    <row r="57" spans="2:2">
      <c r="B57" s="54"/>
    </row>
    <row r="58" spans="2:2">
      <c r="B58" s="54"/>
    </row>
    <row r="59" spans="2:2">
      <c r="B59" s="52"/>
    </row>
    <row r="60" spans="2:2">
      <c r="B60" s="52"/>
    </row>
    <row r="61" spans="2:2">
      <c r="B61" s="52"/>
    </row>
    <row r="62" spans="2:2">
      <c r="B62" s="52"/>
    </row>
    <row r="63" spans="2:2">
      <c r="B63" s="52"/>
    </row>
    <row r="64" spans="2:2">
      <c r="B64" s="52"/>
    </row>
    <row r="65" spans="1:2">
      <c r="B65" s="52"/>
    </row>
    <row r="69" spans="1:2">
      <c r="B69" s="54"/>
    </row>
    <row r="70" spans="1:2">
      <c r="A70" s="55"/>
      <c r="B70" s="54"/>
    </row>
    <row r="71" spans="1:2">
      <c r="B71" s="54"/>
    </row>
    <row r="72" spans="1:2">
      <c r="B72" s="52"/>
    </row>
    <row r="73" spans="1:2">
      <c r="B73" s="52"/>
    </row>
    <row r="74" spans="1:2">
      <c r="B74" s="52"/>
    </row>
    <row r="82" spans="2:2">
      <c r="B82" s="54"/>
    </row>
    <row r="83" spans="2:2">
      <c r="B83" s="54"/>
    </row>
    <row r="84" spans="2:2">
      <c r="B84" s="54"/>
    </row>
    <row r="85" spans="2:2">
      <c r="B85" s="52"/>
    </row>
    <row r="86" spans="2:2">
      <c r="B86" s="52"/>
    </row>
    <row r="87" spans="2:2">
      <c r="B87" s="52"/>
    </row>
  </sheetData>
  <sheetProtection sheet="1" objects="1" scenarios="1"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31:F33">
    <cfRule type="dataBar" priority="5">
      <dataBar showValue="0">
        <cfvo type="min" val="0"/>
        <cfvo type="max" val="0"/>
        <color rgb="FF638EC6"/>
      </dataBar>
    </cfRule>
  </conditionalFormatting>
  <conditionalFormatting sqref="E22:E35 C21:D35">
    <cfRule type="expression" dxfId="56" priority="4">
      <formula>"$F8&lt;=3"</formula>
    </cfRule>
  </conditionalFormatting>
  <conditionalFormatting sqref="C21:E35 H21:H35">
    <cfRule type="expression" dxfId="55" priority="26">
      <formula>$E21&lt;=3</formula>
    </cfRule>
  </conditionalFormatting>
  <conditionalFormatting sqref="F31:G33">
    <cfRule type="expression" dxfId="54" priority="29">
      <formula>$E33&lt;=3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1:K110"/>
  <sheetViews>
    <sheetView workbookViewId="0">
      <selection activeCell="I1" sqref="I1"/>
    </sheetView>
  </sheetViews>
  <sheetFormatPr baseColWidth="10" defaultRowHeight="15"/>
  <cols>
    <col min="1" max="1" width="33.5703125" bestFit="1" customWidth="1"/>
    <col min="2" max="2" width="13.42578125" bestFit="1" customWidth="1"/>
    <col min="3" max="3" width="18.5703125" customWidth="1"/>
    <col min="4" max="4" width="12.85546875" customWidth="1"/>
    <col min="5" max="5" width="20.7109375" bestFit="1" customWidth="1"/>
    <col min="7" max="7" width="12.85546875" customWidth="1"/>
    <col min="11" max="11" width="19.28515625" bestFit="1" customWidth="1"/>
  </cols>
  <sheetData>
    <row r="1" spans="1:11">
      <c r="A1" s="12" t="s">
        <v>109</v>
      </c>
      <c r="B1" s="11" t="s">
        <v>110</v>
      </c>
      <c r="C1" s="11" t="s">
        <v>111</v>
      </c>
      <c r="D1" s="13" t="s">
        <v>115</v>
      </c>
      <c r="E1" s="32" t="s">
        <v>144</v>
      </c>
      <c r="G1" s="16" t="s">
        <v>112</v>
      </c>
      <c r="I1" t="s">
        <v>119</v>
      </c>
    </row>
    <row r="2" spans="1:11">
      <c r="A2" s="6" t="s">
        <v>4</v>
      </c>
      <c r="B2" s="2">
        <v>37</v>
      </c>
      <c r="C2" s="5">
        <v>3</v>
      </c>
      <c r="D2" s="2">
        <v>5000</v>
      </c>
      <c r="E2" s="33" t="s">
        <v>145</v>
      </c>
      <c r="G2" s="15" t="s">
        <v>113</v>
      </c>
      <c r="I2" t="s">
        <v>121</v>
      </c>
      <c r="K2" s="193" t="s">
        <v>145</v>
      </c>
    </row>
    <row r="3" spans="1:11">
      <c r="A3" s="6" t="s">
        <v>5</v>
      </c>
      <c r="B3" s="2">
        <v>2</v>
      </c>
      <c r="C3" s="5">
        <v>3</v>
      </c>
      <c r="D3" s="2">
        <v>2000</v>
      </c>
      <c r="E3" s="33" t="s">
        <v>145</v>
      </c>
      <c r="G3" s="17" t="s">
        <v>114</v>
      </c>
      <c r="I3" t="s">
        <v>122</v>
      </c>
      <c r="K3" s="193" t="s">
        <v>146</v>
      </c>
    </row>
    <row r="4" spans="1:11">
      <c r="A4" s="6" t="s">
        <v>6</v>
      </c>
      <c r="B4" s="2">
        <v>38</v>
      </c>
      <c r="C4" s="5">
        <v>3</v>
      </c>
      <c r="D4" s="2">
        <v>6500</v>
      </c>
      <c r="E4" s="33" t="s">
        <v>147</v>
      </c>
      <c r="I4" t="s">
        <v>123</v>
      </c>
      <c r="K4" s="193" t="s">
        <v>147</v>
      </c>
    </row>
    <row r="5" spans="1:11">
      <c r="A5" s="6" t="s">
        <v>7</v>
      </c>
      <c r="B5" s="2">
        <v>47</v>
      </c>
      <c r="C5" s="5">
        <v>3</v>
      </c>
      <c r="D5" s="2">
        <v>5000</v>
      </c>
      <c r="E5" s="33" t="s">
        <v>145</v>
      </c>
      <c r="I5" t="s">
        <v>124</v>
      </c>
      <c r="K5" s="193" t="s">
        <v>148</v>
      </c>
    </row>
    <row r="6" spans="1:11">
      <c r="A6" s="6" t="s">
        <v>8</v>
      </c>
      <c r="B6" s="2">
        <v>49</v>
      </c>
      <c r="C6" s="5">
        <v>3</v>
      </c>
      <c r="D6" s="2">
        <v>2000</v>
      </c>
      <c r="E6" s="33" t="s">
        <v>147</v>
      </c>
      <c r="G6" s="25"/>
      <c r="I6" t="s">
        <v>125</v>
      </c>
      <c r="K6" s="194"/>
    </row>
    <row r="7" spans="1:11">
      <c r="A7" s="6" t="s">
        <v>9</v>
      </c>
      <c r="B7" s="2">
        <v>4</v>
      </c>
      <c r="C7" s="5">
        <v>3</v>
      </c>
      <c r="D7" s="2">
        <v>8333</v>
      </c>
      <c r="E7" s="33" t="s">
        <v>145</v>
      </c>
      <c r="I7" t="s">
        <v>126</v>
      </c>
      <c r="K7" s="194"/>
    </row>
    <row r="8" spans="1:11">
      <c r="A8" s="6" t="s">
        <v>10</v>
      </c>
      <c r="B8" s="2">
        <v>21</v>
      </c>
      <c r="C8" s="5">
        <v>3</v>
      </c>
      <c r="D8" s="2">
        <v>70000</v>
      </c>
      <c r="E8" s="33" t="s">
        <v>146</v>
      </c>
      <c r="I8" s="21" t="s">
        <v>127</v>
      </c>
    </row>
    <row r="9" spans="1:11">
      <c r="A9" s="6" t="s">
        <v>11</v>
      </c>
      <c r="B9" s="2">
        <v>15</v>
      </c>
      <c r="C9" s="5">
        <v>3</v>
      </c>
      <c r="D9" s="2">
        <v>1500</v>
      </c>
      <c r="E9" s="33" t="s">
        <v>148</v>
      </c>
      <c r="I9" s="21" t="s">
        <v>128</v>
      </c>
    </row>
    <row r="10" spans="1:11">
      <c r="A10" s="6" t="s">
        <v>12</v>
      </c>
      <c r="B10" s="2">
        <v>13</v>
      </c>
      <c r="C10" s="5">
        <v>3</v>
      </c>
      <c r="D10" s="2">
        <v>3500</v>
      </c>
      <c r="E10" s="33" t="s">
        <v>145</v>
      </c>
      <c r="I10" s="21" t="s">
        <v>129</v>
      </c>
    </row>
    <row r="11" spans="1:11">
      <c r="A11" s="6" t="s">
        <v>13</v>
      </c>
      <c r="B11" s="2">
        <v>5</v>
      </c>
      <c r="C11" s="5">
        <v>3</v>
      </c>
      <c r="D11" s="2">
        <v>3500</v>
      </c>
      <c r="E11" s="33" t="s">
        <v>145</v>
      </c>
      <c r="I11" s="21" t="s">
        <v>130</v>
      </c>
    </row>
    <row r="12" spans="1:11">
      <c r="A12" s="6" t="s">
        <v>14</v>
      </c>
      <c r="B12" s="2">
        <v>6</v>
      </c>
      <c r="C12" s="5">
        <v>3</v>
      </c>
      <c r="D12" s="2">
        <v>3500</v>
      </c>
      <c r="E12" s="33" t="s">
        <v>145</v>
      </c>
      <c r="I12" s="21" t="s">
        <v>131</v>
      </c>
    </row>
    <row r="13" spans="1:11">
      <c r="A13" s="6" t="s">
        <v>15</v>
      </c>
      <c r="B13" s="2">
        <v>7</v>
      </c>
      <c r="C13" s="5">
        <v>3</v>
      </c>
      <c r="D13" s="2">
        <v>9333</v>
      </c>
      <c r="E13" s="33" t="s">
        <v>145</v>
      </c>
    </row>
    <row r="14" spans="1:11">
      <c r="A14" s="6" t="s">
        <v>16</v>
      </c>
      <c r="B14" s="2">
        <v>10</v>
      </c>
      <c r="C14" s="5">
        <v>3</v>
      </c>
      <c r="D14" s="2">
        <v>35000</v>
      </c>
      <c r="E14" s="33" t="s">
        <v>146</v>
      </c>
    </row>
    <row r="15" spans="1:11">
      <c r="A15" s="6" t="s">
        <v>17</v>
      </c>
      <c r="B15" s="2">
        <v>5</v>
      </c>
      <c r="C15" s="5">
        <v>3</v>
      </c>
      <c r="D15" s="2">
        <v>15000</v>
      </c>
      <c r="E15" s="33" t="s">
        <v>145</v>
      </c>
    </row>
    <row r="16" spans="1:11">
      <c r="A16" s="6" t="s">
        <v>18</v>
      </c>
      <c r="B16" s="2">
        <v>12</v>
      </c>
      <c r="C16" s="5">
        <v>3</v>
      </c>
      <c r="D16" s="2">
        <v>20000</v>
      </c>
      <c r="E16" s="33" t="s">
        <v>145</v>
      </c>
    </row>
    <row r="17" spans="1:5">
      <c r="A17" s="6" t="s">
        <v>19</v>
      </c>
      <c r="B17" s="2">
        <v>1</v>
      </c>
      <c r="C17" s="5">
        <v>3</v>
      </c>
      <c r="D17" s="2">
        <v>200</v>
      </c>
      <c r="E17" s="33" t="s">
        <v>145</v>
      </c>
    </row>
    <row r="18" spans="1:5">
      <c r="A18" s="6" t="s">
        <v>20</v>
      </c>
      <c r="B18" s="2">
        <v>8</v>
      </c>
      <c r="C18" s="5">
        <v>3</v>
      </c>
      <c r="D18" s="2">
        <v>16606</v>
      </c>
      <c r="E18" s="33" t="s">
        <v>145</v>
      </c>
    </row>
    <row r="19" spans="1:5">
      <c r="A19" s="6" t="s">
        <v>21</v>
      </c>
      <c r="B19" s="2">
        <v>2</v>
      </c>
      <c r="C19" s="5">
        <v>3</v>
      </c>
      <c r="D19" s="2">
        <v>22050</v>
      </c>
      <c r="E19" s="33" t="s">
        <v>145</v>
      </c>
    </row>
    <row r="20" spans="1:5">
      <c r="A20" s="6" t="s">
        <v>22</v>
      </c>
      <c r="B20" s="2">
        <v>2</v>
      </c>
      <c r="C20" s="5">
        <v>3</v>
      </c>
      <c r="D20" s="2">
        <v>16000</v>
      </c>
      <c r="E20" s="33" t="s">
        <v>145</v>
      </c>
    </row>
    <row r="21" spans="1:5">
      <c r="A21" s="6" t="s">
        <v>23</v>
      </c>
      <c r="B21" s="2"/>
      <c r="C21" s="5">
        <v>3</v>
      </c>
      <c r="D21" s="2">
        <v>21666</v>
      </c>
      <c r="E21" s="33" t="s">
        <v>145</v>
      </c>
    </row>
    <row r="22" spans="1:5">
      <c r="A22" s="6" t="s">
        <v>24</v>
      </c>
      <c r="B22" s="2">
        <v>3</v>
      </c>
      <c r="C22" s="5">
        <v>3</v>
      </c>
      <c r="D22" s="2">
        <v>8000</v>
      </c>
      <c r="E22" s="33" t="s">
        <v>145</v>
      </c>
    </row>
    <row r="23" spans="1:5">
      <c r="A23" s="6" t="s">
        <v>25</v>
      </c>
      <c r="B23" s="2">
        <v>6</v>
      </c>
      <c r="C23" s="5">
        <v>3</v>
      </c>
      <c r="D23" s="2">
        <v>8000</v>
      </c>
      <c r="E23" s="33" t="s">
        <v>147</v>
      </c>
    </row>
    <row r="24" spans="1:5">
      <c r="A24" s="6" t="s">
        <v>26</v>
      </c>
      <c r="B24" s="2">
        <v>22</v>
      </c>
      <c r="C24" s="5">
        <v>3</v>
      </c>
      <c r="D24" s="2">
        <v>9000</v>
      </c>
      <c r="E24" s="33" t="s">
        <v>147</v>
      </c>
    </row>
    <row r="25" spans="1:5">
      <c r="A25" s="6" t="s">
        <v>27</v>
      </c>
      <c r="B25" s="2">
        <v>3</v>
      </c>
      <c r="C25" s="5">
        <v>3</v>
      </c>
      <c r="D25" s="2">
        <v>28555</v>
      </c>
      <c r="E25" s="33" t="s">
        <v>145</v>
      </c>
    </row>
    <row r="26" spans="1:5">
      <c r="A26" s="6" t="s">
        <v>28</v>
      </c>
      <c r="B26" s="2">
        <v>7</v>
      </c>
      <c r="C26" s="5">
        <v>3</v>
      </c>
      <c r="D26" s="2">
        <v>15333</v>
      </c>
      <c r="E26" s="33" t="s">
        <v>145</v>
      </c>
    </row>
    <row r="27" spans="1:5">
      <c r="A27" s="6" t="s">
        <v>29</v>
      </c>
      <c r="B27" s="2">
        <v>1</v>
      </c>
      <c r="C27" s="5">
        <v>3</v>
      </c>
      <c r="D27" s="2">
        <v>13333</v>
      </c>
      <c r="E27" s="33" t="s">
        <v>145</v>
      </c>
    </row>
    <row r="28" spans="1:5">
      <c r="A28" s="6" t="s">
        <v>30</v>
      </c>
      <c r="B28" s="2">
        <v>1</v>
      </c>
      <c r="C28" s="5">
        <v>3</v>
      </c>
      <c r="D28" s="2">
        <v>15000</v>
      </c>
      <c r="E28" s="33" t="s">
        <v>145</v>
      </c>
    </row>
    <row r="29" spans="1:5">
      <c r="A29" s="6" t="s">
        <v>31</v>
      </c>
      <c r="B29" s="2">
        <v>39</v>
      </c>
      <c r="C29" s="5">
        <v>3</v>
      </c>
      <c r="D29" s="2">
        <v>500</v>
      </c>
      <c r="E29" s="33" t="s">
        <v>148</v>
      </c>
    </row>
    <row r="30" spans="1:5">
      <c r="A30" s="6" t="s">
        <v>32</v>
      </c>
      <c r="B30" s="2">
        <v>2</v>
      </c>
      <c r="C30" s="5">
        <v>3</v>
      </c>
      <c r="D30" s="2">
        <v>15000</v>
      </c>
      <c r="E30" s="33" t="s">
        <v>145</v>
      </c>
    </row>
    <row r="31" spans="1:5">
      <c r="A31" s="6" t="s">
        <v>33</v>
      </c>
      <c r="B31" s="2">
        <v>3</v>
      </c>
      <c r="C31" s="5">
        <v>3</v>
      </c>
      <c r="D31" s="2">
        <v>7500</v>
      </c>
      <c r="E31" s="33" t="s">
        <v>148</v>
      </c>
    </row>
    <row r="32" spans="1:5">
      <c r="A32" s="6" t="s">
        <v>34</v>
      </c>
      <c r="B32" s="2">
        <v>3</v>
      </c>
      <c r="C32" s="5">
        <v>3</v>
      </c>
      <c r="D32" s="2">
        <v>9000</v>
      </c>
      <c r="E32" s="33" t="s">
        <v>145</v>
      </c>
    </row>
    <row r="33" spans="1:5">
      <c r="A33" s="6" t="s">
        <v>35</v>
      </c>
      <c r="B33" s="2">
        <v>8</v>
      </c>
      <c r="C33" s="5">
        <v>3</v>
      </c>
      <c r="D33" s="2">
        <v>12000</v>
      </c>
      <c r="E33" s="33" t="s">
        <v>148</v>
      </c>
    </row>
    <row r="34" spans="1:5">
      <c r="A34" s="6" t="s">
        <v>36</v>
      </c>
      <c r="B34" s="2">
        <v>7</v>
      </c>
      <c r="C34" s="5">
        <v>3</v>
      </c>
      <c r="D34" s="2">
        <v>2000</v>
      </c>
      <c r="E34" s="33" t="s">
        <v>145</v>
      </c>
    </row>
    <row r="35" spans="1:5">
      <c r="A35" s="6" t="s">
        <v>37</v>
      </c>
      <c r="B35" s="2">
        <v>1</v>
      </c>
      <c r="C35" s="5">
        <v>3</v>
      </c>
      <c r="D35" s="2">
        <v>8333</v>
      </c>
      <c r="E35" s="33" t="s">
        <v>145</v>
      </c>
    </row>
    <row r="36" spans="1:5">
      <c r="A36" s="6" t="s">
        <v>38</v>
      </c>
      <c r="B36" s="2">
        <v>2</v>
      </c>
      <c r="C36" s="5">
        <v>3</v>
      </c>
      <c r="D36" s="2">
        <v>12000</v>
      </c>
      <c r="E36" s="33" t="s">
        <v>147</v>
      </c>
    </row>
    <row r="37" spans="1:5">
      <c r="A37" s="6" t="s">
        <v>39</v>
      </c>
      <c r="B37" s="2"/>
      <c r="C37" s="5">
        <v>3</v>
      </c>
      <c r="D37" s="2">
        <v>21666</v>
      </c>
      <c r="E37" s="33" t="s">
        <v>145</v>
      </c>
    </row>
    <row r="38" spans="1:5">
      <c r="A38" s="6" t="s">
        <v>40</v>
      </c>
      <c r="B38" s="2">
        <v>4</v>
      </c>
      <c r="C38" s="5">
        <v>3</v>
      </c>
      <c r="D38" s="2">
        <v>18000</v>
      </c>
      <c r="E38" s="33" t="s">
        <v>148</v>
      </c>
    </row>
    <row r="39" spans="1:5">
      <c r="A39" s="6" t="s">
        <v>41</v>
      </c>
      <c r="B39" s="2">
        <v>9</v>
      </c>
      <c r="C39" s="5">
        <v>3</v>
      </c>
      <c r="D39" s="2">
        <v>21666</v>
      </c>
      <c r="E39" s="33" t="s">
        <v>145</v>
      </c>
    </row>
    <row r="40" spans="1:5">
      <c r="A40" s="6" t="s">
        <v>42</v>
      </c>
      <c r="B40" s="2">
        <v>4</v>
      </c>
      <c r="C40" s="5">
        <v>3</v>
      </c>
      <c r="D40" s="2">
        <v>15000</v>
      </c>
      <c r="E40" s="33" t="s">
        <v>145</v>
      </c>
    </row>
    <row r="41" spans="1:5">
      <c r="A41" s="6" t="s">
        <v>43</v>
      </c>
      <c r="B41" s="2">
        <v>1</v>
      </c>
      <c r="C41" s="5">
        <v>3</v>
      </c>
      <c r="D41" s="2">
        <v>15000</v>
      </c>
      <c r="E41" s="33" t="s">
        <v>145</v>
      </c>
    </row>
    <row r="42" spans="1:5">
      <c r="A42" s="6" t="s">
        <v>44</v>
      </c>
      <c r="B42" s="2">
        <v>2</v>
      </c>
      <c r="C42" s="5">
        <v>3</v>
      </c>
      <c r="D42" s="2">
        <v>35000</v>
      </c>
      <c r="E42" s="33" t="s">
        <v>145</v>
      </c>
    </row>
    <row r="43" spans="1:5">
      <c r="A43" s="6" t="s">
        <v>45</v>
      </c>
      <c r="B43" s="2">
        <v>1</v>
      </c>
      <c r="C43" s="5">
        <v>3</v>
      </c>
      <c r="D43" s="2">
        <v>10000</v>
      </c>
      <c r="E43" s="33" t="s">
        <v>145</v>
      </c>
    </row>
    <row r="44" spans="1:5">
      <c r="A44" s="6" t="s">
        <v>46</v>
      </c>
      <c r="B44" s="2">
        <v>56</v>
      </c>
      <c r="C44" s="5">
        <v>3</v>
      </c>
      <c r="D44" s="2">
        <v>7500</v>
      </c>
      <c r="E44" s="33" t="s">
        <v>147</v>
      </c>
    </row>
    <row r="45" spans="1:5">
      <c r="A45" s="6" t="s">
        <v>47</v>
      </c>
      <c r="B45" s="2">
        <v>2</v>
      </c>
      <c r="C45" s="5">
        <v>3</v>
      </c>
      <c r="D45" s="2">
        <v>2000</v>
      </c>
      <c r="E45" s="33" t="s">
        <v>147</v>
      </c>
    </row>
    <row r="46" spans="1:5">
      <c r="A46" s="6" t="s">
        <v>48</v>
      </c>
      <c r="B46" s="2">
        <v>1</v>
      </c>
      <c r="C46" s="5">
        <v>3</v>
      </c>
      <c r="D46" s="2">
        <v>22000</v>
      </c>
      <c r="E46" s="33" t="s">
        <v>145</v>
      </c>
    </row>
    <row r="47" spans="1:5">
      <c r="A47" s="6" t="s">
        <v>49</v>
      </c>
      <c r="B47" s="2">
        <v>10</v>
      </c>
      <c r="C47" s="5">
        <v>3</v>
      </c>
      <c r="D47" s="2">
        <v>15000</v>
      </c>
      <c r="E47" s="33" t="s">
        <v>145</v>
      </c>
    </row>
    <row r="48" spans="1:5">
      <c r="A48" s="6" t="s">
        <v>50</v>
      </c>
      <c r="B48" s="2">
        <v>1</v>
      </c>
      <c r="C48" s="5">
        <v>3</v>
      </c>
      <c r="D48" s="2">
        <v>11000</v>
      </c>
      <c r="E48" s="33" t="s">
        <v>145</v>
      </c>
    </row>
    <row r="49" spans="1:5">
      <c r="A49" s="6" t="s">
        <v>51</v>
      </c>
      <c r="B49" s="2">
        <v>4</v>
      </c>
      <c r="C49" s="5">
        <v>3</v>
      </c>
      <c r="D49" s="2">
        <v>25000</v>
      </c>
      <c r="E49" s="33" t="s">
        <v>145</v>
      </c>
    </row>
    <row r="50" spans="1:5">
      <c r="A50" s="6" t="s">
        <v>52</v>
      </c>
      <c r="B50" s="2">
        <v>8</v>
      </c>
      <c r="C50" s="5">
        <v>3</v>
      </c>
      <c r="D50" s="2">
        <v>21000</v>
      </c>
      <c r="E50" s="33" t="s">
        <v>145</v>
      </c>
    </row>
    <row r="51" spans="1:5">
      <c r="A51" s="6" t="s">
        <v>53</v>
      </c>
      <c r="B51" s="2">
        <v>0</v>
      </c>
      <c r="C51" s="5">
        <v>3</v>
      </c>
      <c r="D51" s="2">
        <v>15000</v>
      </c>
      <c r="E51" s="33" t="s">
        <v>145</v>
      </c>
    </row>
    <row r="52" spans="1:5">
      <c r="A52" s="6" t="s">
        <v>54</v>
      </c>
      <c r="B52" s="2">
        <v>11</v>
      </c>
      <c r="C52" s="5">
        <v>3</v>
      </c>
      <c r="D52" s="2">
        <v>15000</v>
      </c>
      <c r="E52" s="33" t="s">
        <v>145</v>
      </c>
    </row>
    <row r="53" spans="1:5">
      <c r="A53" s="6" t="s">
        <v>55</v>
      </c>
      <c r="B53" s="2">
        <v>12</v>
      </c>
      <c r="C53" s="5">
        <v>3</v>
      </c>
      <c r="D53" s="2">
        <v>26666</v>
      </c>
      <c r="E53" s="33" t="s">
        <v>145</v>
      </c>
    </row>
    <row r="54" spans="1:5">
      <c r="A54" s="6" t="s">
        <v>56</v>
      </c>
      <c r="B54" s="2">
        <v>1</v>
      </c>
      <c r="C54" s="5">
        <v>3</v>
      </c>
      <c r="D54" s="2">
        <v>8333</v>
      </c>
      <c r="E54" s="33" t="s">
        <v>145</v>
      </c>
    </row>
    <row r="55" spans="1:5">
      <c r="A55" s="6" t="s">
        <v>57</v>
      </c>
      <c r="B55" s="2">
        <v>2</v>
      </c>
      <c r="C55" s="5">
        <v>3</v>
      </c>
      <c r="D55" s="2">
        <v>5000</v>
      </c>
      <c r="E55" s="33" t="s">
        <v>145</v>
      </c>
    </row>
    <row r="56" spans="1:5">
      <c r="A56" s="6" t="s">
        <v>58</v>
      </c>
      <c r="B56" s="2">
        <v>1</v>
      </c>
      <c r="C56" s="5">
        <v>3</v>
      </c>
      <c r="D56" s="2">
        <v>15000</v>
      </c>
      <c r="E56" s="33" t="s">
        <v>145</v>
      </c>
    </row>
    <row r="57" spans="1:5">
      <c r="A57" s="6" t="s">
        <v>59</v>
      </c>
      <c r="B57" s="2"/>
      <c r="C57" s="5">
        <v>3</v>
      </c>
      <c r="D57" s="2"/>
      <c r="E57" s="33" t="s">
        <v>145</v>
      </c>
    </row>
    <row r="58" spans="1:5">
      <c r="A58" s="6" t="s">
        <v>60</v>
      </c>
      <c r="B58" s="2"/>
      <c r="C58" s="5">
        <v>3</v>
      </c>
      <c r="D58" s="2"/>
      <c r="E58" s="33" t="s">
        <v>147</v>
      </c>
    </row>
    <row r="59" spans="1:5">
      <c r="A59" s="6" t="s">
        <v>61</v>
      </c>
      <c r="B59" s="2"/>
      <c r="C59" s="5">
        <v>3</v>
      </c>
      <c r="D59" s="2"/>
      <c r="E59" s="33" t="s">
        <v>148</v>
      </c>
    </row>
    <row r="60" spans="1:5">
      <c r="A60" s="6" t="s">
        <v>62</v>
      </c>
      <c r="B60" s="2">
        <v>15</v>
      </c>
      <c r="C60" s="5">
        <v>3</v>
      </c>
      <c r="D60" s="2">
        <v>1000</v>
      </c>
      <c r="E60" s="33" t="s">
        <v>148</v>
      </c>
    </row>
    <row r="61" spans="1:5">
      <c r="A61" s="6" t="s">
        <v>63</v>
      </c>
      <c r="B61" s="2">
        <v>6</v>
      </c>
      <c r="C61" s="5">
        <v>3</v>
      </c>
      <c r="D61" s="2">
        <v>200</v>
      </c>
      <c r="E61" s="33" t="s">
        <v>148</v>
      </c>
    </row>
    <row r="62" spans="1:5">
      <c r="A62" s="6" t="s">
        <v>64</v>
      </c>
      <c r="B62" s="2">
        <v>19</v>
      </c>
      <c r="C62" s="5">
        <v>3</v>
      </c>
      <c r="D62" s="2">
        <v>1500</v>
      </c>
      <c r="E62" s="33" t="s">
        <v>148</v>
      </c>
    </row>
    <row r="63" spans="1:5">
      <c r="A63" s="6" t="s">
        <v>65</v>
      </c>
      <c r="B63" s="2">
        <v>8</v>
      </c>
      <c r="C63" s="5">
        <v>3</v>
      </c>
      <c r="D63" s="2">
        <v>2000</v>
      </c>
      <c r="E63" s="33" t="s">
        <v>147</v>
      </c>
    </row>
    <row r="64" spans="1:5">
      <c r="A64" s="6" t="s">
        <v>66</v>
      </c>
      <c r="B64" s="2"/>
      <c r="C64" s="5">
        <v>3</v>
      </c>
      <c r="D64" s="2"/>
      <c r="E64" s="33" t="s">
        <v>148</v>
      </c>
    </row>
    <row r="65" spans="1:5">
      <c r="A65" s="6" t="s">
        <v>67</v>
      </c>
      <c r="B65" s="2">
        <v>7</v>
      </c>
      <c r="C65" s="5">
        <v>3</v>
      </c>
      <c r="D65" s="2">
        <v>40000</v>
      </c>
      <c r="E65" s="33" t="s">
        <v>145</v>
      </c>
    </row>
    <row r="66" spans="1:5">
      <c r="A66" s="6" t="s">
        <v>68</v>
      </c>
      <c r="B66" s="2"/>
      <c r="C66" s="5">
        <v>3</v>
      </c>
      <c r="D66" s="2"/>
      <c r="E66" s="33" t="s">
        <v>145</v>
      </c>
    </row>
    <row r="67" spans="1:5">
      <c r="A67" s="6" t="s">
        <v>69</v>
      </c>
      <c r="B67" s="2">
        <v>22</v>
      </c>
      <c r="C67" s="5">
        <v>3</v>
      </c>
      <c r="D67" s="2">
        <v>6300</v>
      </c>
      <c r="E67" s="33" t="s">
        <v>148</v>
      </c>
    </row>
    <row r="68" spans="1:5">
      <c r="A68" s="6" t="s">
        <v>70</v>
      </c>
      <c r="B68" s="2">
        <v>27</v>
      </c>
      <c r="C68" s="5">
        <v>3</v>
      </c>
      <c r="D68" s="2">
        <v>10000</v>
      </c>
      <c r="E68" s="33" t="s">
        <v>145</v>
      </c>
    </row>
    <row r="69" spans="1:5">
      <c r="A69" s="6" t="s">
        <v>71</v>
      </c>
      <c r="B69" s="2"/>
      <c r="C69" s="5">
        <v>3</v>
      </c>
      <c r="D69" s="2"/>
      <c r="E69" s="33" t="s">
        <v>145</v>
      </c>
    </row>
    <row r="70" spans="1:5">
      <c r="A70" s="6" t="s">
        <v>72</v>
      </c>
      <c r="B70" s="2">
        <v>0</v>
      </c>
      <c r="C70" s="5">
        <v>3</v>
      </c>
      <c r="D70" s="2">
        <v>10333</v>
      </c>
      <c r="E70" s="33" t="s">
        <v>145</v>
      </c>
    </row>
    <row r="71" spans="1:5">
      <c r="A71" s="6" t="s">
        <v>73</v>
      </c>
      <c r="B71" s="2">
        <v>3</v>
      </c>
      <c r="C71" s="5">
        <v>3</v>
      </c>
      <c r="D71" s="2">
        <v>10333</v>
      </c>
      <c r="E71" s="33" t="s">
        <v>145</v>
      </c>
    </row>
    <row r="72" spans="1:5">
      <c r="A72" s="6" t="s">
        <v>74</v>
      </c>
      <c r="B72" s="2">
        <v>7</v>
      </c>
      <c r="C72" s="5">
        <v>3</v>
      </c>
      <c r="D72" s="2">
        <v>3500</v>
      </c>
      <c r="E72" s="33" t="s">
        <v>147</v>
      </c>
    </row>
    <row r="73" spans="1:5">
      <c r="A73" s="6" t="s">
        <v>75</v>
      </c>
      <c r="B73" s="2"/>
      <c r="C73" s="5">
        <v>3</v>
      </c>
      <c r="D73" s="2"/>
      <c r="E73" s="33" t="s">
        <v>146</v>
      </c>
    </row>
    <row r="74" spans="1:5">
      <c r="A74" s="6" t="s">
        <v>76</v>
      </c>
      <c r="B74" s="3"/>
      <c r="C74" s="5">
        <v>3</v>
      </c>
      <c r="D74" s="3"/>
      <c r="E74" s="34" t="s">
        <v>147</v>
      </c>
    </row>
    <row r="75" spans="1:5">
      <c r="A75" s="6" t="s">
        <v>77</v>
      </c>
      <c r="B75" s="3">
        <v>4</v>
      </c>
      <c r="C75" s="5">
        <v>3</v>
      </c>
      <c r="D75" s="3">
        <v>18350</v>
      </c>
      <c r="E75" s="34" t="s">
        <v>145</v>
      </c>
    </row>
    <row r="76" spans="1:5" ht="15" customHeight="1">
      <c r="A76" s="6" t="s">
        <v>78</v>
      </c>
      <c r="B76" s="4"/>
      <c r="C76" s="5">
        <v>3</v>
      </c>
      <c r="D76" s="4"/>
      <c r="E76" s="35" t="s">
        <v>145</v>
      </c>
    </row>
    <row r="77" spans="1:5">
      <c r="A77" s="7" t="s">
        <v>79</v>
      </c>
      <c r="B77" s="3"/>
      <c r="C77" s="5">
        <v>3</v>
      </c>
      <c r="D77" s="3">
        <v>40000</v>
      </c>
      <c r="E77" s="34" t="s">
        <v>145</v>
      </c>
    </row>
    <row r="78" spans="1:5">
      <c r="A78" s="7" t="s">
        <v>80</v>
      </c>
      <c r="B78" s="3"/>
      <c r="C78" s="5">
        <v>3</v>
      </c>
      <c r="D78" s="3">
        <v>15333</v>
      </c>
      <c r="E78" s="34" t="s">
        <v>145</v>
      </c>
    </row>
    <row r="79" spans="1:5">
      <c r="A79" s="7" t="s">
        <v>81</v>
      </c>
      <c r="B79" s="3">
        <v>1</v>
      </c>
      <c r="C79" s="5">
        <v>3</v>
      </c>
      <c r="D79" s="3">
        <v>15000</v>
      </c>
      <c r="E79" s="34" t="s">
        <v>145</v>
      </c>
    </row>
    <row r="80" spans="1:5">
      <c r="A80" s="7" t="s">
        <v>82</v>
      </c>
      <c r="B80" s="3">
        <v>1</v>
      </c>
      <c r="C80" s="5">
        <v>3</v>
      </c>
      <c r="D80" s="3">
        <v>3000</v>
      </c>
      <c r="E80" s="34" t="s">
        <v>145</v>
      </c>
    </row>
    <row r="81" spans="1:5">
      <c r="A81" s="7" t="s">
        <v>83</v>
      </c>
      <c r="B81" s="3">
        <v>1</v>
      </c>
      <c r="C81" s="5">
        <v>3</v>
      </c>
      <c r="D81" s="3">
        <v>25000</v>
      </c>
      <c r="E81" s="34" t="s">
        <v>145</v>
      </c>
    </row>
    <row r="82" spans="1:5">
      <c r="A82" s="7" t="s">
        <v>84</v>
      </c>
      <c r="B82" s="3">
        <v>2</v>
      </c>
      <c r="C82" s="5">
        <v>3</v>
      </c>
      <c r="D82" s="3">
        <v>28000</v>
      </c>
      <c r="E82" s="34" t="s">
        <v>147</v>
      </c>
    </row>
    <row r="83" spans="1:5">
      <c r="A83" s="7" t="s">
        <v>85</v>
      </c>
      <c r="B83" s="3">
        <v>2</v>
      </c>
      <c r="C83" s="5">
        <v>3</v>
      </c>
      <c r="D83" s="3">
        <v>30000</v>
      </c>
      <c r="E83" s="34" t="s">
        <v>147</v>
      </c>
    </row>
    <row r="84" spans="1:5">
      <c r="A84" s="7" t="s">
        <v>86</v>
      </c>
      <c r="B84" s="3">
        <v>3</v>
      </c>
      <c r="C84" s="5">
        <v>3</v>
      </c>
      <c r="D84" s="3">
        <v>35000</v>
      </c>
      <c r="E84" s="34" t="s">
        <v>145</v>
      </c>
    </row>
    <row r="85" spans="1:5">
      <c r="A85" s="7" t="s">
        <v>87</v>
      </c>
      <c r="B85" s="3">
        <v>1</v>
      </c>
      <c r="C85" s="5">
        <v>3</v>
      </c>
      <c r="D85" s="3">
        <v>35000</v>
      </c>
      <c r="E85" s="34" t="s">
        <v>145</v>
      </c>
    </row>
    <row r="86" spans="1:5">
      <c r="A86" s="7" t="s">
        <v>88</v>
      </c>
      <c r="B86" s="3">
        <v>1</v>
      </c>
      <c r="C86" s="5">
        <v>3</v>
      </c>
      <c r="D86" s="3">
        <v>20000</v>
      </c>
      <c r="E86" s="34" t="s">
        <v>145</v>
      </c>
    </row>
    <row r="87" spans="1:5">
      <c r="A87" s="7" t="s">
        <v>89</v>
      </c>
      <c r="B87" s="3">
        <v>2</v>
      </c>
      <c r="C87" s="5">
        <v>3</v>
      </c>
      <c r="D87" s="3">
        <v>9333</v>
      </c>
      <c r="E87" s="34" t="s">
        <v>145</v>
      </c>
    </row>
    <row r="88" spans="1:5">
      <c r="A88" s="7" t="s">
        <v>90</v>
      </c>
      <c r="B88" s="3">
        <v>6</v>
      </c>
      <c r="C88" s="5">
        <v>3</v>
      </c>
      <c r="D88" s="3">
        <v>2000</v>
      </c>
      <c r="E88" s="34" t="s">
        <v>145</v>
      </c>
    </row>
    <row r="89" spans="1:5">
      <c r="A89" s="7" t="s">
        <v>91</v>
      </c>
      <c r="B89" s="3">
        <v>3</v>
      </c>
      <c r="C89" s="5">
        <v>3</v>
      </c>
      <c r="D89" s="3">
        <v>2500</v>
      </c>
      <c r="E89" s="34" t="s">
        <v>145</v>
      </c>
    </row>
    <row r="90" spans="1:5">
      <c r="A90" s="7" t="s">
        <v>92</v>
      </c>
      <c r="B90" s="3">
        <v>3</v>
      </c>
      <c r="C90" s="5">
        <v>3</v>
      </c>
      <c r="D90" s="3">
        <v>8000</v>
      </c>
      <c r="E90" s="34" t="s">
        <v>145</v>
      </c>
    </row>
    <row r="91" spans="1:5">
      <c r="A91" s="7" t="s">
        <v>93</v>
      </c>
      <c r="B91" s="3">
        <v>4</v>
      </c>
      <c r="C91" s="5">
        <v>3</v>
      </c>
      <c r="D91" s="3">
        <v>5000</v>
      </c>
      <c r="E91" s="34" t="s">
        <v>145</v>
      </c>
    </row>
    <row r="92" spans="1:5">
      <c r="A92" s="7" t="s">
        <v>94</v>
      </c>
      <c r="B92" s="3">
        <v>21</v>
      </c>
      <c r="C92" s="5">
        <v>3</v>
      </c>
      <c r="D92" s="3">
        <v>47500</v>
      </c>
      <c r="E92" s="34" t="s">
        <v>148</v>
      </c>
    </row>
    <row r="93" spans="1:5">
      <c r="A93" s="7" t="s">
        <v>95</v>
      </c>
      <c r="B93" s="3">
        <v>27</v>
      </c>
      <c r="C93" s="5">
        <v>3</v>
      </c>
      <c r="D93" s="3">
        <v>18000</v>
      </c>
      <c r="E93" s="34" t="s">
        <v>146</v>
      </c>
    </row>
    <row r="94" spans="1:5">
      <c r="A94" s="7" t="s">
        <v>96</v>
      </c>
      <c r="B94" s="3">
        <v>44</v>
      </c>
      <c r="C94" s="5">
        <v>3</v>
      </c>
      <c r="D94" s="3">
        <v>11000</v>
      </c>
      <c r="E94" s="34" t="s">
        <v>146</v>
      </c>
    </row>
    <row r="95" spans="1:5">
      <c r="A95" s="7" t="s">
        <v>97</v>
      </c>
      <c r="B95" s="3">
        <v>41</v>
      </c>
      <c r="C95" s="5">
        <v>3</v>
      </c>
      <c r="D95" s="3">
        <v>12000</v>
      </c>
      <c r="E95" s="34" t="s">
        <v>147</v>
      </c>
    </row>
    <row r="96" spans="1:5">
      <c r="A96" s="7" t="s">
        <v>98</v>
      </c>
      <c r="B96" s="3">
        <v>2</v>
      </c>
      <c r="C96" s="5">
        <v>3</v>
      </c>
      <c r="D96" s="3">
        <v>3500</v>
      </c>
      <c r="E96" s="34" t="s">
        <v>147</v>
      </c>
    </row>
    <row r="97" spans="1:5">
      <c r="A97" s="7" t="s">
        <v>99</v>
      </c>
      <c r="B97" s="3">
        <v>122</v>
      </c>
      <c r="C97" s="5">
        <v>3</v>
      </c>
      <c r="D97" s="3">
        <v>9000</v>
      </c>
      <c r="E97" s="34" t="s">
        <v>147</v>
      </c>
    </row>
    <row r="98" spans="1:5">
      <c r="A98" s="7" t="s">
        <v>100</v>
      </c>
      <c r="B98" s="3">
        <v>2</v>
      </c>
      <c r="C98" s="5">
        <v>3</v>
      </c>
      <c r="D98" s="3">
        <v>15000</v>
      </c>
      <c r="E98" s="34" t="s">
        <v>148</v>
      </c>
    </row>
    <row r="99" spans="1:5">
      <c r="A99" s="7" t="s">
        <v>101</v>
      </c>
      <c r="B99" s="3">
        <v>4</v>
      </c>
      <c r="C99" s="5">
        <v>3</v>
      </c>
      <c r="D99" s="3">
        <v>35000</v>
      </c>
      <c r="E99" s="34" t="s">
        <v>148</v>
      </c>
    </row>
    <row r="100" spans="1:5">
      <c r="A100" s="7" t="s">
        <v>102</v>
      </c>
      <c r="B100" s="3">
        <v>1</v>
      </c>
      <c r="C100" s="5">
        <v>3</v>
      </c>
      <c r="D100" s="3">
        <v>30000</v>
      </c>
      <c r="E100" s="34" t="s">
        <v>148</v>
      </c>
    </row>
    <row r="101" spans="1:5">
      <c r="A101" s="7" t="s">
        <v>103</v>
      </c>
      <c r="B101" s="3">
        <v>3</v>
      </c>
      <c r="C101" s="5">
        <v>3</v>
      </c>
      <c r="D101" s="3">
        <v>6500</v>
      </c>
      <c r="E101" s="34" t="s">
        <v>148</v>
      </c>
    </row>
    <row r="102" spans="1:5">
      <c r="A102" s="7" t="s">
        <v>104</v>
      </c>
      <c r="B102" s="3">
        <v>34</v>
      </c>
      <c r="C102" s="5">
        <v>3</v>
      </c>
      <c r="D102" s="3">
        <v>43780</v>
      </c>
      <c r="E102" s="34" t="s">
        <v>148</v>
      </c>
    </row>
    <row r="103" spans="1:5">
      <c r="A103" s="7" t="s">
        <v>105</v>
      </c>
      <c r="B103" s="3">
        <v>4</v>
      </c>
      <c r="C103" s="5">
        <v>3</v>
      </c>
      <c r="D103" s="3">
        <v>28350</v>
      </c>
      <c r="E103" s="34" t="s">
        <v>148</v>
      </c>
    </row>
    <row r="104" spans="1:5">
      <c r="A104" s="7" t="s">
        <v>106</v>
      </c>
      <c r="B104" s="3">
        <v>16</v>
      </c>
      <c r="C104" s="5">
        <v>3</v>
      </c>
      <c r="D104" s="3">
        <v>20790</v>
      </c>
      <c r="E104" s="34" t="s">
        <v>146</v>
      </c>
    </row>
    <row r="105" spans="1:5">
      <c r="A105" s="8" t="s">
        <v>107</v>
      </c>
      <c r="B105" s="9">
        <v>2</v>
      </c>
      <c r="C105" s="10">
        <v>3</v>
      </c>
      <c r="D105" s="3">
        <v>5000</v>
      </c>
      <c r="E105" s="34" t="s">
        <v>145</v>
      </c>
    </row>
    <row r="106" spans="1:5">
      <c r="A106" s="8" t="s">
        <v>108</v>
      </c>
      <c r="B106" s="9">
        <v>32</v>
      </c>
      <c r="C106" s="14">
        <v>3</v>
      </c>
      <c r="D106" s="3">
        <v>32850</v>
      </c>
      <c r="E106" s="34" t="s">
        <v>148</v>
      </c>
    </row>
    <row r="107" spans="1:5">
      <c r="A107" s="19" t="s">
        <v>120</v>
      </c>
      <c r="B107" s="9">
        <v>5</v>
      </c>
      <c r="C107" s="10">
        <v>3</v>
      </c>
      <c r="D107" s="3">
        <v>5000</v>
      </c>
      <c r="E107" s="34" t="s">
        <v>147</v>
      </c>
    </row>
    <row r="108" spans="1:5">
      <c r="A108" s="19"/>
      <c r="B108" s="9"/>
      <c r="C108" s="10"/>
      <c r="D108" s="38"/>
      <c r="E108" s="36"/>
    </row>
    <row r="109" spans="1:5">
      <c r="A109" s="34"/>
      <c r="B109" s="37"/>
      <c r="C109" s="37"/>
      <c r="D109" s="37"/>
      <c r="E109" s="37"/>
    </row>
    <row r="110" spans="1:5">
      <c r="A110" s="21"/>
      <c r="B110" s="21"/>
      <c r="C110" s="21"/>
      <c r="D110" s="21"/>
      <c r="E110" s="21"/>
    </row>
  </sheetData>
  <conditionalFormatting sqref="A2:A108">
    <cfRule type="duplicateValues" dxfId="53" priority="2"/>
  </conditionalFormatting>
  <dataValidations count="1">
    <dataValidation type="list" allowBlank="1" showInputMessage="1" showErrorMessage="1" sqref="E1:E1048576">
      <formula1>$K$2:$K$5</formula1>
    </dataValidation>
  </dataValidations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3:AE32"/>
  <sheetViews>
    <sheetView topLeftCell="U1" workbookViewId="0">
      <selection activeCell="Z12" sqref="Z12"/>
    </sheetView>
  </sheetViews>
  <sheetFormatPr baseColWidth="10" defaultRowHeight="15"/>
  <cols>
    <col min="1" max="1" width="20.7109375" customWidth="1"/>
    <col min="2" max="2" width="14.28515625" customWidth="1"/>
    <col min="3" max="3" width="6.28515625" customWidth="1"/>
    <col min="4" max="4" width="20.7109375" bestFit="1" customWidth="1"/>
    <col min="5" max="5" width="22" style="116" bestFit="1" customWidth="1"/>
    <col min="7" max="7" width="20.7109375" customWidth="1"/>
    <col min="8" max="8" width="25" style="116" bestFit="1" customWidth="1"/>
    <col min="9" max="9" width="14" style="116" bestFit="1" customWidth="1"/>
    <col min="10" max="10" width="12.5703125" bestFit="1" customWidth="1"/>
    <col min="11" max="11" width="20.7109375" customWidth="1"/>
    <col min="12" max="12" width="25" style="116" bestFit="1" customWidth="1"/>
    <col min="13" max="13" width="14" style="116" bestFit="1" customWidth="1"/>
    <col min="14" max="14" width="12.5703125" bestFit="1" customWidth="1"/>
    <col min="15" max="15" width="20.7109375" bestFit="1" customWidth="1"/>
    <col min="16" max="16" width="20.42578125" bestFit="1" customWidth="1"/>
    <col min="17" max="17" width="21.5703125" bestFit="1" customWidth="1"/>
    <col min="23" max="23" width="20.7109375" bestFit="1" customWidth="1"/>
    <col min="24" max="24" width="26.7109375" style="116" customWidth="1"/>
    <col min="25" max="25" width="18" style="116" customWidth="1"/>
    <col min="27" max="27" width="20.7109375" bestFit="1" customWidth="1"/>
    <col min="28" max="28" width="23.5703125" bestFit="1" customWidth="1"/>
    <col min="29" max="30" width="6.28515625" bestFit="1" customWidth="1"/>
    <col min="31" max="31" width="12.5703125" bestFit="1" customWidth="1"/>
  </cols>
  <sheetData>
    <row r="3" spans="1:31">
      <c r="A3" s="18" t="s">
        <v>149</v>
      </c>
      <c r="B3" t="s">
        <v>154</v>
      </c>
      <c r="D3" s="18" t="s">
        <v>149</v>
      </c>
      <c r="E3" s="117" t="s">
        <v>156</v>
      </c>
      <c r="G3" s="18" t="s">
        <v>156</v>
      </c>
      <c r="H3" s="118" t="s">
        <v>150</v>
      </c>
      <c r="I3" s="117"/>
      <c r="K3" s="18" t="s">
        <v>156</v>
      </c>
      <c r="L3" s="118" t="s">
        <v>150</v>
      </c>
      <c r="M3" s="117"/>
      <c r="P3" s="18" t="s">
        <v>157</v>
      </c>
      <c r="S3" s="108"/>
      <c r="T3" s="109"/>
      <c r="U3" s="110"/>
      <c r="X3" s="118" t="s">
        <v>157</v>
      </c>
      <c r="Y3" s="117"/>
      <c r="AA3" s="18" t="s">
        <v>154</v>
      </c>
      <c r="AB3" s="18" t="s">
        <v>150</v>
      </c>
    </row>
    <row r="4" spans="1:31">
      <c r="A4" s="41" t="s">
        <v>113</v>
      </c>
      <c r="B4" s="23">
        <v>68</v>
      </c>
      <c r="D4" s="41" t="s">
        <v>113</v>
      </c>
      <c r="E4" s="117">
        <v>486832</v>
      </c>
      <c r="G4" s="18" t="s">
        <v>149</v>
      </c>
      <c r="H4" s="117" t="s">
        <v>114</v>
      </c>
      <c r="I4" s="117" t="s">
        <v>118</v>
      </c>
      <c r="K4" s="18" t="s">
        <v>149</v>
      </c>
      <c r="L4" s="117" t="s">
        <v>113</v>
      </c>
      <c r="M4" s="117" t="s">
        <v>118</v>
      </c>
      <c r="O4" s="18" t="s">
        <v>149</v>
      </c>
      <c r="P4" t="s">
        <v>156</v>
      </c>
      <c r="Q4" t="s">
        <v>172</v>
      </c>
      <c r="S4" s="144"/>
      <c r="T4" s="145"/>
      <c r="U4" s="146"/>
      <c r="W4" s="18" t="s">
        <v>149</v>
      </c>
      <c r="X4" s="117" t="s">
        <v>205</v>
      </c>
      <c r="Y4" s="117" t="s">
        <v>206</v>
      </c>
      <c r="AA4" s="18" t="s">
        <v>149</v>
      </c>
      <c r="AB4" t="s">
        <v>113</v>
      </c>
      <c r="AC4" t="s">
        <v>114</v>
      </c>
      <c r="AD4" t="s">
        <v>247</v>
      </c>
      <c r="AE4" t="s">
        <v>118</v>
      </c>
    </row>
    <row r="5" spans="1:31">
      <c r="A5" s="41" t="s">
        <v>114</v>
      </c>
      <c r="B5" s="23">
        <v>117</v>
      </c>
      <c r="D5" s="41" t="s">
        <v>114</v>
      </c>
      <c r="E5" s="117">
        <v>873400</v>
      </c>
      <c r="G5" s="41" t="s">
        <v>10</v>
      </c>
      <c r="H5" s="117">
        <v>227000</v>
      </c>
      <c r="I5" s="117">
        <v>227000</v>
      </c>
      <c r="K5" s="41" t="s">
        <v>83</v>
      </c>
      <c r="L5" s="117">
        <v>125000</v>
      </c>
      <c r="M5" s="117">
        <v>125000</v>
      </c>
      <c r="O5" s="41" t="s">
        <v>145</v>
      </c>
      <c r="P5" s="23">
        <v>605832</v>
      </c>
      <c r="Q5" s="51">
        <v>0.44538872780525673</v>
      </c>
      <c r="S5" s="144"/>
      <c r="T5" s="145"/>
      <c r="U5" s="146"/>
      <c r="W5" s="41" t="s">
        <v>194</v>
      </c>
      <c r="X5" s="117">
        <v>47050000</v>
      </c>
      <c r="Y5" s="117">
        <v>28550000</v>
      </c>
      <c r="AA5" s="41" t="s">
        <v>6</v>
      </c>
      <c r="AB5" s="23"/>
      <c r="AC5" s="23">
        <v>38</v>
      </c>
      <c r="AD5" s="23"/>
      <c r="AE5" s="23">
        <v>38</v>
      </c>
    </row>
    <row r="6" spans="1:31">
      <c r="A6" s="41" t="s">
        <v>247</v>
      </c>
      <c r="B6" s="23">
        <v>0</v>
      </c>
      <c r="D6" s="41" t="s">
        <v>247</v>
      </c>
      <c r="E6" s="117">
        <v>0</v>
      </c>
      <c r="G6" s="41" t="s">
        <v>26</v>
      </c>
      <c r="H6" s="117">
        <v>153000</v>
      </c>
      <c r="I6" s="117">
        <v>153000</v>
      </c>
      <c r="K6" s="41" t="s">
        <v>68</v>
      </c>
      <c r="L6" s="117">
        <v>120000</v>
      </c>
      <c r="M6" s="117">
        <v>120000</v>
      </c>
      <c r="O6" s="41" t="s">
        <v>147</v>
      </c>
      <c r="P6" s="23">
        <v>409000</v>
      </c>
      <c r="Q6" s="51">
        <v>0.30068400096454134</v>
      </c>
      <c r="S6" s="144"/>
      <c r="T6" s="145"/>
      <c r="U6" s="146"/>
      <c r="W6" s="41" t="s">
        <v>214</v>
      </c>
      <c r="X6" s="117">
        <v>6443500</v>
      </c>
      <c r="Y6" s="117">
        <v>1943500</v>
      </c>
      <c r="AA6" s="41" t="s">
        <v>8</v>
      </c>
      <c r="AB6" s="23"/>
      <c r="AC6" s="23">
        <v>3</v>
      </c>
      <c r="AD6" s="23"/>
      <c r="AE6" s="23">
        <v>3</v>
      </c>
    </row>
    <row r="7" spans="1:31">
      <c r="A7" s="41" t="s">
        <v>118</v>
      </c>
      <c r="B7" s="23">
        <v>185</v>
      </c>
      <c r="D7" s="41" t="s">
        <v>118</v>
      </c>
      <c r="E7" s="117">
        <v>1360232</v>
      </c>
      <c r="G7" s="41" t="s">
        <v>20</v>
      </c>
      <c r="H7" s="117">
        <v>136000</v>
      </c>
      <c r="I7" s="117">
        <v>136000</v>
      </c>
      <c r="K7" s="41" t="s">
        <v>73</v>
      </c>
      <c r="L7" s="117">
        <v>41332</v>
      </c>
      <c r="M7" s="117">
        <v>41332</v>
      </c>
      <c r="O7" s="41" t="s">
        <v>146</v>
      </c>
      <c r="P7" s="23">
        <v>255200</v>
      </c>
      <c r="Q7" s="51">
        <v>0.18761505390256955</v>
      </c>
      <c r="S7" s="144"/>
      <c r="T7" s="145"/>
      <c r="U7" s="146"/>
      <c r="W7" s="41" t="s">
        <v>215</v>
      </c>
      <c r="X7" s="117">
        <v>5361000</v>
      </c>
      <c r="Y7" s="117">
        <v>1361000</v>
      </c>
      <c r="AA7" s="41" t="s">
        <v>10</v>
      </c>
      <c r="AB7" s="23">
        <v>5</v>
      </c>
      <c r="AC7" s="23">
        <v>13</v>
      </c>
      <c r="AD7" s="23"/>
      <c r="AE7" s="23">
        <v>18</v>
      </c>
    </row>
    <row r="8" spans="1:31">
      <c r="G8" s="41" t="s">
        <v>6</v>
      </c>
      <c r="H8" s="117">
        <v>95000</v>
      </c>
      <c r="I8" s="117">
        <v>95000</v>
      </c>
      <c r="K8" s="41" t="s">
        <v>120</v>
      </c>
      <c r="L8" s="117">
        <v>35000</v>
      </c>
      <c r="M8" s="117">
        <v>35000</v>
      </c>
      <c r="O8" s="41" t="s">
        <v>148</v>
      </c>
      <c r="P8" s="23">
        <v>90200</v>
      </c>
      <c r="Q8" s="51">
        <v>6.6312217327632345E-2</v>
      </c>
      <c r="S8" s="144"/>
      <c r="T8" s="145"/>
      <c r="U8" s="146"/>
      <c r="W8" s="41" t="s">
        <v>188</v>
      </c>
      <c r="X8" s="117">
        <v>3240000</v>
      </c>
      <c r="Y8" s="117">
        <v>2040000</v>
      </c>
      <c r="AA8" s="41" t="s">
        <v>11</v>
      </c>
      <c r="AB8" s="23"/>
      <c r="AC8" s="23">
        <v>1</v>
      </c>
      <c r="AD8" s="23"/>
      <c r="AE8" s="23">
        <v>1</v>
      </c>
    </row>
    <row r="9" spans="1:31">
      <c r="G9" s="41" t="s">
        <v>49</v>
      </c>
      <c r="H9" s="117">
        <v>63000</v>
      </c>
      <c r="I9" s="117">
        <v>63000</v>
      </c>
      <c r="K9" s="41" t="s">
        <v>33</v>
      </c>
      <c r="L9" s="117">
        <v>35000</v>
      </c>
      <c r="M9" s="117">
        <v>35000</v>
      </c>
      <c r="O9" s="41"/>
      <c r="P9" s="23">
        <v>0</v>
      </c>
      <c r="Q9" s="51">
        <v>0</v>
      </c>
      <c r="S9" s="144"/>
      <c r="T9" s="145"/>
      <c r="U9" s="146"/>
      <c r="W9" s="41" t="s">
        <v>216</v>
      </c>
      <c r="X9" s="117">
        <v>1067500</v>
      </c>
      <c r="Y9" s="117">
        <v>567500</v>
      </c>
      <c r="AA9" s="41" t="s">
        <v>12</v>
      </c>
      <c r="AB9" s="23">
        <v>5</v>
      </c>
      <c r="AC9" s="23">
        <v>6</v>
      </c>
      <c r="AD9" s="23"/>
      <c r="AE9" s="23">
        <v>11</v>
      </c>
    </row>
    <row r="10" spans="1:31">
      <c r="G10" s="41" t="s">
        <v>46</v>
      </c>
      <c r="H10" s="117">
        <v>50000</v>
      </c>
      <c r="I10" s="117">
        <v>50000</v>
      </c>
      <c r="K10" s="41" t="s">
        <v>47</v>
      </c>
      <c r="L10" s="117">
        <v>30000</v>
      </c>
      <c r="M10" s="117">
        <v>30000</v>
      </c>
      <c r="O10" s="41" t="s">
        <v>118</v>
      </c>
      <c r="P10" s="23">
        <v>1360232</v>
      </c>
      <c r="Q10" s="51">
        <v>1</v>
      </c>
      <c r="S10" s="144"/>
      <c r="T10" s="145"/>
      <c r="U10" s="146"/>
      <c r="W10" s="41" t="s">
        <v>118</v>
      </c>
      <c r="X10" s="117">
        <v>63162000</v>
      </c>
      <c r="Y10" s="117">
        <v>34462000</v>
      </c>
      <c r="AA10" s="41" t="s">
        <v>15</v>
      </c>
      <c r="AB10" s="23"/>
      <c r="AC10" s="23">
        <v>6</v>
      </c>
      <c r="AD10" s="23"/>
      <c r="AE10" s="23">
        <v>6</v>
      </c>
    </row>
    <row r="11" spans="1:31">
      <c r="G11" s="41" t="s">
        <v>12</v>
      </c>
      <c r="H11" s="117">
        <v>30000</v>
      </c>
      <c r="I11" s="117">
        <v>30000</v>
      </c>
      <c r="K11" s="41" t="s">
        <v>12</v>
      </c>
      <c r="L11" s="117">
        <v>25000</v>
      </c>
      <c r="M11" s="117">
        <v>25000</v>
      </c>
      <c r="S11" s="144"/>
      <c r="T11" s="145"/>
      <c r="U11" s="146"/>
      <c r="AA11" s="41" t="s">
        <v>20</v>
      </c>
      <c r="AB11" s="23"/>
      <c r="AC11" s="23">
        <v>8</v>
      </c>
      <c r="AD11" s="23"/>
      <c r="AE11" s="23">
        <v>8</v>
      </c>
    </row>
    <row r="12" spans="1:31">
      <c r="G12" s="41" t="s">
        <v>40</v>
      </c>
      <c r="H12" s="117">
        <v>30000</v>
      </c>
      <c r="I12" s="117">
        <v>30000</v>
      </c>
      <c r="K12" s="41" t="s">
        <v>60</v>
      </c>
      <c r="L12" s="117">
        <v>25000</v>
      </c>
      <c r="M12" s="117">
        <v>25000</v>
      </c>
      <c r="S12" s="144"/>
      <c r="T12" s="145"/>
      <c r="U12" s="146"/>
      <c r="AA12" s="41" t="s">
        <v>26</v>
      </c>
      <c r="AB12" s="23">
        <v>4</v>
      </c>
      <c r="AC12" s="23">
        <v>13</v>
      </c>
      <c r="AD12" s="23"/>
      <c r="AE12" s="23">
        <v>17</v>
      </c>
    </row>
    <row r="13" spans="1:31">
      <c r="G13" s="41" t="s">
        <v>106</v>
      </c>
      <c r="H13" s="117">
        <v>17400</v>
      </c>
      <c r="I13" s="117">
        <v>17400</v>
      </c>
      <c r="K13" s="41" t="s">
        <v>45</v>
      </c>
      <c r="L13" s="117">
        <v>22500</v>
      </c>
      <c r="M13" s="117">
        <v>22500</v>
      </c>
      <c r="S13" s="144"/>
      <c r="T13" s="145"/>
      <c r="U13" s="146"/>
      <c r="AA13" s="41" t="s">
        <v>27</v>
      </c>
      <c r="AB13" s="23"/>
      <c r="AC13" s="23">
        <v>1</v>
      </c>
      <c r="AD13" s="23"/>
      <c r="AE13" s="23">
        <v>1</v>
      </c>
    </row>
    <row r="14" spans="1:31">
      <c r="G14" s="41" t="s">
        <v>69</v>
      </c>
      <c r="H14" s="117">
        <v>12000</v>
      </c>
      <c r="I14" s="117">
        <v>12000</v>
      </c>
      <c r="K14" s="41" t="s">
        <v>82</v>
      </c>
      <c r="L14" s="117">
        <v>18000</v>
      </c>
      <c r="M14" s="117">
        <v>18000</v>
      </c>
      <c r="S14" s="144"/>
      <c r="T14" s="145"/>
      <c r="U14" s="146"/>
      <c r="AA14" s="41" t="s">
        <v>82</v>
      </c>
      <c r="AB14" s="23">
        <v>6</v>
      </c>
      <c r="AC14" s="23"/>
      <c r="AD14" s="23"/>
      <c r="AE14" s="23">
        <v>6</v>
      </c>
    </row>
    <row r="15" spans="1:31">
      <c r="G15" s="41" t="s">
        <v>8</v>
      </c>
      <c r="H15" s="117">
        <v>11000</v>
      </c>
      <c r="I15" s="117">
        <v>11000</v>
      </c>
      <c r="K15" s="41" t="s">
        <v>26</v>
      </c>
      <c r="L15" s="117">
        <v>10000</v>
      </c>
      <c r="M15" s="117">
        <v>10000</v>
      </c>
      <c r="S15" s="144"/>
      <c r="T15" s="145"/>
      <c r="U15" s="146"/>
      <c r="AA15" s="41" t="s">
        <v>83</v>
      </c>
      <c r="AB15" s="23">
        <v>5</v>
      </c>
      <c r="AC15" s="23"/>
      <c r="AD15" s="23"/>
      <c r="AE15" s="23">
        <v>5</v>
      </c>
    </row>
    <row r="16" spans="1:31">
      <c r="G16" s="41" t="s">
        <v>95</v>
      </c>
      <c r="H16" s="117">
        <v>10800</v>
      </c>
      <c r="I16" s="117">
        <v>10800</v>
      </c>
      <c r="K16" s="41" t="s">
        <v>10</v>
      </c>
      <c r="L16" s="117">
        <v>0</v>
      </c>
      <c r="M16" s="117">
        <v>0</v>
      </c>
      <c r="S16" s="144"/>
      <c r="T16" s="145"/>
      <c r="U16" s="146"/>
      <c r="AA16" s="41" t="s">
        <v>33</v>
      </c>
      <c r="AB16" s="23">
        <v>10</v>
      </c>
      <c r="AC16" s="23"/>
      <c r="AD16" s="23"/>
      <c r="AE16" s="23">
        <v>10</v>
      </c>
    </row>
    <row r="17" spans="7:31">
      <c r="G17" s="41" t="s">
        <v>27</v>
      </c>
      <c r="H17" s="117">
        <v>10000</v>
      </c>
      <c r="I17" s="117">
        <v>10000</v>
      </c>
      <c r="K17" s="41" t="s">
        <v>118</v>
      </c>
      <c r="L17" s="117">
        <v>486832</v>
      </c>
      <c r="M17" s="117">
        <v>486832</v>
      </c>
      <c r="S17" s="144"/>
      <c r="T17" s="145"/>
      <c r="U17" s="146"/>
      <c r="AA17" s="41" t="s">
        <v>106</v>
      </c>
      <c r="AB17" s="23"/>
      <c r="AC17" s="23">
        <v>3</v>
      </c>
      <c r="AD17" s="23"/>
      <c r="AE17" s="23">
        <v>3</v>
      </c>
    </row>
    <row r="18" spans="7:31">
      <c r="G18" s="41" t="s">
        <v>15</v>
      </c>
      <c r="H18" s="117">
        <v>9000</v>
      </c>
      <c r="I18" s="117">
        <v>9000</v>
      </c>
      <c r="S18" s="144"/>
      <c r="T18" s="145"/>
      <c r="U18" s="146"/>
      <c r="AA18" s="41" t="s">
        <v>34</v>
      </c>
      <c r="AB18" s="23"/>
      <c r="AC18" s="23">
        <v>1</v>
      </c>
      <c r="AD18" s="23"/>
      <c r="AE18" s="23">
        <v>1</v>
      </c>
    </row>
    <row r="19" spans="7:31">
      <c r="G19" s="41" t="s">
        <v>11</v>
      </c>
      <c r="H19" s="117">
        <v>7500</v>
      </c>
      <c r="I19" s="117">
        <v>7500</v>
      </c>
      <c r="S19" s="144"/>
      <c r="T19" s="145"/>
      <c r="U19" s="146"/>
      <c r="AA19" s="41" t="s">
        <v>45</v>
      </c>
      <c r="AB19" s="23">
        <v>3</v>
      </c>
      <c r="AC19" s="23"/>
      <c r="AD19" s="23"/>
      <c r="AE19" s="23">
        <v>3</v>
      </c>
    </row>
    <row r="20" spans="7:31">
      <c r="G20" s="41" t="s">
        <v>34</v>
      </c>
      <c r="H20" s="117">
        <v>6000</v>
      </c>
      <c r="I20" s="117">
        <v>6000</v>
      </c>
      <c r="S20" s="147"/>
      <c r="T20" s="148"/>
      <c r="U20" s="149"/>
      <c r="AA20" s="41" t="s">
        <v>46</v>
      </c>
      <c r="AB20" s="23"/>
      <c r="AC20" s="23">
        <v>6</v>
      </c>
      <c r="AD20" s="23"/>
      <c r="AE20" s="23">
        <v>6</v>
      </c>
    </row>
    <row r="21" spans="7:31">
      <c r="G21" s="41" t="s">
        <v>108</v>
      </c>
      <c r="H21" s="117">
        <v>5700</v>
      </c>
      <c r="I21" s="117">
        <v>5700</v>
      </c>
      <c r="AA21" s="41" t="s">
        <v>47</v>
      </c>
      <c r="AB21" s="23">
        <v>2</v>
      </c>
      <c r="AC21" s="23"/>
      <c r="AD21" s="23"/>
      <c r="AE21" s="23">
        <v>2</v>
      </c>
    </row>
    <row r="22" spans="7:31">
      <c r="G22" s="41" t="s">
        <v>118</v>
      </c>
      <c r="H22" s="117">
        <v>873400</v>
      </c>
      <c r="I22" s="117">
        <v>873400</v>
      </c>
      <c r="AA22" s="41" t="s">
        <v>49</v>
      </c>
      <c r="AB22" s="23"/>
      <c r="AC22" s="23">
        <v>10</v>
      </c>
      <c r="AD22" s="23"/>
      <c r="AE22" s="23">
        <v>10</v>
      </c>
    </row>
    <row r="23" spans="7:31">
      <c r="AA23" s="41" t="s">
        <v>60</v>
      </c>
      <c r="AB23" s="23">
        <v>5</v>
      </c>
      <c r="AC23" s="23"/>
      <c r="AD23" s="23"/>
      <c r="AE23" s="23">
        <v>5</v>
      </c>
    </row>
    <row r="24" spans="7:31">
      <c r="AA24" s="41" t="s">
        <v>68</v>
      </c>
      <c r="AB24" s="23">
        <v>12</v>
      </c>
      <c r="AC24" s="23"/>
      <c r="AD24" s="23"/>
      <c r="AE24" s="23">
        <v>12</v>
      </c>
    </row>
    <row r="25" spans="7:31">
      <c r="AA25" s="41" t="s">
        <v>120</v>
      </c>
      <c r="AB25" s="23">
        <v>7</v>
      </c>
      <c r="AC25" s="23"/>
      <c r="AD25" s="23"/>
      <c r="AE25" s="23">
        <v>7</v>
      </c>
    </row>
    <row r="26" spans="7:31">
      <c r="AA26" s="41" t="s">
        <v>95</v>
      </c>
      <c r="AB26" s="23"/>
      <c r="AC26" s="23">
        <v>2</v>
      </c>
      <c r="AD26" s="23"/>
      <c r="AE26" s="23">
        <v>2</v>
      </c>
    </row>
    <row r="27" spans="7:31">
      <c r="AA27" s="41" t="s">
        <v>69</v>
      </c>
      <c r="AB27" s="23"/>
      <c r="AC27" s="23">
        <v>2</v>
      </c>
      <c r="AD27" s="23"/>
      <c r="AE27" s="23">
        <v>2</v>
      </c>
    </row>
    <row r="28" spans="7:31">
      <c r="AA28" s="41" t="s">
        <v>73</v>
      </c>
      <c r="AB28" s="23">
        <v>4</v>
      </c>
      <c r="AC28" s="23"/>
      <c r="AD28" s="23"/>
      <c r="AE28" s="23">
        <v>4</v>
      </c>
    </row>
    <row r="29" spans="7:31">
      <c r="AA29" s="41" t="s">
        <v>108</v>
      </c>
      <c r="AB29" s="23"/>
      <c r="AC29" s="23">
        <v>1</v>
      </c>
      <c r="AD29" s="23"/>
      <c r="AE29" s="23">
        <v>1</v>
      </c>
    </row>
    <row r="30" spans="7:31">
      <c r="AA30" s="41" t="s">
        <v>247</v>
      </c>
      <c r="AB30" s="23"/>
      <c r="AC30" s="23"/>
      <c r="AD30" s="23">
        <v>0</v>
      </c>
      <c r="AE30" s="23">
        <v>0</v>
      </c>
    </row>
    <row r="31" spans="7:31">
      <c r="AA31" s="41" t="s">
        <v>40</v>
      </c>
      <c r="AB31" s="23"/>
      <c r="AC31" s="23">
        <v>3</v>
      </c>
      <c r="AD31" s="23"/>
      <c r="AE31" s="23">
        <v>3</v>
      </c>
    </row>
    <row r="32" spans="7:31">
      <c r="AA32" s="41" t="s">
        <v>118</v>
      </c>
      <c r="AB32" s="23">
        <v>68</v>
      </c>
      <c r="AC32" s="23">
        <v>117</v>
      </c>
      <c r="AD32" s="23">
        <v>0</v>
      </c>
      <c r="AE32" s="23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M163"/>
  <sheetViews>
    <sheetView workbookViewId="0">
      <selection activeCell="C1" sqref="C1"/>
    </sheetView>
  </sheetViews>
  <sheetFormatPr baseColWidth="10" defaultRowHeight="15.75"/>
  <cols>
    <col min="1" max="1" width="12.42578125" style="172" customWidth="1"/>
    <col min="2" max="2" width="11.42578125" style="47" bestFit="1" customWidth="1"/>
    <col min="3" max="3" width="23.140625" style="47" customWidth="1"/>
    <col min="4" max="4" width="23.140625" style="180" customWidth="1"/>
    <col min="5" max="5" width="8.42578125" style="47" bestFit="1" customWidth="1"/>
    <col min="6" max="6" width="9.28515625" style="48" bestFit="1" customWidth="1"/>
    <col min="7" max="7" width="13.7109375" style="184" customWidth="1"/>
    <col min="8" max="8" width="10.42578125" style="40" bestFit="1" customWidth="1"/>
    <col min="9" max="9" width="12.7109375" style="187" bestFit="1" customWidth="1"/>
    <col min="10" max="10" width="15.5703125" style="40" bestFit="1" customWidth="1"/>
    <col min="11" max="11" width="19" style="46" customWidth="1"/>
    <col min="12" max="12" width="11.85546875" style="46" bestFit="1" customWidth="1"/>
    <col min="13" max="16384" width="11.42578125" style="46"/>
  </cols>
  <sheetData>
    <row r="1" spans="1:13" ht="16.5">
      <c r="A1" s="173" t="s">
        <v>2</v>
      </c>
      <c r="B1" s="174" t="s">
        <v>117</v>
      </c>
      <c r="C1" s="174" t="s">
        <v>109</v>
      </c>
      <c r="D1" s="177" t="s">
        <v>112</v>
      </c>
      <c r="E1" s="174" t="s">
        <v>171</v>
      </c>
      <c r="F1" s="175" t="s">
        <v>151</v>
      </c>
      <c r="G1" s="181" t="s">
        <v>152</v>
      </c>
      <c r="H1" s="176" t="s">
        <v>153</v>
      </c>
      <c r="I1" s="185" t="s">
        <v>155</v>
      </c>
      <c r="J1" s="176" t="s">
        <v>116</v>
      </c>
    </row>
    <row r="2" spans="1:13">
      <c r="A2" s="20">
        <v>42917</v>
      </c>
      <c r="B2" s="20" t="s">
        <v>122</v>
      </c>
      <c r="C2" s="22" t="s">
        <v>6</v>
      </c>
      <c r="D2" s="178" t="str">
        <f>IFERROR(VLOOKUP(Tsuivistock[[#This Row],[PRODUCTS]],LISTES!$A$2:$E$107,5,0),"")</f>
        <v>Vetements mixtes</v>
      </c>
      <c r="E2" s="22" t="s">
        <v>114</v>
      </c>
      <c r="F2" s="42">
        <v>38</v>
      </c>
      <c r="G2" s="182">
        <f>IFERROR(VLOOKUP(Tsuivistock[[#This Row],[PRODUCTS]],Tproduits[#All],4,0),"")</f>
        <v>6500</v>
      </c>
      <c r="H2" s="39">
        <v>2500</v>
      </c>
      <c r="I2" s="186">
        <f>IFERROR(Tsuivistock[[#This Row],[QTE]]*Tsuivistock[[#This Row],[P.V]],"")</f>
        <v>95000</v>
      </c>
      <c r="J2" s="40" t="str">
        <f>IF(IFERROR(VLOOKUP(Tsuivistock[[#This Row],[PRODUCTS]],Tproduits[],2,0)+ SUMIFS(F$2:F2,C$2:C2,[PRODUCTS],E$2:E2, "Entree")- SUMIFS(F$2:F2,C$2:C2,[PRODUCTS],E$2:E2,"Sortie"),"")&lt;=0,"STOCK EPUISE",IFERROR(VLOOKUP(Tsuivistock[[#This Row],[PRODUCTS]],Tproduits[],2,0)+ SUMIFS(F$2:F2,C$2:C2,[PRODUCTS],E$2:E2, "Entree")- SUMIFS(F$2:F2,C$2:C2,[PRODUCTS],E$2:E2,"Sortie"),""))</f>
        <v>STOCK EPUISE</v>
      </c>
      <c r="L2" s="50">
        <v>1</v>
      </c>
      <c r="M2" s="50" t="s">
        <v>132</v>
      </c>
    </row>
    <row r="3" spans="1:13">
      <c r="A3" s="20">
        <v>42918</v>
      </c>
      <c r="B3" s="20" t="s">
        <v>125</v>
      </c>
      <c r="C3" s="22" t="s">
        <v>8</v>
      </c>
      <c r="D3" s="178" t="str">
        <f>IFERROR(VLOOKUP(Tsuivistock[[#This Row],[PRODUCTS]],LISTES!$A$2:$E$107,5,0),"")</f>
        <v>Vetements mixtes</v>
      </c>
      <c r="E3" s="22" t="s">
        <v>114</v>
      </c>
      <c r="F3" s="42">
        <v>2</v>
      </c>
      <c r="G3" s="182">
        <f>VLOOKUP(Tsuivistock[[#This Row],[PRODUCTS]],Tproduits[#All],4,0)</f>
        <v>2000</v>
      </c>
      <c r="H3" s="39">
        <v>4000</v>
      </c>
      <c r="I3" s="186">
        <f>IFERROR(Tsuivistock[[#This Row],[QTE]]*Tsuivistock[[#This Row],[P.V]],"")</f>
        <v>8000</v>
      </c>
      <c r="J3" s="40">
        <f>IF(IFERROR(VLOOKUP(Tsuivistock[[#This Row],[PRODUCTS]],Tproduits[],2,0)+ SUMIFS(F$2:F3,C$2:C3,[PRODUCTS],E$2:E3, "Entree")- SUMIFS(F$2:F3,C$2:C3,[PRODUCTS],E$2:E3,"Sortie"),"")&lt;=0,"STOCK EPUISE",IFERROR(VLOOKUP(Tsuivistock[[#This Row],[PRODUCTS]],Tproduits[],2,0)+ SUMIFS(F$2:F3,C$2:C3,[PRODUCTS],E$2:E3, "Entree")- SUMIFS(F$2:F3,C$2:C3,[PRODUCTS],E$2:E3,"Sortie"),""))</f>
        <v>47</v>
      </c>
      <c r="L3" s="50">
        <v>2</v>
      </c>
      <c r="M3" s="50" t="s">
        <v>133</v>
      </c>
    </row>
    <row r="4" spans="1:13">
      <c r="A4" s="20">
        <v>42919</v>
      </c>
      <c r="B4" s="20" t="s">
        <v>130</v>
      </c>
      <c r="C4" s="22" t="s">
        <v>12</v>
      </c>
      <c r="D4" s="178" t="str">
        <f>IFERROR(VLOOKUP(Tsuivistock[[#This Row],[PRODUCTS]],LISTES!$A$2:$E$107,5,0),"")</f>
        <v>Vetements femmes</v>
      </c>
      <c r="E4" s="22" t="s">
        <v>113</v>
      </c>
      <c r="F4" s="42">
        <v>5</v>
      </c>
      <c r="G4" s="182">
        <f>VLOOKUP(Tsuivistock[[#This Row],[PRODUCTS]],Tproduits[#All],4,0)</f>
        <v>3500</v>
      </c>
      <c r="H4" s="39">
        <v>5000</v>
      </c>
      <c r="I4" s="186">
        <f>IFERROR(Tsuivistock[[#This Row],[QTE]]*Tsuivistock[[#This Row],[P.V]],"")</f>
        <v>25000</v>
      </c>
      <c r="J4" s="40">
        <f>IF(IFERROR(VLOOKUP(Tsuivistock[[#This Row],[PRODUCTS]],Tproduits[],2,0)+ SUMIFS(F$2:F4,C$2:C4,[PRODUCTS],E$2:E4, "Entree")- SUMIFS(F$2:F4,C$2:C4,[PRODUCTS],E$2:E4,"Sortie"),"")&lt;=0,"STOCK EPUISE",IFERROR(VLOOKUP(Tsuivistock[[#This Row],[PRODUCTS]],Tproduits[],2,0)+ SUMIFS(F$2:F4,C$2:C4,[PRODUCTS],E$2:E4, "Entree")- SUMIFS(F$2:F4,C$2:C4,[PRODUCTS],E$2:E4,"Sortie"),""))</f>
        <v>18</v>
      </c>
      <c r="L4" s="50">
        <v>3</v>
      </c>
      <c r="M4" s="50" t="s">
        <v>134</v>
      </c>
    </row>
    <row r="5" spans="1:13">
      <c r="A5" s="20">
        <v>42920</v>
      </c>
      <c r="B5" s="20" t="s">
        <v>126</v>
      </c>
      <c r="C5" s="22" t="s">
        <v>15</v>
      </c>
      <c r="D5" s="178" t="str">
        <f>IFERROR(VLOOKUP(Tsuivistock[[#This Row],[PRODUCTS]],LISTES!$A$2:$E$107,5,0),"")</f>
        <v>Vetements femmes</v>
      </c>
      <c r="E5" s="22" t="s">
        <v>114</v>
      </c>
      <c r="F5" s="42">
        <v>6</v>
      </c>
      <c r="G5" s="182">
        <f>VLOOKUP(Tsuivistock[[#This Row],[PRODUCTS]],Tproduits[#All],4,0)</f>
        <v>9333</v>
      </c>
      <c r="H5" s="39">
        <v>1500</v>
      </c>
      <c r="I5" s="186">
        <f>IFERROR(Tsuivistock[[#This Row],[QTE]]*Tsuivistock[[#This Row],[P.V]],"")</f>
        <v>9000</v>
      </c>
      <c r="J5" s="40">
        <f>IF(IFERROR(VLOOKUP(Tsuivistock[[#This Row],[PRODUCTS]],Tproduits[],2,0)+ SUMIFS(F$2:F5,C$2:C5,[PRODUCTS],E$2:E5, "Entree")- SUMIFS(F$2:F5,C$2:C5,[PRODUCTS],E$2:E5,"Sortie"),"")&lt;=0,"STOCK EPUISE",IFERROR(VLOOKUP(Tsuivistock[[#This Row],[PRODUCTS]],Tproduits[],2,0)+ SUMIFS(F$2:F5,C$2:C5,[PRODUCTS],E$2:E5, "Entree")- SUMIFS(F$2:F5,C$2:C5,[PRODUCTS],E$2:E5,"Sortie"),""))</f>
        <v>1</v>
      </c>
      <c r="L5" s="26">
        <v>4</v>
      </c>
      <c r="M5" s="50" t="s">
        <v>135</v>
      </c>
    </row>
    <row r="6" spans="1:13">
      <c r="A6" s="20">
        <v>42921</v>
      </c>
      <c r="B6" s="20" t="s">
        <v>123</v>
      </c>
      <c r="C6" s="22" t="s">
        <v>10</v>
      </c>
      <c r="D6" s="178" t="str">
        <f>IFERROR(VLOOKUP(Tsuivistock[[#This Row],[PRODUCTS]],LISTES!$A$2:$E$107,5,0),"")</f>
        <v>Vetements Hommes</v>
      </c>
      <c r="E6" s="22" t="s">
        <v>114</v>
      </c>
      <c r="F6" s="42">
        <v>9</v>
      </c>
      <c r="G6" s="182">
        <f>VLOOKUP(Tsuivistock[[#This Row],[PRODUCTS]],Tproduits[#All],4,0)</f>
        <v>70000</v>
      </c>
      <c r="H6" s="39">
        <v>3000</v>
      </c>
      <c r="I6" s="186">
        <f>IFERROR(Tsuivistock[[#This Row],[QTE]]*Tsuivistock[[#This Row],[P.V]],"")</f>
        <v>27000</v>
      </c>
      <c r="J6" s="40">
        <f>IF(IFERROR(VLOOKUP(Tsuivistock[[#This Row],[PRODUCTS]],Tproduits[],2,0)+ SUMIFS(F$2:F6,C$2:C6,[PRODUCTS],E$2:E6, "Entree")- SUMIFS(F$2:F6,C$2:C6,[PRODUCTS],E$2:E6,"Sortie"),"")&lt;=0,"STOCK EPUISE",IFERROR(VLOOKUP(Tsuivistock[[#This Row],[PRODUCTS]],Tproduits[],2,0)+ SUMIFS(F$2:F6,C$2:C6,[PRODUCTS],E$2:E6, "Entree")- SUMIFS(F$2:F6,C$2:C6,[PRODUCTS],E$2:E6,"Sortie"),""))</f>
        <v>12</v>
      </c>
      <c r="L6" s="50">
        <v>5</v>
      </c>
      <c r="M6" s="50" t="s">
        <v>136</v>
      </c>
    </row>
    <row r="7" spans="1:13">
      <c r="A7" s="20">
        <v>42922</v>
      </c>
      <c r="B7" s="20" t="s">
        <v>130</v>
      </c>
      <c r="C7" s="22" t="s">
        <v>26</v>
      </c>
      <c r="D7" s="178" t="str">
        <f>IFERROR(VLOOKUP(Tsuivistock[[#This Row],[PRODUCTS]],LISTES!$A$2:$E$107,5,0),"")</f>
        <v>Vetements mixtes</v>
      </c>
      <c r="E7" s="22" t="s">
        <v>113</v>
      </c>
      <c r="F7" s="42">
        <v>4</v>
      </c>
      <c r="G7" s="182">
        <f>VLOOKUP(Tsuivistock[[#This Row],[PRODUCTS]],Tproduits[#All],4,0)</f>
        <v>9000</v>
      </c>
      <c r="H7" s="39">
        <v>2500</v>
      </c>
      <c r="I7" s="186">
        <f>IFERROR(Tsuivistock[[#This Row],[QTE]]*Tsuivistock[[#This Row],[P.V]],"")</f>
        <v>10000</v>
      </c>
      <c r="J7" s="40">
        <f>IF(IFERROR(VLOOKUP(Tsuivistock[[#This Row],[PRODUCTS]],Tproduits[],2,0)+ SUMIFS(F$2:F7,C$2:C7,[PRODUCTS],E$2:E7, "Entree")- SUMIFS(F$2:F7,C$2:C7,[PRODUCTS],E$2:E7,"Sortie"),"")&lt;=0,"STOCK EPUISE",IFERROR(VLOOKUP(Tsuivistock[[#This Row],[PRODUCTS]],Tproduits[],2,0)+ SUMIFS(F$2:F7,C$2:C7,[PRODUCTS],E$2:E7, "Entree")- SUMIFS(F$2:F7,C$2:C7,[PRODUCTS],E$2:E7,"Sortie"),""))</f>
        <v>26</v>
      </c>
      <c r="L7" s="50">
        <v>6</v>
      </c>
      <c r="M7" s="50" t="s">
        <v>137</v>
      </c>
    </row>
    <row r="8" spans="1:13">
      <c r="A8" s="20">
        <v>42923</v>
      </c>
      <c r="B8" s="20" t="s">
        <v>127</v>
      </c>
      <c r="C8" s="22" t="s">
        <v>27</v>
      </c>
      <c r="D8" s="178" t="str">
        <f>IFERROR(VLOOKUP(Tsuivistock[[#This Row],[PRODUCTS]],LISTES!$A$2:$E$107,5,0),"")</f>
        <v>Vetements femmes</v>
      </c>
      <c r="E8" s="22" t="s">
        <v>114</v>
      </c>
      <c r="F8" s="42">
        <v>1</v>
      </c>
      <c r="G8" s="182">
        <f>VLOOKUP(Tsuivistock[[#This Row],[PRODUCTS]],Tproduits[#All],4,0)</f>
        <v>28555</v>
      </c>
      <c r="H8" s="39">
        <v>10000</v>
      </c>
      <c r="I8" s="186">
        <f>IFERROR(Tsuivistock[[#This Row],[QTE]]*Tsuivistock[[#This Row],[P.V]],"")</f>
        <v>10000</v>
      </c>
      <c r="J8" s="40">
        <f>IF(IFERROR(VLOOKUP(Tsuivistock[[#This Row],[PRODUCTS]],Tproduits[],2,0)+ SUMIFS(F$2:F8,C$2:C8,[PRODUCTS],E$2:E8, "Entree")- SUMIFS(F$2:F8,C$2:C8,[PRODUCTS],E$2:E8,"Sortie"),"")&lt;=0,"STOCK EPUISE",IFERROR(VLOOKUP(Tsuivistock[[#This Row],[PRODUCTS]],Tproduits[],2,0)+ SUMIFS(F$2:F8,C$2:C8,[PRODUCTS],E$2:E8, "Entree")- SUMIFS(F$2:F8,C$2:C8,[PRODUCTS],E$2:E8,"Sortie"),""))</f>
        <v>2</v>
      </c>
      <c r="L8" s="50">
        <v>7</v>
      </c>
      <c r="M8" s="50" t="s">
        <v>138</v>
      </c>
    </row>
    <row r="9" spans="1:13">
      <c r="A9" s="20">
        <v>42924</v>
      </c>
      <c r="B9" s="20" t="s">
        <v>128</v>
      </c>
      <c r="C9" s="22" t="s">
        <v>34</v>
      </c>
      <c r="D9" s="178" t="str">
        <f>IFERROR(VLOOKUP(Tsuivistock[[#This Row],[PRODUCTS]],LISTES!$A$2:$E$107,5,0),"")</f>
        <v>Vetements femmes</v>
      </c>
      <c r="E9" s="22" t="s">
        <v>114</v>
      </c>
      <c r="F9" s="42">
        <v>1</v>
      </c>
      <c r="G9" s="182">
        <f>VLOOKUP(Tsuivistock[[#This Row],[PRODUCTS]],Tproduits[#All],4,0)</f>
        <v>9000</v>
      </c>
      <c r="H9" s="39">
        <v>6000</v>
      </c>
      <c r="I9" s="186">
        <f>IFERROR(Tsuivistock[[#This Row],[QTE]]*Tsuivistock[[#This Row],[P.V]],"")</f>
        <v>6000</v>
      </c>
      <c r="J9" s="40">
        <f>IF(IFERROR(VLOOKUP(Tsuivistock[[#This Row],[PRODUCTS]],Tproduits[],2,0)+ SUMIFS(F$2:F9,C$2:C9,[PRODUCTS],E$2:E9, "Entree")- SUMIFS(F$2:F9,C$2:C9,[PRODUCTS],E$2:E9,"Sortie"),"")&lt;=0,"STOCK EPUISE",IFERROR(VLOOKUP(Tsuivistock[[#This Row],[PRODUCTS]],Tproduits[],2,0)+ SUMIFS(F$2:F9,C$2:C9,[PRODUCTS],E$2:E9, "Entree")- SUMIFS(F$2:F9,C$2:C9,[PRODUCTS],E$2:E9,"Sortie"),""))</f>
        <v>2</v>
      </c>
      <c r="L9" s="50">
        <v>8</v>
      </c>
      <c r="M9" s="50" t="s">
        <v>139</v>
      </c>
    </row>
    <row r="10" spans="1:13">
      <c r="A10" s="20">
        <v>42925</v>
      </c>
      <c r="B10" s="20" t="s">
        <v>121</v>
      </c>
      <c r="C10" s="22" t="s">
        <v>20</v>
      </c>
      <c r="D10" s="178" t="str">
        <f>IFERROR(VLOOKUP(Tsuivistock[[#This Row],[PRODUCTS]],LISTES!$A$2:$E$107,5,0),"")</f>
        <v>Vetements femmes</v>
      </c>
      <c r="E10" s="22" t="s">
        <v>114</v>
      </c>
      <c r="F10" s="42">
        <v>8</v>
      </c>
      <c r="G10" s="182">
        <f>VLOOKUP(Tsuivistock[[#This Row],[PRODUCTS]],Tproduits[#All],4,0)</f>
        <v>16606</v>
      </c>
      <c r="H10" s="39">
        <v>17000</v>
      </c>
      <c r="I10" s="186">
        <f>IFERROR(Tsuivistock[[#This Row],[QTE]]*Tsuivistock[[#This Row],[P.V]],"")</f>
        <v>136000</v>
      </c>
      <c r="J10" s="40" t="str">
        <f>IF(IFERROR(VLOOKUP(Tsuivistock[[#This Row],[PRODUCTS]],Tproduits[],2,0)+ SUMIFS(F$2:F10,C$2:C10,[PRODUCTS],E$2:E10, "Entree")- SUMIFS(F$2:F10,C$2:C10,[PRODUCTS],E$2:E10,"Sortie"),"")&lt;=0,"STOCK EPUISE",IFERROR(VLOOKUP(Tsuivistock[[#This Row],[PRODUCTS]],Tproduits[],2,0)+ SUMIFS(F$2:F10,C$2:C10,[PRODUCTS],E$2:E10, "Entree")- SUMIFS(F$2:F10,C$2:C10,[PRODUCTS],E$2:E10,"Sortie"),""))</f>
        <v>STOCK EPUISE</v>
      </c>
      <c r="L10" s="50">
        <v>9</v>
      </c>
      <c r="M10" s="50" t="s">
        <v>140</v>
      </c>
    </row>
    <row r="11" spans="1:13">
      <c r="A11" s="20">
        <v>42926</v>
      </c>
      <c r="B11" s="20" t="s">
        <v>131</v>
      </c>
      <c r="C11" s="22" t="s">
        <v>46</v>
      </c>
      <c r="D11" s="178" t="str">
        <f>IFERROR(VLOOKUP(Tsuivistock[[#This Row],[PRODUCTS]],LISTES!$A$2:$E$107,5,0),"")</f>
        <v>Vetements mixtes</v>
      </c>
      <c r="E11" s="22" t="s">
        <v>114</v>
      </c>
      <c r="F11" s="42">
        <v>2</v>
      </c>
      <c r="G11" s="182">
        <f>VLOOKUP(Tsuivistock[[#This Row],[PRODUCTS]],Tproduits[#All],4,0)</f>
        <v>7500</v>
      </c>
      <c r="H11" s="39">
        <v>10000</v>
      </c>
      <c r="I11" s="186">
        <f>IFERROR(Tsuivistock[[#This Row],[QTE]]*Tsuivistock[[#This Row],[P.V]],"")</f>
        <v>20000</v>
      </c>
      <c r="J11" s="40">
        <f>IF(IFERROR(VLOOKUP(Tsuivistock[[#This Row],[PRODUCTS]],Tproduits[],2,0)+ SUMIFS(F$2:F11,C$2:C11,[PRODUCTS],E$2:E11, "Entree")- SUMIFS(F$2:F11,C$2:C11,[PRODUCTS],E$2:E11,"Sortie"),"")&lt;=0,"STOCK EPUISE",IFERROR(VLOOKUP(Tsuivistock[[#This Row],[PRODUCTS]],Tproduits[],2,0)+ SUMIFS(F$2:F11,C$2:C11,[PRODUCTS],E$2:E11, "Entree")- SUMIFS(F$2:F11,C$2:C11,[PRODUCTS],E$2:E11,"Sortie"),""))</f>
        <v>54</v>
      </c>
      <c r="L11" s="50">
        <v>10</v>
      </c>
      <c r="M11" s="50" t="s">
        <v>141</v>
      </c>
    </row>
    <row r="12" spans="1:13">
      <c r="A12" s="20">
        <v>42927</v>
      </c>
      <c r="B12" s="20" t="s">
        <v>122</v>
      </c>
      <c r="C12" s="22" t="s">
        <v>11</v>
      </c>
      <c r="D12" s="178" t="str">
        <f>IFERROR(VLOOKUP(Tsuivistock[[#This Row],[PRODUCTS]],LISTES!$A$2:$E$107,5,0),"")</f>
        <v>Accessoires</v>
      </c>
      <c r="E12" s="22" t="s">
        <v>114</v>
      </c>
      <c r="F12" s="42">
        <v>1</v>
      </c>
      <c r="G12" s="182">
        <f>VLOOKUP(Tsuivistock[[#This Row],[PRODUCTS]],Tproduits[#All],4,0)</f>
        <v>1500</v>
      </c>
      <c r="H12" s="39">
        <v>7500</v>
      </c>
      <c r="I12" s="186">
        <f>IFERROR(Tsuivistock[[#This Row],[QTE]]*Tsuivistock[[#This Row],[P.V]],"")</f>
        <v>7500</v>
      </c>
      <c r="J12" s="40">
        <f>IF(IFERROR(VLOOKUP(Tsuivistock[[#This Row],[PRODUCTS]],Tproduits[],2,0)+ SUMIFS(F$2:F12,C$2:C12,[PRODUCTS],E$2:E12, "Entree")- SUMIFS(F$2:F12,C$2:C12,[PRODUCTS],E$2:E12,"Sortie"),"")&lt;=0,"STOCK EPUISE",IFERROR(VLOOKUP(Tsuivistock[[#This Row],[PRODUCTS]],Tproduits[],2,0)+ SUMIFS(F$2:F12,C$2:C12,[PRODUCTS],E$2:E12, "Entree")- SUMIFS(F$2:F12,C$2:C12,[PRODUCTS],E$2:E12,"Sortie"),""))</f>
        <v>14</v>
      </c>
      <c r="L12" s="50">
        <v>11</v>
      </c>
      <c r="M12" s="50" t="s">
        <v>142</v>
      </c>
    </row>
    <row r="13" spans="1:13">
      <c r="A13" s="20">
        <v>42954</v>
      </c>
      <c r="B13" s="20" t="s">
        <v>130</v>
      </c>
      <c r="C13" s="22" t="s">
        <v>33</v>
      </c>
      <c r="D13" s="178" t="str">
        <f>IFERROR(VLOOKUP(Tsuivistock[[#This Row],[PRODUCTS]],LISTES!$A$2:$E$107,5,0),"")</f>
        <v>Accessoires</v>
      </c>
      <c r="E13" s="22" t="s">
        <v>113</v>
      </c>
      <c r="F13" s="42">
        <v>10</v>
      </c>
      <c r="G13" s="182">
        <f>VLOOKUP(Tsuivistock[[#This Row],[PRODUCTS]],Tproduits[#All],4,0)</f>
        <v>7500</v>
      </c>
      <c r="H13" s="39">
        <v>3500</v>
      </c>
      <c r="I13" s="186">
        <f>IFERROR(Tsuivistock[[#This Row],[QTE]]*Tsuivistock[[#This Row],[P.V]],"")</f>
        <v>35000</v>
      </c>
      <c r="J13" s="40">
        <f>IF(IFERROR(VLOOKUP(Tsuivistock[[#This Row],[PRODUCTS]],Tproduits[],2,0)+ SUMIFS(F$2:F13,C$2:C13,[PRODUCTS],E$2:E13, "Entree")- SUMIFS(F$2:F13,C$2:C13,[PRODUCTS],E$2:E13,"Sortie"),"")&lt;=0,"STOCK EPUISE",IFERROR(VLOOKUP(Tsuivistock[[#This Row],[PRODUCTS]],Tproduits[],2,0)+ SUMIFS(F$2:F13,C$2:C13,[PRODUCTS],E$2:E13, "Entree")- SUMIFS(F$2:F13,C$2:C13,[PRODUCTS],E$2:E13,"Sortie"),""))</f>
        <v>13</v>
      </c>
      <c r="L13" s="50">
        <v>12</v>
      </c>
      <c r="M13" s="50" t="s">
        <v>143</v>
      </c>
    </row>
    <row r="14" spans="1:13">
      <c r="A14" s="20">
        <v>42984</v>
      </c>
      <c r="B14" s="20" t="s">
        <v>126</v>
      </c>
      <c r="C14" s="22" t="s">
        <v>106</v>
      </c>
      <c r="D14" s="178" t="str">
        <f>IFERROR(VLOOKUP(Tsuivistock[[#This Row],[PRODUCTS]],LISTES!$A$2:$E$107,5,0),"")</f>
        <v>Vetements Hommes</v>
      </c>
      <c r="E14" s="22" t="s">
        <v>114</v>
      </c>
      <c r="F14" s="42">
        <v>2</v>
      </c>
      <c r="G14" s="182">
        <f>VLOOKUP(Tsuivistock[[#This Row],[PRODUCTS]],Tproduits[#All],4,0)</f>
        <v>20790</v>
      </c>
      <c r="H14" s="39">
        <v>5100</v>
      </c>
      <c r="I14" s="186">
        <f>IFERROR(Tsuivistock[[#This Row],[QTE]]*Tsuivistock[[#This Row],[P.V]],"")</f>
        <v>10200</v>
      </c>
      <c r="J14" s="40">
        <f>IF(IFERROR(VLOOKUP(Tsuivistock[[#This Row],[PRODUCTS]],Tproduits[],2,0)+ SUMIFS(F$2:F14,C$2:C14,[PRODUCTS],E$2:E14, "Entree")- SUMIFS(F$2:F14,C$2:C14,[PRODUCTS],E$2:E14,"Sortie"),"")&lt;=0,"STOCK EPUISE",IFERROR(VLOOKUP(Tsuivistock[[#This Row],[PRODUCTS]],Tproduits[],2,0)+ SUMIFS(F$2:F14,C$2:C14,[PRODUCTS],E$2:E14, "Entree")- SUMIFS(F$2:F14,C$2:C14,[PRODUCTS],E$2:E14,"Sortie"),""))</f>
        <v>14</v>
      </c>
    </row>
    <row r="15" spans="1:13">
      <c r="A15" s="20">
        <v>42985</v>
      </c>
      <c r="B15" s="20" t="s">
        <v>123</v>
      </c>
      <c r="C15" s="22" t="s">
        <v>95</v>
      </c>
      <c r="D15" s="178" t="str">
        <f>IFERROR(VLOOKUP(Tsuivistock[[#This Row],[PRODUCTS]],LISTES!$A$2:$E$107,5,0),"")</f>
        <v>Vetements Hommes</v>
      </c>
      <c r="E15" s="22" t="s">
        <v>114</v>
      </c>
      <c r="F15" s="42">
        <v>2</v>
      </c>
      <c r="G15" s="182">
        <f>VLOOKUP(Tsuivistock[[#This Row],[PRODUCTS]],Tproduits[#All],4,0)</f>
        <v>18000</v>
      </c>
      <c r="H15" s="39">
        <v>5400</v>
      </c>
      <c r="I15" s="186">
        <f>IFERROR(Tsuivistock[[#This Row],[QTE]]*Tsuivistock[[#This Row],[P.V]],"")</f>
        <v>10800</v>
      </c>
      <c r="J15" s="40">
        <f>IF(IFERROR(VLOOKUP(Tsuivistock[[#This Row],[PRODUCTS]],Tproduits[],2,0)+ SUMIFS(F$2:F15,C$2:C15,[PRODUCTS],E$2:E15, "Entree")- SUMIFS(F$2:F15,C$2:C15,[PRODUCTS],E$2:E15,"Sortie"),"")&lt;=0,"STOCK EPUISE",IFERROR(VLOOKUP(Tsuivistock[[#This Row],[PRODUCTS]],Tproduits[],2,0)+ SUMIFS(F$2:F15,C$2:C15,[PRODUCTS],E$2:E15, "Entree")- SUMIFS(F$2:F15,C$2:C15,[PRODUCTS],E$2:E15,"Sortie"),""))</f>
        <v>25</v>
      </c>
    </row>
    <row r="16" spans="1:13">
      <c r="A16" s="20">
        <v>42986</v>
      </c>
      <c r="B16" s="20" t="s">
        <v>125</v>
      </c>
      <c r="C16" s="22" t="s">
        <v>108</v>
      </c>
      <c r="D16" s="178" t="str">
        <f>IFERROR(VLOOKUP(Tsuivistock[[#This Row],[PRODUCTS]],LISTES!$A$2:$E$107,5,0),"")</f>
        <v>Accessoires</v>
      </c>
      <c r="E16" s="22" t="s">
        <v>114</v>
      </c>
      <c r="F16" s="42">
        <v>1</v>
      </c>
      <c r="G16" s="182">
        <f>VLOOKUP(Tsuivistock[[#This Row],[PRODUCTS]],Tproduits[#All],4,0)</f>
        <v>32850</v>
      </c>
      <c r="H16" s="39">
        <v>5700</v>
      </c>
      <c r="I16" s="186">
        <f>IFERROR(Tsuivistock[[#This Row],[QTE]]*Tsuivistock[[#This Row],[P.V]],"")</f>
        <v>5700</v>
      </c>
      <c r="J16" s="40">
        <f>IF(IFERROR(VLOOKUP(Tsuivistock[[#This Row],[PRODUCTS]],Tproduits[],2,0)+ SUMIFS(F$2:F16,C$2:C16,[PRODUCTS],E$2:E16, "Entree")- SUMIFS(F$2:F16,C$2:C16,[PRODUCTS],E$2:E16,"Sortie"),"")&lt;=0,"STOCK EPUISE",IFERROR(VLOOKUP(Tsuivistock[[#This Row],[PRODUCTS]],Tproduits[],2,0)+ SUMIFS(F$2:F16,C$2:C16,[PRODUCTS],E$2:E16, "Entree")- SUMIFS(F$2:F16,C$2:C16,[PRODUCTS],E$2:E16,"Sortie"),""))</f>
        <v>31</v>
      </c>
    </row>
    <row r="17" spans="1:10">
      <c r="A17" s="20">
        <v>42987</v>
      </c>
      <c r="B17" s="20" t="s">
        <v>128</v>
      </c>
      <c r="C17" s="22" t="s">
        <v>69</v>
      </c>
      <c r="D17" s="178" t="str">
        <f>IFERROR(VLOOKUP(Tsuivistock[[#This Row],[PRODUCTS]],LISTES!$A$2:$E$107,5,0),"")</f>
        <v>Accessoires</v>
      </c>
      <c r="E17" s="22" t="s">
        <v>114</v>
      </c>
      <c r="F17" s="42">
        <v>2</v>
      </c>
      <c r="G17" s="182">
        <f>VLOOKUP(Tsuivistock[[#This Row],[PRODUCTS]],Tproduits[#All],4,0)</f>
        <v>6300</v>
      </c>
      <c r="H17" s="39">
        <v>6000</v>
      </c>
      <c r="I17" s="186">
        <f>IFERROR(Tsuivistock[[#This Row],[QTE]]*Tsuivistock[[#This Row],[P.V]],"")</f>
        <v>12000</v>
      </c>
      <c r="J17" s="40">
        <f>IF(IFERROR(VLOOKUP(Tsuivistock[[#This Row],[PRODUCTS]],Tproduits[],2,0)+ SUMIFS(F$2:F17,C$2:C17,[PRODUCTS],E$2:E17, "Entree")- SUMIFS(F$2:F17,C$2:C17,[PRODUCTS],E$2:E17,"Sortie"),"")&lt;=0,"STOCK EPUISE",IFERROR(VLOOKUP(Tsuivistock[[#This Row],[PRODUCTS]],Tproduits[],2,0)+ SUMIFS(F$2:F17,C$2:C17,[PRODUCTS],E$2:E17, "Entree")- SUMIFS(F$2:F17,C$2:C17,[PRODUCTS],E$2:E17,"Sortie"),""))</f>
        <v>20</v>
      </c>
    </row>
    <row r="18" spans="1:10">
      <c r="A18" s="20">
        <v>42988</v>
      </c>
      <c r="B18" s="20" t="s">
        <v>121</v>
      </c>
      <c r="C18" s="22" t="s">
        <v>49</v>
      </c>
      <c r="D18" s="178" t="str">
        <f>IFERROR(VLOOKUP(Tsuivistock[[#This Row],[PRODUCTS]],LISTES!$A$2:$E$107,5,0),"")</f>
        <v>Vetements femmes</v>
      </c>
      <c r="E18" s="22" t="s">
        <v>114</v>
      </c>
      <c r="F18" s="42">
        <v>10</v>
      </c>
      <c r="G18" s="182">
        <f>VLOOKUP(Tsuivistock[[#This Row],[PRODUCTS]],Tproduits[#All],4,0)</f>
        <v>15000</v>
      </c>
      <c r="H18" s="39">
        <v>6300</v>
      </c>
      <c r="I18" s="186">
        <f>IFERROR(Tsuivistock[[#This Row],[QTE]]*Tsuivistock[[#This Row],[P.V]],"")</f>
        <v>63000</v>
      </c>
      <c r="J18" s="40" t="str">
        <f>IF(IFERROR(VLOOKUP(Tsuivistock[[#This Row],[PRODUCTS]],Tproduits[],2,0)+ SUMIFS(F$2:F18,C$2:C18,[PRODUCTS],E$2:E18, "Entree")- SUMIFS(F$2:F18,C$2:C18,[PRODUCTS],E$2:E18,"Sortie"),"")&lt;=0,"STOCK EPUISE",IFERROR(VLOOKUP(Tsuivistock[[#This Row],[PRODUCTS]],Tproduits[],2,0)+ SUMIFS(F$2:F18,C$2:C18,[PRODUCTS],E$2:E18, "Entree")- SUMIFS(F$2:F18,C$2:C18,[PRODUCTS],E$2:E18,"Sortie"),""))</f>
        <v>STOCK EPUISE</v>
      </c>
    </row>
    <row r="19" spans="1:10">
      <c r="A19" s="20">
        <v>42989</v>
      </c>
      <c r="B19" s="20" t="s">
        <v>130</v>
      </c>
      <c r="C19" s="22" t="s">
        <v>47</v>
      </c>
      <c r="D19" s="178" t="str">
        <f>IFERROR(VLOOKUP(Tsuivistock[[#This Row],[PRODUCTS]],LISTES!$A$2:$E$107,5,0),"")</f>
        <v>Vetements mixtes</v>
      </c>
      <c r="E19" s="22" t="s">
        <v>113</v>
      </c>
      <c r="F19" s="42">
        <v>2</v>
      </c>
      <c r="G19" s="182">
        <f>VLOOKUP(Tsuivistock[[#This Row],[PRODUCTS]],Tproduits[#All],4,0)</f>
        <v>2000</v>
      </c>
      <c r="H19" s="39">
        <v>15000</v>
      </c>
      <c r="I19" s="186">
        <f>IFERROR(Tsuivistock[[#This Row],[QTE]]*Tsuivistock[[#This Row],[P.V]],"")</f>
        <v>30000</v>
      </c>
      <c r="J19" s="40">
        <f>IF(IFERROR(VLOOKUP(Tsuivistock[[#This Row],[PRODUCTS]],Tproduits[],2,0)+ SUMIFS(F$2:F19,C$2:C19,[PRODUCTS],E$2:E19, "Entree")- SUMIFS(F$2:F19,C$2:C19,[PRODUCTS],E$2:E19,"Sortie"),"")&lt;=0,"STOCK EPUISE",IFERROR(VLOOKUP(Tsuivistock[[#This Row],[PRODUCTS]],Tproduits[],2,0)+ SUMIFS(F$2:F19,C$2:C19,[PRODUCTS],E$2:E19, "Entree")- SUMIFS(F$2:F19,C$2:C19,[PRODUCTS],E$2:E19,"Sortie"),""))</f>
        <v>4</v>
      </c>
    </row>
    <row r="20" spans="1:10">
      <c r="A20" s="20">
        <v>42990</v>
      </c>
      <c r="B20" s="20" t="s">
        <v>130</v>
      </c>
      <c r="C20" s="22" t="s">
        <v>45</v>
      </c>
      <c r="D20" s="178" t="str">
        <f>IFERROR(VLOOKUP(Tsuivistock[[#This Row],[PRODUCTS]],LISTES!$A$2:$E$107,5,0),"")</f>
        <v>Vetements femmes</v>
      </c>
      <c r="E20" s="22" t="s">
        <v>113</v>
      </c>
      <c r="F20" s="42">
        <v>3</v>
      </c>
      <c r="G20" s="182">
        <f>VLOOKUP(Tsuivistock[[#This Row],[PRODUCTS]],Tproduits[#All],4,0)</f>
        <v>10000</v>
      </c>
      <c r="H20" s="39">
        <v>7500</v>
      </c>
      <c r="I20" s="186">
        <f>IFERROR(Tsuivistock[[#This Row],[QTE]]*Tsuivistock[[#This Row],[P.V]],"")</f>
        <v>22500</v>
      </c>
      <c r="J20" s="40">
        <f>IF(IFERROR(VLOOKUP(Tsuivistock[[#This Row],[PRODUCTS]],Tproduits[],2,0)+ SUMIFS(F$2:F20,C$2:C20,[PRODUCTS],E$2:E20, "Entree")- SUMIFS(F$2:F20,C$2:C20,[PRODUCTS],E$2:E20,"Sortie"),"")&lt;=0,"STOCK EPUISE",IFERROR(VLOOKUP(Tsuivistock[[#This Row],[PRODUCTS]],Tproduits[],2,0)+ SUMIFS(F$2:F20,C$2:C20,[PRODUCTS],E$2:E20, "Entree")- SUMIFS(F$2:F20,C$2:C20,[PRODUCTS],E$2:E20,"Sortie"),""))</f>
        <v>4</v>
      </c>
    </row>
    <row r="21" spans="1:10">
      <c r="A21" s="20">
        <v>42991</v>
      </c>
      <c r="B21" s="20" t="s">
        <v>126</v>
      </c>
      <c r="C21" s="22" t="s">
        <v>106</v>
      </c>
      <c r="D21" s="178" t="str">
        <f>IFERROR(VLOOKUP(Tsuivistock[[#This Row],[PRODUCTS]],LISTES!$A$2:$E$107,5,0),"")</f>
        <v>Vetements Hommes</v>
      </c>
      <c r="E21" s="22" t="s">
        <v>114</v>
      </c>
      <c r="F21" s="42">
        <v>1</v>
      </c>
      <c r="G21" s="182">
        <f>VLOOKUP(Tsuivistock[[#This Row],[PRODUCTS]],Tproduits[#All],4,0)</f>
        <v>20790</v>
      </c>
      <c r="H21" s="39">
        <v>7200</v>
      </c>
      <c r="I21" s="186">
        <f>IFERROR(Tsuivistock[[#This Row],[QTE]]*Tsuivistock[[#This Row],[P.V]],"")</f>
        <v>7200</v>
      </c>
      <c r="J21" s="40">
        <f>IF(IFERROR(VLOOKUP(Tsuivistock[[#This Row],[PRODUCTS]],Tproduits[],2,0)+ SUMIFS(F$2:F21,C$2:C21,[PRODUCTS],E$2:E21, "Entree")- SUMIFS(F$2:F21,C$2:C21,[PRODUCTS],E$2:E21,"Sortie"),"")&lt;=0,"STOCK EPUISE",IFERROR(VLOOKUP(Tsuivistock[[#This Row],[PRODUCTS]],Tproduits[],2,0)+ SUMIFS(F$2:F21,C$2:C21,[PRODUCTS],E$2:E21, "Entree")- SUMIFS(F$2:F21,C$2:C21,[PRODUCTS],E$2:E21,"Sortie"),""))</f>
        <v>13</v>
      </c>
    </row>
    <row r="22" spans="1:10">
      <c r="A22" s="20">
        <v>42992</v>
      </c>
      <c r="B22" s="22" t="s">
        <v>127</v>
      </c>
      <c r="C22" s="22" t="s">
        <v>60</v>
      </c>
      <c r="D22" s="178" t="str">
        <f>IFERROR(VLOOKUP(Tsuivistock[[#This Row],[PRODUCTS]],LISTES!$A$2:$E$107,5,0),"")</f>
        <v>Vetements mixtes</v>
      </c>
      <c r="E22" s="22" t="s">
        <v>113</v>
      </c>
      <c r="F22" s="42">
        <v>5</v>
      </c>
      <c r="G22" s="182">
        <v>5000</v>
      </c>
      <c r="H22" s="39">
        <v>5000</v>
      </c>
      <c r="I22" s="187">
        <f>IFERROR(Tsuivistock[[#This Row],[QTE]]*Tsuivistock[[#This Row],[P.V]],"")</f>
        <v>25000</v>
      </c>
      <c r="J22" s="40">
        <f>IF(IFERROR(VLOOKUP(Tsuivistock[[#This Row],[PRODUCTS]],Tproduits[],2,0)+ SUMIFS(F$2:F22,C$2:C22,[PRODUCTS],E$2:E22, "Entree")- SUMIFS(F$2:F22,C$2:C22,[PRODUCTS],E$2:E22,"Sortie"),"")&lt;=0,"STOCK EPUISE",IFERROR(VLOOKUP(Tsuivistock[[#This Row],[PRODUCTS]],Tproduits[],2,0)+ SUMIFS(F$2:F22,C$2:C22,[PRODUCTS],E$2:E22, "Entree")- SUMIFS(F$2:F22,C$2:C22,[PRODUCTS],E$2:E22,"Sortie"),""))</f>
        <v>5</v>
      </c>
    </row>
    <row r="23" spans="1:10">
      <c r="A23" s="20">
        <v>42993</v>
      </c>
      <c r="B23" s="22" t="s">
        <v>121</v>
      </c>
      <c r="C23" s="22" t="s">
        <v>68</v>
      </c>
      <c r="D23" s="178" t="str">
        <f>IFERROR(VLOOKUP(Tsuivistock[[#This Row],[PRODUCTS]],LISTES!$A$2:$E$107,5,0),"")</f>
        <v>Vetements femmes</v>
      </c>
      <c r="E23" s="22" t="s">
        <v>113</v>
      </c>
      <c r="F23" s="42">
        <v>12</v>
      </c>
      <c r="G23" s="182">
        <v>10000</v>
      </c>
      <c r="H23" s="39">
        <v>10000</v>
      </c>
      <c r="I23" s="187">
        <f>IFERROR(Tsuivistock[[#This Row],[QTE]]*Tsuivistock[[#This Row],[P.V]],"")</f>
        <v>120000</v>
      </c>
      <c r="J23" s="40">
        <f>IF(IFERROR(VLOOKUP(Tsuivistock[[#This Row],[PRODUCTS]],Tproduits[],2,0)+ SUMIFS(F$2:F23,C$2:C23,[PRODUCTS],E$2:E23, "Entree")- SUMIFS(F$2:F23,C$2:C23,[PRODUCTS],E$2:E23,"Sortie"),"")&lt;=0,"STOCK EPUISE",IFERROR(VLOOKUP(Tsuivistock[[#This Row],[PRODUCTS]],Tproduits[],2,0)+ SUMIFS(F$2:F23,C$2:C23,[PRODUCTS],E$2:E23, "Entree")- SUMIFS(F$2:F23,C$2:C23,[PRODUCTS],E$2:E23,"Sortie"),""))</f>
        <v>12</v>
      </c>
    </row>
    <row r="24" spans="1:10">
      <c r="A24" s="20">
        <v>42994</v>
      </c>
      <c r="B24" s="22" t="s">
        <v>125</v>
      </c>
      <c r="C24" s="22" t="s">
        <v>73</v>
      </c>
      <c r="D24" s="178" t="str">
        <f>IFERROR(VLOOKUP(Tsuivistock[[#This Row],[PRODUCTS]],LISTES!$A$2:$E$107,5,0),"")</f>
        <v>Vetements femmes</v>
      </c>
      <c r="E24" s="22" t="s">
        <v>113</v>
      </c>
      <c r="F24" s="42">
        <v>4</v>
      </c>
      <c r="G24" s="182">
        <f>VLOOKUP(Tsuivistock[[#This Row],[PRODUCTS]],Tproduits[#All],4,0)</f>
        <v>10333</v>
      </c>
      <c r="H24" s="39">
        <f>IFERROR(VLOOKUP(Tsuivistock[[#This Row],[PRODUCTS]],LISTES!A34:D140,4,0),"")</f>
        <v>10333</v>
      </c>
      <c r="I24" s="187">
        <f>IFERROR(Tsuivistock[[#This Row],[QTE]]*Tsuivistock[[#This Row],[P.V]],"")</f>
        <v>41332</v>
      </c>
      <c r="J24" s="40">
        <f>IF(IFERROR(VLOOKUP(Tsuivistock[[#This Row],[PRODUCTS]],Tproduits[],2,0)+ SUMIFS(F$2:F24,C$2:C24,[PRODUCTS],E$2:E24, "Entree")- SUMIFS(F$2:F24,C$2:C24,[PRODUCTS],E$2:E24,"Sortie"),"")&lt;=0,"STOCK EPUISE",IFERROR(VLOOKUP(Tsuivistock[[#This Row],[PRODUCTS]],Tproduits[],2,0)+ SUMIFS(F$2:F24,C$2:C24,[PRODUCTS],E$2:E24, "Entree")- SUMIFS(F$2:F24,C$2:C24,[PRODUCTS],E$2:E24,"Sortie"),""))</f>
        <v>7</v>
      </c>
    </row>
    <row r="25" spans="1:10">
      <c r="A25" s="20">
        <v>42995</v>
      </c>
      <c r="B25" s="22" t="s">
        <v>126</v>
      </c>
      <c r="C25" s="22" t="s">
        <v>82</v>
      </c>
      <c r="D25" s="178" t="str">
        <f>IFERROR(VLOOKUP(Tsuivistock[[#This Row],[PRODUCTS]],LISTES!$A$2:$E$107,5,0),"")</f>
        <v>Vetements femmes</v>
      </c>
      <c r="E25" s="22" t="s">
        <v>113</v>
      </c>
      <c r="F25" s="42">
        <v>6</v>
      </c>
      <c r="G25" s="182">
        <f>VLOOKUP(Tsuivistock[[#This Row],[PRODUCTS]],Tproduits[#All],4,0)</f>
        <v>3000</v>
      </c>
      <c r="H25" s="39">
        <f>IFERROR(VLOOKUP(Tsuivistock[[#This Row],[PRODUCTS]],LISTES!A35:D141,4,0),"")</f>
        <v>3000</v>
      </c>
      <c r="I25" s="187">
        <f>IFERROR(Tsuivistock[[#This Row],[QTE]]*Tsuivistock[[#This Row],[P.V]],"")</f>
        <v>18000</v>
      </c>
      <c r="J25" s="40">
        <f>IF(IFERROR(VLOOKUP(Tsuivistock[[#This Row],[PRODUCTS]],Tproduits[],2,0)+ SUMIFS(F$2:F25,C$2:C25,[PRODUCTS],E$2:E25, "Entree")- SUMIFS(F$2:F25,C$2:C25,[PRODUCTS],E$2:E25,"Sortie"),"")&lt;=0,"STOCK EPUISE",IFERROR(VLOOKUP(Tsuivistock[[#This Row],[PRODUCTS]],Tproduits[],2,0)+ SUMIFS(F$2:F25,C$2:C25,[PRODUCTS],E$2:E25, "Entree")- SUMIFS(F$2:F25,C$2:C25,[PRODUCTS],E$2:E25,"Sortie"),""))</f>
        <v>7</v>
      </c>
    </row>
    <row r="26" spans="1:10">
      <c r="A26" s="20">
        <v>42996</v>
      </c>
      <c r="B26" s="22" t="s">
        <v>123</v>
      </c>
      <c r="C26" s="22" t="s">
        <v>83</v>
      </c>
      <c r="D26" s="178" t="str">
        <f>IFERROR(VLOOKUP(Tsuivistock[[#This Row],[PRODUCTS]],LISTES!$A$2:$E$107,5,0),"")</f>
        <v>Vetements femmes</v>
      </c>
      <c r="E26" s="22" t="s">
        <v>113</v>
      </c>
      <c r="F26" s="42">
        <v>5</v>
      </c>
      <c r="G26" s="182">
        <f>VLOOKUP(Tsuivistock[[#This Row],[PRODUCTS]],Tproduits[#All],4,0)</f>
        <v>25000</v>
      </c>
      <c r="H26" s="39">
        <f>IFERROR(VLOOKUP(Tsuivistock[[#This Row],[PRODUCTS]],LISTES!A36:D142,4,0),"")</f>
        <v>25000</v>
      </c>
      <c r="I26" s="187">
        <f>IFERROR(Tsuivistock[[#This Row],[QTE]]*Tsuivistock[[#This Row],[P.V]],"")</f>
        <v>125000</v>
      </c>
      <c r="J26" s="40">
        <f>IF(IFERROR(VLOOKUP(Tsuivistock[[#This Row],[PRODUCTS]],Tproduits[],2,0)+ SUMIFS(F$2:F26,C$2:C26,[PRODUCTS],E$2:E26, "Entree")- SUMIFS(F$2:F26,C$2:C26,[PRODUCTS],E$2:E26,"Sortie"),"")&lt;=0,"STOCK EPUISE",IFERROR(VLOOKUP(Tsuivistock[[#This Row],[PRODUCTS]],Tproduits[],2,0)+ SUMIFS(F$2:F26,C$2:C26,[PRODUCTS],E$2:E26, "Entree")- SUMIFS(F$2:F26,C$2:C26,[PRODUCTS],E$2:E26,"Sortie"),""))</f>
        <v>6</v>
      </c>
    </row>
    <row r="27" spans="1:10">
      <c r="A27" s="20">
        <v>42997</v>
      </c>
      <c r="B27" s="22" t="s">
        <v>128</v>
      </c>
      <c r="C27" s="22" t="s">
        <v>120</v>
      </c>
      <c r="D27" s="178" t="str">
        <f>IFERROR(VLOOKUP(Tsuivistock[[#This Row],[PRODUCTS]],LISTES!$A$2:$E$107,5,0),"")</f>
        <v>Vetements mixtes</v>
      </c>
      <c r="E27" s="22" t="s">
        <v>113</v>
      </c>
      <c r="F27" s="42">
        <v>7</v>
      </c>
      <c r="G27" s="182">
        <f>VLOOKUP(Tsuivistock[[#This Row],[PRODUCTS]],Tproduits[#All],4,0)</f>
        <v>5000</v>
      </c>
      <c r="H27" s="39">
        <f>IFERROR(VLOOKUP(Tsuivistock[[#This Row],[PRODUCTS]],LISTES!A37:D143,4,0),"")</f>
        <v>5000</v>
      </c>
      <c r="I27" s="187">
        <f>IFERROR(Tsuivistock[[#This Row],[QTE]]*Tsuivistock[[#This Row],[P.V]],"")</f>
        <v>35000</v>
      </c>
      <c r="J27" s="40">
        <f>IF(IFERROR(VLOOKUP(Tsuivistock[[#This Row],[PRODUCTS]],Tproduits[],2,0)+ SUMIFS(F$2:F27,C$2:C27,[PRODUCTS],E$2:E27, "Entree")- SUMIFS(F$2:F27,C$2:C27,[PRODUCTS],E$2:E27,"Sortie"),"")&lt;=0,"STOCK EPUISE",IFERROR(VLOOKUP(Tsuivistock[[#This Row],[PRODUCTS]],Tproduits[],2,0)+ SUMIFS(F$2:F27,C$2:C27,[PRODUCTS],E$2:E27, "Entree")- SUMIFS(F$2:F27,C$2:C27,[PRODUCTS],E$2:E27,"Sortie"),""))</f>
        <v>12</v>
      </c>
    </row>
    <row r="28" spans="1:10">
      <c r="A28" s="171">
        <v>43011</v>
      </c>
      <c r="B28" s="167" t="s">
        <v>125</v>
      </c>
      <c r="C28" s="167" t="s">
        <v>46</v>
      </c>
      <c r="D28" s="179" t="str">
        <f>IFERROR(VLOOKUP(Tsuivistock[[#This Row],[PRODUCTS]],LISTES!$A$2:$E$107,5,0),"")</f>
        <v>Vetements mixtes</v>
      </c>
      <c r="E28" s="167" t="s">
        <v>114</v>
      </c>
      <c r="F28" s="168">
        <v>4</v>
      </c>
      <c r="G28" s="183">
        <f>VLOOKUP(Tsuivistock[[#This Row],[PRODUCTS]],Tproduits[#All],4,0)</f>
        <v>7500</v>
      </c>
      <c r="H28" s="169">
        <f>IFERROR(VLOOKUP(Tsuivistock[[#This Row],[PRODUCTS]],LISTES!A27:D133,4,0),"")</f>
        <v>7500</v>
      </c>
      <c r="I28" s="188">
        <f>IFERROR(Tsuivistock[[#This Row],[QTE]]*Tsuivistock[[#This Row],[P.V]],"")</f>
        <v>30000</v>
      </c>
      <c r="J28" s="170">
        <f>IF(IFERROR(VLOOKUP(Tsuivistock[[#This Row],[PRODUCTS]],Tproduits[],2,0)+ SUMIFS(F$2:F28,C$2:C28,[PRODUCTS],E$2:E28, "Entree")- SUMIFS(F$2:F28,C$2:C28,[PRODUCTS],E$2:E28,"Sortie"),"")&lt;=0,"STOCK EPUISE",IFERROR(VLOOKUP(Tsuivistock[[#This Row],[PRODUCTS]],Tproduits[],2,0)+ SUMIFS(F$2:F28,C$2:C28,[PRODUCTS],E$2:E28, "Entree")- SUMIFS(F$2:F28,C$2:C28,[PRODUCTS],E$2:E28,"Sortie"),""))</f>
        <v>50</v>
      </c>
    </row>
    <row r="29" spans="1:10">
      <c r="A29" s="171">
        <v>43011</v>
      </c>
      <c r="B29" s="167" t="s">
        <v>126</v>
      </c>
      <c r="C29" s="167" t="s">
        <v>10</v>
      </c>
      <c r="D29" s="179" t="str">
        <f>IFERROR(VLOOKUP(Tsuivistock[[#This Row],[PRODUCTS]],LISTES!$A$2:$E$107,5,0),"")</f>
        <v>Vetements Hommes</v>
      </c>
      <c r="E29" s="167" t="s">
        <v>114</v>
      </c>
      <c r="F29" s="168">
        <v>4</v>
      </c>
      <c r="G29" s="183">
        <f>VLOOKUP(Tsuivistock[[#This Row],[PRODUCTS]],Tproduits[#All],4,0)</f>
        <v>70000</v>
      </c>
      <c r="H29" s="169">
        <v>50000</v>
      </c>
      <c r="I29" s="188">
        <f>IFERROR(Tsuivistock[[#This Row],[QTE]]*Tsuivistock[[#This Row],[P.V]],"")</f>
        <v>200000</v>
      </c>
      <c r="J29" s="170">
        <f>IF(IFERROR(VLOOKUP(Tsuivistock[[#This Row],[PRODUCTS]],Tproduits[],2,0)+ SUMIFS(F$2:F29,C$2:C29,[PRODUCTS],E$2:E29, "Entree")- SUMIFS(F$2:F29,C$2:C29,[PRODUCTS],E$2:E29,"Sortie"),"")&lt;=0,"STOCK EPUISE",IFERROR(VLOOKUP(Tsuivistock[[#This Row],[PRODUCTS]],Tproduits[],2,0)+ SUMIFS(F$2:F29,C$2:C29,[PRODUCTS],E$2:E29, "Entree")- SUMIFS(F$2:F29,C$2:C29,[PRODUCTS],E$2:E29,"Sortie"),""))</f>
        <v>8</v>
      </c>
    </row>
    <row r="30" spans="1:10">
      <c r="A30" s="171">
        <v>43017</v>
      </c>
      <c r="B30" s="167" t="s">
        <v>124</v>
      </c>
      <c r="C30" s="167" t="s">
        <v>8</v>
      </c>
      <c r="D30" s="179" t="str">
        <f>IFERROR(VLOOKUP(Tsuivistock[[#This Row],[PRODUCTS]],LISTES!$A$2:$E$107,5,0),"")</f>
        <v>Vetements mixtes</v>
      </c>
      <c r="E30" s="167" t="s">
        <v>114</v>
      </c>
      <c r="F30" s="168">
        <v>1</v>
      </c>
      <c r="G30" s="183">
        <f>VLOOKUP(Tsuivistock[[#This Row],[PRODUCTS]],Tproduits[#All],4,0)</f>
        <v>2000</v>
      </c>
      <c r="H30" s="169">
        <v>3000</v>
      </c>
      <c r="I30" s="188">
        <f>IFERROR(Tsuivistock[[#This Row],[QTE]]*Tsuivistock[[#This Row],[P.V]],"")</f>
        <v>3000</v>
      </c>
      <c r="J30" s="170">
        <f>IF(IFERROR(VLOOKUP(Tsuivistock[[#This Row],[PRODUCTS]],Tproduits[],2,0)+ SUMIFS(F$2:F30,C$2:C30,[PRODUCTS],E$2:E30, "Entree")- SUMIFS(F$2:F30,C$2:C30,[PRODUCTS],E$2:E30,"Sortie"),"")&lt;=0,"STOCK EPUISE",IFERROR(VLOOKUP(Tsuivistock[[#This Row],[PRODUCTS]],Tproduits[],2,0)+ SUMIFS(F$2:F30,C$2:C30,[PRODUCTS],E$2:E30, "Entree")- SUMIFS(F$2:F30,C$2:C30,[PRODUCTS],E$2:E30,"Sortie"),""))</f>
        <v>46</v>
      </c>
    </row>
    <row r="31" spans="1:10">
      <c r="A31" s="171">
        <v>43018</v>
      </c>
      <c r="B31" s="167" t="s">
        <v>125</v>
      </c>
      <c r="C31" s="167" t="s">
        <v>10</v>
      </c>
      <c r="D31" s="179" t="str">
        <f>IFERROR(VLOOKUP(Tsuivistock[[#This Row],[PRODUCTS]],LISTES!$A$2:$E$107,5,0),"")</f>
        <v>Vetements Hommes</v>
      </c>
      <c r="E31" s="167" t="s">
        <v>113</v>
      </c>
      <c r="F31" s="168">
        <v>5</v>
      </c>
      <c r="G31" s="183">
        <f>IFERROR(VLOOKUP(Tsuivistock[[#This Row],[PRODUCTS]],Tproduits[#All],4,0),"")</f>
        <v>70000</v>
      </c>
      <c r="H31" s="169" t="str">
        <f>IFERROR(VLOOKUP(Tsuivistock[[#This Row],[PRODUCTS]],LISTES!A30:D136,4,0),"")</f>
        <v/>
      </c>
      <c r="I31" s="188" t="str">
        <f>IFERROR(Tsuivistock[[#This Row],[QTE]]*Tsuivistock[[#This Row],[P.V]],"")</f>
        <v/>
      </c>
      <c r="J31" s="170">
        <f>IF(IFERROR(VLOOKUP(Tsuivistock[[#This Row],[PRODUCTS]],Tproduits[],2,0)+ SUMIFS(F$2:F31,C$2:C31,[PRODUCTS],E$2:E31, "Entree")- SUMIFS(F$2:F31,C$2:C31,[PRODUCTS],E$2:E31,"Sortie"),"")&lt;=0,"STOCK EPUISE",IFERROR(VLOOKUP(Tsuivistock[[#This Row],[PRODUCTS]],Tproduits[],2,0)+ SUMIFS(F$2:F31,C$2:C31,[PRODUCTS],E$2:E31, "Entree")- SUMIFS(F$2:F31,C$2:C31,[PRODUCTS],E$2:E31,"Sortie"),""))</f>
        <v>13</v>
      </c>
    </row>
    <row r="32" spans="1:10">
      <c r="A32" s="171">
        <v>43019</v>
      </c>
      <c r="B32" s="167" t="s">
        <v>126</v>
      </c>
      <c r="C32" s="167" t="s">
        <v>40</v>
      </c>
      <c r="D32" s="179" t="str">
        <f>IFERROR(VLOOKUP(Tsuivistock[[#This Row],[PRODUCTS]],LISTES!$A$2:$E$107,5,0),"")</f>
        <v>Accessoires</v>
      </c>
      <c r="E32" s="167" t="s">
        <v>114</v>
      </c>
      <c r="F32" s="168">
        <v>3</v>
      </c>
      <c r="G32" s="183">
        <f>IFERROR(VLOOKUP(Tsuivistock[[#This Row],[PRODUCTS]],Tproduits[#All],4,0),"")</f>
        <v>18000</v>
      </c>
      <c r="H32" s="169">
        <v>10000</v>
      </c>
      <c r="I32" s="188">
        <f>IFERROR(Tsuivistock[[#This Row],[QTE]]*Tsuivistock[[#This Row],[P.V]],"")</f>
        <v>30000</v>
      </c>
      <c r="J32" s="170">
        <f>IF(IFERROR(VLOOKUP(Tsuivistock[[#This Row],[PRODUCTS]],Tproduits[],2,0)+ SUMIFS(F$2:F32,C$2:C32,[PRODUCTS],E$2:E32, "Entree")- SUMIFS(F$2:F32,C$2:C32,[PRODUCTS],E$2:E32,"Sortie"),"")&lt;=0,"STOCK EPUISE",IFERROR(VLOOKUP(Tsuivistock[[#This Row],[PRODUCTS]],Tproduits[],2,0)+ SUMIFS(F$2:F32,C$2:C32,[PRODUCTS],E$2:E32, "Entree")- SUMIFS(F$2:F32,C$2:C32,[PRODUCTS],E$2:E32,"Sortie"),""))</f>
        <v>1</v>
      </c>
    </row>
    <row r="33" spans="1:10">
      <c r="A33" s="171">
        <v>43020</v>
      </c>
      <c r="B33" s="167" t="s">
        <v>128</v>
      </c>
      <c r="C33" s="167" t="s">
        <v>12</v>
      </c>
      <c r="D33" s="179" t="str">
        <f>IFERROR(VLOOKUP(Tsuivistock[[#This Row],[PRODUCTS]],LISTES!$A$2:$E$107,5,0),"")</f>
        <v>Vetements femmes</v>
      </c>
      <c r="E33" s="167" t="s">
        <v>114</v>
      </c>
      <c r="F33" s="168">
        <v>6</v>
      </c>
      <c r="G33" s="183">
        <f>IFERROR(VLOOKUP(Tsuivistock[[#This Row],[PRODUCTS]],Tproduits[#All],4,0),"")</f>
        <v>3500</v>
      </c>
      <c r="H33" s="169">
        <v>5000</v>
      </c>
      <c r="I33" s="188">
        <f>IFERROR(Tsuivistock[[#This Row],[QTE]]*Tsuivistock[[#This Row],[P.V]],"")</f>
        <v>30000</v>
      </c>
      <c r="J33" s="170">
        <f>IF(IFERROR(VLOOKUP(Tsuivistock[[#This Row],[PRODUCTS]],Tproduits[],2,0)+ SUMIFS(F$2:F33,C$2:C33,[PRODUCTS],E$2:E33, "Entree")- SUMIFS(F$2:F33,C$2:C33,[PRODUCTS],E$2:E33,"Sortie"),"")&lt;=0,"STOCK EPUISE",IFERROR(VLOOKUP(Tsuivistock[[#This Row],[PRODUCTS]],Tproduits[],2,0)+ SUMIFS(F$2:F33,C$2:C33,[PRODUCTS],E$2:E33, "Entree")- SUMIFS(F$2:F33,C$2:C33,[PRODUCTS],E$2:E33,"Sortie"),""))</f>
        <v>12</v>
      </c>
    </row>
    <row r="34" spans="1:10">
      <c r="A34" s="171">
        <v>43021</v>
      </c>
      <c r="B34" s="167" t="s">
        <v>129</v>
      </c>
      <c r="C34" s="167" t="s">
        <v>26</v>
      </c>
      <c r="D34" s="179" t="str">
        <f>IFERROR(VLOOKUP(Tsuivistock[[#This Row],[PRODUCTS]],LISTES!$A$2:$E$107,5,0),"")</f>
        <v>Vetements mixtes</v>
      </c>
      <c r="E34" s="167" t="s">
        <v>114</v>
      </c>
      <c r="F34" s="168">
        <v>10</v>
      </c>
      <c r="G34" s="183">
        <f>IFERROR(VLOOKUP(Tsuivistock[[#This Row],[PRODUCTS]],Tproduits[#All],4,0),"")</f>
        <v>9000</v>
      </c>
      <c r="H34" s="169">
        <v>12000</v>
      </c>
      <c r="I34" s="188">
        <f>IFERROR(Tsuivistock[[#This Row],[QTE]]*Tsuivistock[[#This Row],[P.V]],"")</f>
        <v>120000</v>
      </c>
      <c r="J34" s="170">
        <f>IF(IFERROR(VLOOKUP(Tsuivistock[[#This Row],[PRODUCTS]],Tproduits[],2,0)+ SUMIFS(F$2:F34,C$2:C34,[PRODUCTS],E$2:E34, "Entree")- SUMIFS(F$2:F34,C$2:C34,[PRODUCTS],E$2:E34,"Sortie"),"")&lt;=0,"STOCK EPUISE",IFERROR(VLOOKUP(Tsuivistock[[#This Row],[PRODUCTS]],Tproduits[],2,0)+ SUMIFS(F$2:F34,C$2:C34,[PRODUCTS],E$2:E34, "Entree")- SUMIFS(F$2:F34,C$2:C34,[PRODUCTS],E$2:E34,"Sortie"),""))</f>
        <v>16</v>
      </c>
    </row>
    <row r="35" spans="1:10">
      <c r="A35" s="171">
        <v>43022</v>
      </c>
      <c r="B35" s="167" t="s">
        <v>127</v>
      </c>
      <c r="C35" s="167" t="s">
        <v>26</v>
      </c>
      <c r="D35" s="179" t="str">
        <f>IFERROR(VLOOKUP(Tsuivistock[[#This Row],[PRODUCTS]],LISTES!$A$2:$E$107,5,0),"")</f>
        <v>Vetements mixtes</v>
      </c>
      <c r="E35" s="167" t="s">
        <v>114</v>
      </c>
      <c r="F35" s="168">
        <v>3</v>
      </c>
      <c r="G35" s="183">
        <f>IFERROR(VLOOKUP(Tsuivistock[[#This Row],[PRODUCTS]],Tproduits[#All],4,0),"")</f>
        <v>9000</v>
      </c>
      <c r="H35" s="169">
        <v>11000</v>
      </c>
      <c r="I35" s="188">
        <f>IFERROR(Tsuivistock[[#This Row],[QTE]]*Tsuivistock[[#This Row],[P.V]],"")</f>
        <v>33000</v>
      </c>
      <c r="J35" s="170">
        <f>IF(IFERROR(VLOOKUP(Tsuivistock[[#This Row],[PRODUCTS]],Tproduits[],2,0)+ SUMIFS(F$2:F35,C$2:C35,[PRODUCTS],E$2:E35, "Entree")- SUMIFS(F$2:F35,C$2:C35,[PRODUCTS],E$2:E35,"Sortie"),"")&lt;=0,"STOCK EPUISE",IFERROR(VLOOKUP(Tsuivistock[[#This Row],[PRODUCTS]],Tproduits[],2,0)+ SUMIFS(F$2:F35,C$2:C35,[PRODUCTS],E$2:E35, "Entree")- SUMIFS(F$2:F35,C$2:C35,[PRODUCTS],E$2:E35,"Sortie"),""))</f>
        <v>13</v>
      </c>
    </row>
    <row r="36" spans="1:10">
      <c r="A36" s="171">
        <v>43023</v>
      </c>
      <c r="B36" s="167"/>
      <c r="C36" s="167"/>
      <c r="D36" s="179" t="str">
        <f>IFERROR(VLOOKUP(Tsuivistock[[#This Row],[PRODUCTS]],LISTES!$A$2:$E$107,5,0),"")</f>
        <v/>
      </c>
      <c r="E36" s="167"/>
      <c r="F36" s="168">
        <f>IF(Tsuivistock[[#This Row],[SOLDE]]&lt;FACTURIER!C$20:C54,"",FACTURIER!C$20:C53)</f>
        <v>0</v>
      </c>
      <c r="G36" s="183" t="str">
        <f>IFERROR(VLOOKUP(Tsuivistock[[#This Row],[PRODUCTS]],Tproduits[#All],4,0),"")</f>
        <v/>
      </c>
      <c r="H36" s="169" t="str">
        <f>IFERROR(VLOOKUP(Tsuivistock[[#This Row],[PRODUCTS]],LISTES!A35:D141,4,0),"")</f>
        <v/>
      </c>
      <c r="I36" s="188" t="str">
        <f>IFERROR(Tsuivistock[[#This Row],[QTE]]*Tsuivistock[[#This Row],[P.V]],"")</f>
        <v/>
      </c>
      <c r="J36" s="170" t="str">
        <f>IF(IFERROR(VLOOKUP(Tsuivistock[[#This Row],[PRODUCTS]],Tproduits[],2,0)+ SUMIFS(F$2:F36,C$2:C36,[PRODUCTS],E$2:E36, "Entree")- SUMIFS(F$2:F36,C$2:C36,[PRODUCTS],E$2:E36,"Sortie"),"")&lt;=0,"STOCK EPUISE",IFERROR(VLOOKUP(Tsuivistock[[#This Row],[PRODUCTS]],Tproduits[],2,0)+ SUMIFS(F$2:F36,C$2:C36,[PRODUCTS],E$2:E36, "Entree")- SUMIFS(F$2:F36,C$2:C36,[PRODUCTS],E$2:E36,"Sortie"),""))</f>
        <v/>
      </c>
    </row>
    <row r="37" spans="1:10">
      <c r="A37" s="171">
        <v>43024</v>
      </c>
      <c r="B37" s="167"/>
      <c r="C37" s="167"/>
      <c r="D37" s="179" t="str">
        <f>IFERROR(VLOOKUP(Tsuivistock[[#This Row],[PRODUCTS]],LISTES!$A$2:$E$107,5,0),"")</f>
        <v/>
      </c>
      <c r="E37" s="167"/>
      <c r="F37" s="168">
        <f>IF(Tsuivistock[[#This Row],[SOLDE]]&lt;FACTURIER!C$20:C55,"",FACTURIER!C$20:C54)</f>
        <v>0</v>
      </c>
      <c r="G37" s="183" t="str">
        <f>IFERROR(VLOOKUP(Tsuivistock[[#This Row],[PRODUCTS]],Tproduits[#All],4,0),"")</f>
        <v/>
      </c>
      <c r="H37" s="169" t="str">
        <f>IFERROR(VLOOKUP(Tsuivistock[[#This Row],[PRODUCTS]],LISTES!A36:D142,4,0),"")</f>
        <v/>
      </c>
      <c r="I37" s="188" t="str">
        <f>IFERROR(Tsuivistock[[#This Row],[QTE]]*Tsuivistock[[#This Row],[P.V]],"")</f>
        <v/>
      </c>
      <c r="J37" s="170" t="str">
        <f>IF(IFERROR(VLOOKUP(Tsuivistock[[#This Row],[PRODUCTS]],Tproduits[],2,0)+ SUMIFS(F$2:F37,C$2:C37,[PRODUCTS],E$2:E37, "Entree")- SUMIFS(F$2:F37,C$2:C37,[PRODUCTS],E$2:E37,"Sortie"),"")&lt;=0,"STOCK EPUISE",IFERROR(VLOOKUP(Tsuivistock[[#This Row],[PRODUCTS]],Tproduits[],2,0)+ SUMIFS(F$2:F37,C$2:C37,[PRODUCTS],E$2:E37, "Entree")- SUMIFS(F$2:F37,C$2:C37,[PRODUCTS],E$2:E37,"Sortie"),""))</f>
        <v/>
      </c>
    </row>
    <row r="38" spans="1:10">
      <c r="A38" s="171">
        <v>43025</v>
      </c>
      <c r="B38" s="167"/>
      <c r="C38" s="167"/>
      <c r="D38" s="179" t="str">
        <f>IFERROR(VLOOKUP(Tsuivistock[[#This Row],[PRODUCTS]],LISTES!$A$2:$E$107,5,0),"")</f>
        <v/>
      </c>
      <c r="E38" s="167"/>
      <c r="F38" s="168">
        <f>IF(Tsuivistock[[#This Row],[SOLDE]]&lt;FACTURIER!C$20:C56,"",FACTURIER!C$20:C55)</f>
        <v>0</v>
      </c>
      <c r="G38" s="183" t="str">
        <f>IFERROR(VLOOKUP(Tsuivistock[[#This Row],[PRODUCTS]],Tproduits[#All],4,0),"")</f>
        <v/>
      </c>
      <c r="H38" s="169" t="str">
        <f>IFERROR(VLOOKUP(Tsuivistock[[#This Row],[PRODUCTS]],LISTES!A37:D143,4,0),"")</f>
        <v/>
      </c>
      <c r="I38" s="188" t="str">
        <f>IFERROR(Tsuivistock[[#This Row],[QTE]]*Tsuivistock[[#This Row],[P.V]],"")</f>
        <v/>
      </c>
      <c r="J38" s="170" t="str">
        <f>IF(IFERROR(VLOOKUP(Tsuivistock[[#This Row],[PRODUCTS]],Tproduits[],2,0)+ SUMIFS(F$2:F38,C$2:C38,[PRODUCTS],E$2:E38, "Entree")- SUMIFS(F$2:F38,C$2:C38,[PRODUCTS],E$2:E38,"Sortie"),"")&lt;=0,"STOCK EPUISE",IFERROR(VLOOKUP(Tsuivistock[[#This Row],[PRODUCTS]],Tproduits[],2,0)+ SUMIFS(F$2:F38,C$2:C38,[PRODUCTS],E$2:E38, "Entree")- SUMIFS(F$2:F38,C$2:C38,[PRODUCTS],E$2:E38,"Sortie"),""))</f>
        <v/>
      </c>
    </row>
    <row r="39" spans="1:10">
      <c r="A39" s="171">
        <v>43026</v>
      </c>
      <c r="B39" s="167"/>
      <c r="C39" s="167"/>
      <c r="D39" s="179" t="str">
        <f>IFERROR(VLOOKUP(Tsuivistock[[#This Row],[PRODUCTS]],LISTES!$A$2:$E$107,5,0),"")</f>
        <v/>
      </c>
      <c r="E39" s="167"/>
      <c r="F39" s="168">
        <f>IF(Tsuivistock[[#This Row],[SOLDE]]&lt;FACTURIER!C$20:C57,"",FACTURIER!C$20:C56)</f>
        <v>0</v>
      </c>
      <c r="G39" s="183" t="str">
        <f>IFERROR(VLOOKUP(Tsuivistock[[#This Row],[PRODUCTS]],Tproduits[#All],4,0),"")</f>
        <v/>
      </c>
      <c r="H39" s="169" t="str">
        <f>IFERROR(VLOOKUP(Tsuivistock[[#This Row],[PRODUCTS]],LISTES!A38:D144,4,0),"")</f>
        <v/>
      </c>
      <c r="I39" s="188" t="str">
        <f>IFERROR(Tsuivistock[[#This Row],[QTE]]*Tsuivistock[[#This Row],[P.V]],"")</f>
        <v/>
      </c>
      <c r="J39" s="170" t="str">
        <f>IF(IFERROR(VLOOKUP(Tsuivistock[[#This Row],[PRODUCTS]],Tproduits[],2,0)+ SUMIFS(F$2:F39,C$2:C39,[PRODUCTS],E$2:E39, "Entree")- SUMIFS(F$2:F39,C$2:C39,[PRODUCTS],E$2:E39,"Sortie"),"")&lt;=0,"STOCK EPUISE",IFERROR(VLOOKUP(Tsuivistock[[#This Row],[PRODUCTS]],Tproduits[],2,0)+ SUMIFS(F$2:F39,C$2:C39,[PRODUCTS],E$2:E39, "Entree")- SUMIFS(F$2:F39,C$2:C39,[PRODUCTS],E$2:E39,"Sortie"),""))</f>
        <v/>
      </c>
    </row>
    <row r="40" spans="1:10">
      <c r="A40" s="171">
        <v>43027</v>
      </c>
      <c r="B40" s="167"/>
      <c r="C40" s="167"/>
      <c r="D40" s="179" t="str">
        <f>IFERROR(VLOOKUP(Tsuivistock[[#This Row],[PRODUCTS]],LISTES!$A$2:$E$107,5,0),"")</f>
        <v/>
      </c>
      <c r="E40" s="167"/>
      <c r="F40" s="168">
        <f>IF(Tsuivistock[[#This Row],[SOLDE]]&lt;FACTURIER!C$20:C58,"",FACTURIER!C$20:C57)</f>
        <v>0</v>
      </c>
      <c r="G40" s="183" t="str">
        <f>IFERROR(VLOOKUP(Tsuivistock[[#This Row],[PRODUCTS]],Tproduits[#All],4,0),"")</f>
        <v/>
      </c>
      <c r="H40" s="169" t="str">
        <f>IFERROR(VLOOKUP(Tsuivistock[[#This Row],[PRODUCTS]],LISTES!A39:D145,4,0),"")</f>
        <v/>
      </c>
      <c r="I40" s="188" t="str">
        <f>IFERROR(Tsuivistock[[#This Row],[QTE]]*Tsuivistock[[#This Row],[P.V]],"")</f>
        <v/>
      </c>
      <c r="J40" s="170" t="str">
        <f>IF(IFERROR(VLOOKUP(Tsuivistock[[#This Row],[PRODUCTS]],Tproduits[],2,0)+ SUMIFS(F$2:F40,C$2:C40,[PRODUCTS],E$2:E40, "Entree")- SUMIFS(F$2:F40,C$2:C40,[PRODUCTS],E$2:E40,"Sortie"),"")&lt;=0,"STOCK EPUISE",IFERROR(VLOOKUP(Tsuivistock[[#This Row],[PRODUCTS]],Tproduits[],2,0)+ SUMIFS(F$2:F40,C$2:C40,[PRODUCTS],E$2:E40, "Entree")- SUMIFS(F$2:F40,C$2:C40,[PRODUCTS],E$2:E40,"Sortie"),""))</f>
        <v/>
      </c>
    </row>
    <row r="41" spans="1:10">
      <c r="A41" s="171">
        <v>43028</v>
      </c>
      <c r="B41" s="167"/>
      <c r="C41" s="167"/>
      <c r="D41" s="179" t="str">
        <f>IFERROR(VLOOKUP(Tsuivistock[[#This Row],[PRODUCTS]],LISTES!$A$2:$E$107,5,0),"")</f>
        <v/>
      </c>
      <c r="E41" s="167"/>
      <c r="F41" s="168">
        <f>IF(Tsuivistock[[#This Row],[SOLDE]]&lt;FACTURIER!C$20:C59,"",FACTURIER!C$20:C58)</f>
        <v>0</v>
      </c>
      <c r="G41" s="183" t="str">
        <f>IFERROR(VLOOKUP(Tsuivistock[[#This Row],[PRODUCTS]],Tproduits[#All],4,0),"")</f>
        <v/>
      </c>
      <c r="H41" s="169" t="str">
        <f>IFERROR(VLOOKUP(Tsuivistock[[#This Row],[PRODUCTS]],LISTES!A40:D146,4,0),"")</f>
        <v/>
      </c>
      <c r="I41" s="188" t="str">
        <f>IFERROR(Tsuivistock[[#This Row],[QTE]]*Tsuivistock[[#This Row],[P.V]],"")</f>
        <v/>
      </c>
      <c r="J41" s="170" t="str">
        <f>IF(IFERROR(VLOOKUP(Tsuivistock[[#This Row],[PRODUCTS]],Tproduits[],2,0)+ SUMIFS(F$2:F41,C$2:C41,[PRODUCTS],E$2:E41, "Entree")- SUMIFS(F$2:F41,C$2:C41,[PRODUCTS],E$2:E41,"Sortie"),"")&lt;=0,"STOCK EPUISE",IFERROR(VLOOKUP(Tsuivistock[[#This Row],[PRODUCTS]],Tproduits[],2,0)+ SUMIFS(F$2:F41,C$2:C41,[PRODUCTS],E$2:E41, "Entree")- SUMIFS(F$2:F41,C$2:C41,[PRODUCTS],E$2:E41,"Sortie"),""))</f>
        <v/>
      </c>
    </row>
    <row r="42" spans="1:10">
      <c r="A42" s="171">
        <v>43029</v>
      </c>
      <c r="B42" s="167"/>
      <c r="C42" s="167"/>
      <c r="D42" s="179" t="str">
        <f>IFERROR(VLOOKUP(Tsuivistock[[#This Row],[PRODUCTS]],LISTES!$A$2:$E$107,5,0),"")</f>
        <v/>
      </c>
      <c r="E42" s="167"/>
      <c r="F42" s="168">
        <f>IF(Tsuivistock[[#This Row],[SOLDE]]&lt;FACTURIER!C$20:C60,"",FACTURIER!C$20:C59)</f>
        <v>0</v>
      </c>
      <c r="G42" s="183" t="str">
        <f>IFERROR(VLOOKUP(Tsuivistock[[#This Row],[PRODUCTS]],Tproduits[#All],4,0),"")</f>
        <v/>
      </c>
      <c r="H42" s="169" t="str">
        <f>IFERROR(VLOOKUP(Tsuivistock[[#This Row],[PRODUCTS]],LISTES!A41:D147,4,0),"")</f>
        <v/>
      </c>
      <c r="I42" s="188" t="str">
        <f>IFERROR(Tsuivistock[[#This Row],[QTE]]*Tsuivistock[[#This Row],[P.V]],"")</f>
        <v/>
      </c>
      <c r="J42" s="170" t="str">
        <f>IF(IFERROR(VLOOKUP(Tsuivistock[[#This Row],[PRODUCTS]],Tproduits[],2,0)+ SUMIFS(F$2:F42,C$2:C42,[PRODUCTS],E$2:E42, "Entree")- SUMIFS(F$2:F42,C$2:C42,[PRODUCTS],E$2:E42,"Sortie"),"")&lt;=0,"STOCK EPUISE",IFERROR(VLOOKUP(Tsuivistock[[#This Row],[PRODUCTS]],Tproduits[],2,0)+ SUMIFS(F$2:F42,C$2:C42,[PRODUCTS],E$2:E42, "Entree")- SUMIFS(F$2:F42,C$2:C42,[PRODUCTS],E$2:E42,"Sortie"),""))</f>
        <v/>
      </c>
    </row>
    <row r="43" spans="1:10">
      <c r="A43" s="171">
        <v>43030</v>
      </c>
      <c r="B43" s="167"/>
      <c r="C43" s="167"/>
      <c r="D43" s="179" t="str">
        <f>IFERROR(VLOOKUP(Tsuivistock[[#This Row],[PRODUCTS]],LISTES!$A$2:$E$107,5,0),"")</f>
        <v/>
      </c>
      <c r="E43" s="167"/>
      <c r="F43" s="168">
        <f>IF(Tsuivistock[[#This Row],[SOLDE]]&lt;FACTURIER!C$20:C61,"",FACTURIER!C$20:C60)</f>
        <v>0</v>
      </c>
      <c r="G43" s="183" t="str">
        <f>IFERROR(VLOOKUP(Tsuivistock[[#This Row],[PRODUCTS]],Tproduits[#All],4,0),"")</f>
        <v/>
      </c>
      <c r="H43" s="169" t="str">
        <f>IFERROR(VLOOKUP(Tsuivistock[[#This Row],[PRODUCTS]],LISTES!A42:D148,4,0),"")</f>
        <v/>
      </c>
      <c r="I43" s="188" t="str">
        <f>IFERROR(Tsuivistock[[#This Row],[QTE]]*Tsuivistock[[#This Row],[P.V]],"")</f>
        <v/>
      </c>
      <c r="J43" s="170" t="str">
        <f>IF(IFERROR(VLOOKUP(Tsuivistock[[#This Row],[PRODUCTS]],Tproduits[],2,0)+ SUMIFS(F$2:F43,C$2:C43,[PRODUCTS],E$2:E43, "Entree")- SUMIFS(F$2:F43,C$2:C43,[PRODUCTS],E$2:E43,"Sortie"),"")&lt;=0,"STOCK EPUISE",IFERROR(VLOOKUP(Tsuivistock[[#This Row],[PRODUCTS]],Tproduits[],2,0)+ SUMIFS(F$2:F43,C$2:C43,[PRODUCTS],E$2:E43, "Entree")- SUMIFS(F$2:F43,C$2:C43,[PRODUCTS],E$2:E43,"Sortie"),""))</f>
        <v/>
      </c>
    </row>
    <row r="44" spans="1:10">
      <c r="A44" s="171">
        <v>43031</v>
      </c>
      <c r="B44" s="167"/>
      <c r="C44" s="167"/>
      <c r="D44" s="179" t="str">
        <f>IFERROR(VLOOKUP(Tsuivistock[[#This Row],[PRODUCTS]],LISTES!$A$2:$E$107,5,0),"")</f>
        <v/>
      </c>
      <c r="E44" s="167"/>
      <c r="F44" s="168">
        <f>IF(Tsuivistock[[#This Row],[SOLDE]]&lt;FACTURIER!C$20:C62,"",FACTURIER!C$20:C61)</f>
        <v>0</v>
      </c>
      <c r="G44" s="183" t="str">
        <f>IFERROR(VLOOKUP(Tsuivistock[[#This Row],[PRODUCTS]],Tproduits[#All],4,0),"")</f>
        <v/>
      </c>
      <c r="H44" s="169" t="str">
        <f>IFERROR(VLOOKUP(Tsuivistock[[#This Row],[PRODUCTS]],LISTES!A43:D149,4,0),"")</f>
        <v/>
      </c>
      <c r="I44" s="188" t="str">
        <f>IFERROR(Tsuivistock[[#This Row],[QTE]]*Tsuivistock[[#This Row],[P.V]],"")</f>
        <v/>
      </c>
      <c r="J44" s="170" t="str">
        <f>IF(IFERROR(VLOOKUP(Tsuivistock[[#This Row],[PRODUCTS]],Tproduits[],2,0)+ SUMIFS(F$2:F44,C$2:C44,[PRODUCTS],E$2:E44, "Entree")- SUMIFS(F$2:F44,C$2:C44,[PRODUCTS],E$2:E44,"Sortie"),"")&lt;=0,"STOCK EPUISE",IFERROR(VLOOKUP(Tsuivistock[[#This Row],[PRODUCTS]],Tproduits[],2,0)+ SUMIFS(F$2:F44,C$2:C44,[PRODUCTS],E$2:E44, "Entree")- SUMIFS(F$2:F44,C$2:C44,[PRODUCTS],E$2:E44,"Sortie"),""))</f>
        <v/>
      </c>
    </row>
    <row r="45" spans="1:10">
      <c r="A45" s="171">
        <v>43032</v>
      </c>
      <c r="B45" s="167"/>
      <c r="C45" s="167"/>
      <c r="D45" s="179" t="str">
        <f>IFERROR(VLOOKUP(Tsuivistock[[#This Row],[PRODUCTS]],LISTES!$A$2:$E$107,5,0),"")</f>
        <v/>
      </c>
      <c r="E45" s="167"/>
      <c r="F45" s="168">
        <f>IF(Tsuivistock[[#This Row],[SOLDE]]&lt;FACTURIER!C$20:C63,"",FACTURIER!C$20:C62)</f>
        <v>0</v>
      </c>
      <c r="G45" s="183" t="str">
        <f>IFERROR(VLOOKUP(Tsuivistock[[#This Row],[PRODUCTS]],Tproduits[#All],4,0),"")</f>
        <v/>
      </c>
      <c r="H45" s="169" t="str">
        <f>IFERROR(VLOOKUP(Tsuivistock[[#This Row],[PRODUCTS]],LISTES!A44:D150,4,0),"")</f>
        <v/>
      </c>
      <c r="I45" s="188" t="str">
        <f>IFERROR(Tsuivistock[[#This Row],[QTE]]*Tsuivistock[[#This Row],[P.V]],"")</f>
        <v/>
      </c>
      <c r="J45" s="170" t="str">
        <f>IF(IFERROR(VLOOKUP(Tsuivistock[[#This Row],[PRODUCTS]],Tproduits[],2,0)+ SUMIFS(F$2:F45,C$2:C45,[PRODUCTS],E$2:E45, "Entree")- SUMIFS(F$2:F45,C$2:C45,[PRODUCTS],E$2:E45,"Sortie"),"")&lt;=0,"STOCK EPUISE",IFERROR(VLOOKUP(Tsuivistock[[#This Row],[PRODUCTS]],Tproduits[],2,0)+ SUMIFS(F$2:F45,C$2:C45,[PRODUCTS],E$2:E45, "Entree")- SUMIFS(F$2:F45,C$2:C45,[PRODUCTS],E$2:E45,"Sortie"),""))</f>
        <v/>
      </c>
    </row>
    <row r="46" spans="1:10">
      <c r="A46" s="171">
        <v>43033</v>
      </c>
      <c r="B46" s="167"/>
      <c r="C46" s="167"/>
      <c r="D46" s="179" t="str">
        <f>IFERROR(VLOOKUP(Tsuivistock[[#This Row],[PRODUCTS]],LISTES!$A$2:$E$107,5,0),"")</f>
        <v/>
      </c>
      <c r="E46" s="167"/>
      <c r="F46" s="168">
        <f>IF(Tsuivistock[[#This Row],[SOLDE]]&lt;FACTURIER!C$20:C64,"",FACTURIER!C$20:C63)</f>
        <v>0</v>
      </c>
      <c r="G46" s="183" t="str">
        <f>IFERROR(VLOOKUP(Tsuivistock[[#This Row],[PRODUCTS]],Tproduits[#All],4,0),"")</f>
        <v/>
      </c>
      <c r="H46" s="169" t="str">
        <f>IFERROR(VLOOKUP(Tsuivistock[[#This Row],[PRODUCTS]],LISTES!A45:D151,4,0),"")</f>
        <v/>
      </c>
      <c r="I46" s="188" t="str">
        <f>IFERROR(Tsuivistock[[#This Row],[QTE]]*Tsuivistock[[#This Row],[P.V]],"")</f>
        <v/>
      </c>
      <c r="J46" s="170" t="str">
        <f>IF(IFERROR(VLOOKUP(Tsuivistock[[#This Row],[PRODUCTS]],Tproduits[],2,0)+ SUMIFS(F$2:F46,C$2:C46,[PRODUCTS],E$2:E46, "Entree")- SUMIFS(F$2:F46,C$2:C46,[PRODUCTS],E$2:E46,"Sortie"),"")&lt;=0,"STOCK EPUISE",IFERROR(VLOOKUP(Tsuivistock[[#This Row],[PRODUCTS]],Tproduits[],2,0)+ SUMIFS(F$2:F46,C$2:C46,[PRODUCTS],E$2:E46, "Entree")- SUMIFS(F$2:F46,C$2:C46,[PRODUCTS],E$2:E46,"Sortie"),""))</f>
        <v/>
      </c>
    </row>
    <row r="47" spans="1:10">
      <c r="A47" s="171">
        <v>43034</v>
      </c>
      <c r="B47" s="167"/>
      <c r="C47" s="167"/>
      <c r="D47" s="179" t="str">
        <f>IFERROR(VLOOKUP(Tsuivistock[[#This Row],[PRODUCTS]],LISTES!$A$2:$E$107,5,0),"")</f>
        <v/>
      </c>
      <c r="E47" s="167"/>
      <c r="F47" s="168">
        <f>IF(Tsuivistock[[#This Row],[SOLDE]]&lt;FACTURIER!C$20:C65,"",FACTURIER!C$20:C64)</f>
        <v>0</v>
      </c>
      <c r="G47" s="183" t="str">
        <f>IFERROR(VLOOKUP(Tsuivistock[[#This Row],[PRODUCTS]],Tproduits[#All],4,0),"")</f>
        <v/>
      </c>
      <c r="H47" s="169" t="str">
        <f>IFERROR(VLOOKUP(Tsuivistock[[#This Row],[PRODUCTS]],LISTES!A46:D152,4,0),"")</f>
        <v/>
      </c>
      <c r="I47" s="188" t="str">
        <f>IFERROR(Tsuivistock[[#This Row],[QTE]]*Tsuivistock[[#This Row],[P.V]],"")</f>
        <v/>
      </c>
      <c r="J47" s="170" t="str">
        <f>IF(IFERROR(VLOOKUP(Tsuivistock[[#This Row],[PRODUCTS]],Tproduits[],2,0)+ SUMIFS(F$2:F47,C$2:C47,[PRODUCTS],E$2:E47, "Entree")- SUMIFS(F$2:F47,C$2:C47,[PRODUCTS],E$2:E47,"Sortie"),"")&lt;=0,"STOCK EPUISE",IFERROR(VLOOKUP(Tsuivistock[[#This Row],[PRODUCTS]],Tproduits[],2,0)+ SUMIFS(F$2:F47,C$2:C47,[PRODUCTS],E$2:E47, "Entree")- SUMIFS(F$2:F47,C$2:C47,[PRODUCTS],E$2:E47,"Sortie"),""))</f>
        <v/>
      </c>
    </row>
    <row r="48" spans="1:10">
      <c r="A48" s="171">
        <v>43035</v>
      </c>
      <c r="B48" s="167"/>
      <c r="C48" s="167"/>
      <c r="D48" s="179" t="str">
        <f>IFERROR(VLOOKUP(Tsuivistock[[#This Row],[PRODUCTS]],LISTES!$A$2:$E$107,5,0),"")</f>
        <v/>
      </c>
      <c r="E48" s="167"/>
      <c r="F48" s="168">
        <f>IF(Tsuivistock[[#This Row],[SOLDE]]&lt;FACTURIER!C$20:C66,"",FACTURIER!C$20:C65)</f>
        <v>0</v>
      </c>
      <c r="G48" s="183" t="str">
        <f>IFERROR(VLOOKUP(Tsuivistock[[#This Row],[PRODUCTS]],Tproduits[#All],4,0),"")</f>
        <v/>
      </c>
      <c r="H48" s="169" t="str">
        <f>IFERROR(VLOOKUP(Tsuivistock[[#This Row],[PRODUCTS]],LISTES!A47:D153,4,0),"")</f>
        <v/>
      </c>
      <c r="I48" s="188" t="str">
        <f>IFERROR(Tsuivistock[[#This Row],[QTE]]*Tsuivistock[[#This Row],[P.V]],"")</f>
        <v/>
      </c>
      <c r="J48" s="170" t="str">
        <f>IF(IFERROR(VLOOKUP(Tsuivistock[[#This Row],[PRODUCTS]],Tproduits[],2,0)+ SUMIFS(F$2:F48,C$2:C48,[PRODUCTS],E$2:E48, "Entree")- SUMIFS(F$2:F48,C$2:C48,[PRODUCTS],E$2:E48,"Sortie"),"")&lt;=0,"STOCK EPUISE",IFERROR(VLOOKUP(Tsuivistock[[#This Row],[PRODUCTS]],Tproduits[],2,0)+ SUMIFS(F$2:F48,C$2:C48,[PRODUCTS],E$2:E48, "Entree")- SUMIFS(F$2:F48,C$2:C48,[PRODUCTS],E$2:E48,"Sortie"),""))</f>
        <v/>
      </c>
    </row>
    <row r="49" spans="1:10">
      <c r="A49" s="171">
        <v>43036</v>
      </c>
      <c r="B49" s="167"/>
      <c r="C49" s="167"/>
      <c r="D49" s="179" t="str">
        <f>IFERROR(VLOOKUP(Tsuivistock[[#This Row],[PRODUCTS]],LISTES!$A$2:$E$107,5,0),"")</f>
        <v/>
      </c>
      <c r="E49" s="167"/>
      <c r="F49" s="168">
        <f>IF(Tsuivistock[[#This Row],[SOLDE]]&lt;FACTURIER!C$20:C67,"",FACTURIER!C$20:C66)</f>
        <v>0</v>
      </c>
      <c r="G49" s="183" t="str">
        <f>IFERROR(VLOOKUP(Tsuivistock[[#This Row],[PRODUCTS]],Tproduits[#All],4,0),"")</f>
        <v/>
      </c>
      <c r="H49" s="169" t="str">
        <f>IFERROR(VLOOKUP(Tsuivistock[[#This Row],[PRODUCTS]],LISTES!A48:D154,4,0),"")</f>
        <v/>
      </c>
      <c r="I49" s="188" t="str">
        <f>IFERROR(Tsuivistock[[#This Row],[QTE]]*Tsuivistock[[#This Row],[P.V]],"")</f>
        <v/>
      </c>
      <c r="J49" s="170" t="str">
        <f>IF(IFERROR(VLOOKUP(Tsuivistock[[#This Row],[PRODUCTS]],Tproduits[],2,0)+ SUMIFS(F$2:F49,C$2:C49,[PRODUCTS],E$2:E49, "Entree")- SUMIFS(F$2:F49,C$2:C49,[PRODUCTS],E$2:E49,"Sortie"),"")&lt;=0,"STOCK EPUISE",IFERROR(VLOOKUP(Tsuivistock[[#This Row],[PRODUCTS]],Tproduits[],2,0)+ SUMIFS(F$2:F49,C$2:C49,[PRODUCTS],E$2:E49, "Entree")- SUMIFS(F$2:F49,C$2:C49,[PRODUCTS],E$2:E49,"Sortie"),""))</f>
        <v/>
      </c>
    </row>
    <row r="50" spans="1:10">
      <c r="A50" s="171">
        <v>43037</v>
      </c>
      <c r="B50" s="167"/>
      <c r="C50" s="167"/>
      <c r="D50" s="179" t="str">
        <f>IFERROR(VLOOKUP(Tsuivistock[[#This Row],[PRODUCTS]],LISTES!$A$2:$E$107,5,0),"")</f>
        <v/>
      </c>
      <c r="E50" s="167"/>
      <c r="F50" s="168">
        <f>IF(Tsuivistock[[#This Row],[SOLDE]]&lt;FACTURIER!C$20:C68,"",FACTURIER!C$20:C67)</f>
        <v>0</v>
      </c>
      <c r="G50" s="183" t="str">
        <f>IFERROR(VLOOKUP(Tsuivistock[[#This Row],[PRODUCTS]],Tproduits[#All],4,0),"")</f>
        <v/>
      </c>
      <c r="H50" s="169" t="str">
        <f>IFERROR(VLOOKUP(Tsuivistock[[#This Row],[PRODUCTS]],LISTES!A49:D155,4,0),"")</f>
        <v/>
      </c>
      <c r="I50" s="188" t="str">
        <f>IFERROR(Tsuivistock[[#This Row],[QTE]]*Tsuivistock[[#This Row],[P.V]],"")</f>
        <v/>
      </c>
      <c r="J50" s="170" t="str">
        <f>IF(IFERROR(VLOOKUP(Tsuivistock[[#This Row],[PRODUCTS]],Tproduits[],2,0)+ SUMIFS(F$2:F50,C$2:C50,[PRODUCTS],E$2:E50, "Entree")- SUMIFS(F$2:F50,C$2:C50,[PRODUCTS],E$2:E50,"Sortie"),"")&lt;=0,"STOCK EPUISE",IFERROR(VLOOKUP(Tsuivistock[[#This Row],[PRODUCTS]],Tproduits[],2,0)+ SUMIFS(F$2:F50,C$2:C50,[PRODUCTS],E$2:E50, "Entree")- SUMIFS(F$2:F50,C$2:C50,[PRODUCTS],E$2:E50,"Sortie"),""))</f>
        <v/>
      </c>
    </row>
    <row r="51" spans="1:10">
      <c r="A51" s="171">
        <v>43038</v>
      </c>
      <c r="B51" s="167"/>
      <c r="C51" s="167"/>
      <c r="D51" s="179" t="str">
        <f>IFERROR(VLOOKUP(Tsuivistock[[#This Row],[PRODUCTS]],LISTES!$A$2:$E$107,5,0),"")</f>
        <v/>
      </c>
      <c r="E51" s="167"/>
      <c r="F51" s="168">
        <f>IF(Tsuivistock[[#This Row],[SOLDE]]&lt;FACTURIER!C$20:C69,"",FACTURIER!C$20:C68)</f>
        <v>0</v>
      </c>
      <c r="G51" s="183" t="str">
        <f>IFERROR(VLOOKUP(Tsuivistock[[#This Row],[PRODUCTS]],Tproduits[#All],4,0),"")</f>
        <v/>
      </c>
      <c r="H51" s="169" t="str">
        <f>IFERROR(VLOOKUP(Tsuivistock[[#This Row],[PRODUCTS]],LISTES!A50:D156,4,0),"")</f>
        <v/>
      </c>
      <c r="I51" s="188" t="str">
        <f>IFERROR(Tsuivistock[[#This Row],[QTE]]*Tsuivistock[[#This Row],[P.V]],"")</f>
        <v/>
      </c>
      <c r="J51" s="170" t="str">
        <f>IF(IFERROR(VLOOKUP(Tsuivistock[[#This Row],[PRODUCTS]],Tproduits[],2,0)+ SUMIFS(F$2:F51,C$2:C51,[PRODUCTS],E$2:E51, "Entree")- SUMIFS(F$2:F51,C$2:C51,[PRODUCTS],E$2:E51,"Sortie"),"")&lt;=0,"STOCK EPUISE",IFERROR(VLOOKUP(Tsuivistock[[#This Row],[PRODUCTS]],Tproduits[],2,0)+ SUMIFS(F$2:F51,C$2:C51,[PRODUCTS],E$2:E51, "Entree")- SUMIFS(F$2:F51,C$2:C51,[PRODUCTS],E$2:E51,"Sortie"),""))</f>
        <v/>
      </c>
    </row>
    <row r="52" spans="1:10">
      <c r="A52" s="171">
        <v>43039</v>
      </c>
      <c r="B52" s="167"/>
      <c r="C52" s="167"/>
      <c r="D52" s="179" t="str">
        <f>IFERROR(VLOOKUP(Tsuivistock[[#This Row],[PRODUCTS]],LISTES!$A$2:$E$107,5,0),"")</f>
        <v/>
      </c>
      <c r="E52" s="167"/>
      <c r="F52" s="168">
        <f>IF(Tsuivistock[[#This Row],[SOLDE]]&lt;FACTURIER!C$20:C70,"",FACTURIER!C$20:C69)</f>
        <v>0</v>
      </c>
      <c r="G52" s="183" t="str">
        <f>IFERROR(VLOOKUP(Tsuivistock[[#This Row],[PRODUCTS]],Tproduits[#All],4,0),"")</f>
        <v/>
      </c>
      <c r="H52" s="169" t="str">
        <f>IFERROR(VLOOKUP(Tsuivistock[[#This Row],[PRODUCTS]],LISTES!A51:D157,4,0),"")</f>
        <v/>
      </c>
      <c r="I52" s="188" t="str">
        <f>IFERROR(Tsuivistock[[#This Row],[QTE]]*Tsuivistock[[#This Row],[P.V]],"")</f>
        <v/>
      </c>
      <c r="J52" s="170" t="str">
        <f>IF(IFERROR(VLOOKUP(Tsuivistock[[#This Row],[PRODUCTS]],Tproduits[],2,0)+ SUMIFS(F$2:F52,C$2:C52,[PRODUCTS],E$2:E52, "Entree")- SUMIFS(F$2:F52,C$2:C52,[PRODUCTS],E$2:E52,"Sortie"),"")&lt;=0,"STOCK EPUISE",IFERROR(VLOOKUP(Tsuivistock[[#This Row],[PRODUCTS]],Tproduits[],2,0)+ SUMIFS(F$2:F52,C$2:C52,[PRODUCTS],E$2:E52, "Entree")- SUMIFS(F$2:F52,C$2:C52,[PRODUCTS],E$2:E52,"Sortie"),""))</f>
        <v/>
      </c>
    </row>
    <row r="53" spans="1:10">
      <c r="A53" s="171">
        <v>43040</v>
      </c>
      <c r="B53" s="167"/>
      <c r="C53" s="167"/>
      <c r="D53" s="179" t="str">
        <f>IFERROR(VLOOKUP(Tsuivistock[[#This Row],[PRODUCTS]],LISTES!$A$2:$E$107,5,0),"")</f>
        <v/>
      </c>
      <c r="E53" s="167"/>
      <c r="F53" s="168">
        <f>IF(Tsuivistock[[#This Row],[SOLDE]]&lt;FACTURIER!C$20:C71,"",FACTURIER!C$20:C70)</f>
        <v>0</v>
      </c>
      <c r="G53" s="183" t="str">
        <f>IFERROR(VLOOKUP(Tsuivistock[[#This Row],[PRODUCTS]],Tproduits[#All],4,0),"")</f>
        <v/>
      </c>
      <c r="H53" s="169" t="str">
        <f>IFERROR(VLOOKUP(Tsuivistock[[#This Row],[PRODUCTS]],LISTES!A52:D158,4,0),"")</f>
        <v/>
      </c>
      <c r="I53" s="188" t="str">
        <f>IFERROR(Tsuivistock[[#This Row],[QTE]]*Tsuivistock[[#This Row],[P.V]],"")</f>
        <v/>
      </c>
      <c r="J53" s="170" t="str">
        <f>IF(IFERROR(VLOOKUP(Tsuivistock[[#This Row],[PRODUCTS]],Tproduits[],2,0)+ SUMIFS(F$2:F53,C$2:C53,[PRODUCTS],E$2:E53, "Entree")- SUMIFS(F$2:F53,C$2:C53,[PRODUCTS],E$2:E53,"Sortie"),"")&lt;=0,"STOCK EPUISE",IFERROR(VLOOKUP(Tsuivistock[[#This Row],[PRODUCTS]],Tproduits[],2,0)+ SUMIFS(F$2:F53,C$2:C53,[PRODUCTS],E$2:E53, "Entree")- SUMIFS(F$2:F53,C$2:C53,[PRODUCTS],E$2:E53,"Sortie"),""))</f>
        <v/>
      </c>
    </row>
    <row r="54" spans="1:10">
      <c r="A54" s="171">
        <v>43041</v>
      </c>
      <c r="B54" s="167"/>
      <c r="C54" s="167"/>
      <c r="D54" s="179" t="str">
        <f>IFERROR(VLOOKUP(Tsuivistock[[#This Row],[PRODUCTS]],LISTES!$A$2:$E$107,5,0),"")</f>
        <v/>
      </c>
      <c r="E54" s="167"/>
      <c r="F54" s="168">
        <f>IF(Tsuivistock[[#This Row],[SOLDE]]&lt;FACTURIER!C$20:C72,"",FACTURIER!C$20:C71)</f>
        <v>0</v>
      </c>
      <c r="G54" s="183" t="str">
        <f>IFERROR(VLOOKUP(Tsuivistock[[#This Row],[PRODUCTS]],Tproduits[#All],4,0),"")</f>
        <v/>
      </c>
      <c r="H54" s="169" t="str">
        <f>IFERROR(VLOOKUP(Tsuivistock[[#This Row],[PRODUCTS]],LISTES!A53:D159,4,0),"")</f>
        <v/>
      </c>
      <c r="I54" s="188" t="str">
        <f>IFERROR(Tsuivistock[[#This Row],[QTE]]*Tsuivistock[[#This Row],[P.V]],"")</f>
        <v/>
      </c>
      <c r="J54" s="170" t="str">
        <f>IF(IFERROR(VLOOKUP(Tsuivistock[[#This Row],[PRODUCTS]],Tproduits[],2,0)+ SUMIFS(F$2:F54,C$2:C54,[PRODUCTS],E$2:E54, "Entree")- SUMIFS(F$2:F54,C$2:C54,[PRODUCTS],E$2:E54,"Sortie"),"")&lt;=0,"STOCK EPUISE",IFERROR(VLOOKUP(Tsuivistock[[#This Row],[PRODUCTS]],Tproduits[],2,0)+ SUMIFS(F$2:F54,C$2:C54,[PRODUCTS],E$2:E54, "Entree")- SUMIFS(F$2:F54,C$2:C54,[PRODUCTS],E$2:E54,"Sortie"),""))</f>
        <v/>
      </c>
    </row>
    <row r="55" spans="1:10">
      <c r="A55" s="171">
        <v>43042</v>
      </c>
      <c r="B55" s="167"/>
      <c r="C55" s="167"/>
      <c r="D55" s="179" t="str">
        <f>IFERROR(VLOOKUP(Tsuivistock[[#This Row],[PRODUCTS]],LISTES!$A$2:$E$107,5,0),"")</f>
        <v/>
      </c>
      <c r="E55" s="167"/>
      <c r="F55" s="168">
        <f>IF(Tsuivistock[[#This Row],[SOLDE]]&lt;FACTURIER!C$20:C73,"",FACTURIER!C$20:C72)</f>
        <v>0</v>
      </c>
      <c r="G55" s="183" t="str">
        <f>IFERROR(VLOOKUP(Tsuivistock[[#This Row],[PRODUCTS]],Tproduits[#All],4,0),"")</f>
        <v/>
      </c>
      <c r="H55" s="169" t="str">
        <f>IFERROR(VLOOKUP(Tsuivistock[[#This Row],[PRODUCTS]],LISTES!A54:D160,4,0),"")</f>
        <v/>
      </c>
      <c r="I55" s="188" t="str">
        <f>IFERROR(Tsuivistock[[#This Row],[QTE]]*Tsuivistock[[#This Row],[P.V]],"")</f>
        <v/>
      </c>
      <c r="J55" s="170" t="str">
        <f>IF(IFERROR(VLOOKUP(Tsuivistock[[#This Row],[PRODUCTS]],Tproduits[],2,0)+ SUMIFS(F$2:F55,C$2:C55,[PRODUCTS],E$2:E55, "Entree")- SUMIFS(F$2:F55,C$2:C55,[PRODUCTS],E$2:E55,"Sortie"),"")&lt;=0,"STOCK EPUISE",IFERROR(VLOOKUP(Tsuivistock[[#This Row],[PRODUCTS]],Tproduits[],2,0)+ SUMIFS(F$2:F55,C$2:C55,[PRODUCTS],E$2:E55, "Entree")- SUMIFS(F$2:F55,C$2:C55,[PRODUCTS],E$2:E55,"Sortie"),""))</f>
        <v/>
      </c>
    </row>
    <row r="56" spans="1:10">
      <c r="A56" s="171">
        <v>43043</v>
      </c>
      <c r="B56" s="167"/>
      <c r="C56" s="167"/>
      <c r="D56" s="179" t="str">
        <f>IFERROR(VLOOKUP(Tsuivistock[[#This Row],[PRODUCTS]],LISTES!$A$2:$E$107,5,0),"")</f>
        <v/>
      </c>
      <c r="E56" s="167"/>
      <c r="F56" s="168">
        <f>IF(Tsuivistock[[#This Row],[SOLDE]]&lt;FACTURIER!C$20:C74,"",FACTURIER!C$20:C73)</f>
        <v>0</v>
      </c>
      <c r="G56" s="183" t="str">
        <f>IFERROR(VLOOKUP(Tsuivistock[[#This Row],[PRODUCTS]],Tproduits[#All],4,0),"")</f>
        <v/>
      </c>
      <c r="H56" s="169" t="str">
        <f>IFERROR(VLOOKUP(Tsuivistock[[#This Row],[PRODUCTS]],LISTES!A55:D161,4,0),"")</f>
        <v/>
      </c>
      <c r="I56" s="188" t="str">
        <f>IFERROR(Tsuivistock[[#This Row],[QTE]]*Tsuivistock[[#This Row],[P.V]],"")</f>
        <v/>
      </c>
      <c r="J56" s="170" t="str">
        <f>IF(IFERROR(VLOOKUP(Tsuivistock[[#This Row],[PRODUCTS]],Tproduits[],2,0)+ SUMIFS(F$2:F56,C$2:C56,[PRODUCTS],E$2:E56, "Entree")- SUMIFS(F$2:F56,C$2:C56,[PRODUCTS],E$2:E56,"Sortie"),"")&lt;=0,"STOCK EPUISE",IFERROR(VLOOKUP(Tsuivistock[[#This Row],[PRODUCTS]],Tproduits[],2,0)+ SUMIFS(F$2:F56,C$2:C56,[PRODUCTS],E$2:E56, "Entree")- SUMIFS(F$2:F56,C$2:C56,[PRODUCTS],E$2:E56,"Sortie"),""))</f>
        <v/>
      </c>
    </row>
    <row r="57" spans="1:10">
      <c r="A57" s="171">
        <v>43044</v>
      </c>
      <c r="B57" s="167"/>
      <c r="C57" s="167"/>
      <c r="D57" s="179" t="str">
        <f>IFERROR(VLOOKUP(Tsuivistock[[#This Row],[PRODUCTS]],LISTES!$A$2:$E$107,5,0),"")</f>
        <v/>
      </c>
      <c r="E57" s="167"/>
      <c r="F57" s="168">
        <f>IF(Tsuivistock[[#This Row],[SOLDE]]&lt;FACTURIER!C$20:C75,"",FACTURIER!C$20:C74)</f>
        <v>0</v>
      </c>
      <c r="G57" s="183" t="str">
        <f>IFERROR(VLOOKUP(Tsuivistock[[#This Row],[PRODUCTS]],Tproduits[#All],4,0),"")</f>
        <v/>
      </c>
      <c r="H57" s="169" t="str">
        <f>IFERROR(VLOOKUP(Tsuivistock[[#This Row],[PRODUCTS]],LISTES!A56:D162,4,0),"")</f>
        <v/>
      </c>
      <c r="I57" s="188" t="str">
        <f>IFERROR(Tsuivistock[[#This Row],[QTE]]*Tsuivistock[[#This Row],[P.V]],"")</f>
        <v/>
      </c>
      <c r="J57" s="170" t="str">
        <f>IF(IFERROR(VLOOKUP(Tsuivistock[[#This Row],[PRODUCTS]],Tproduits[],2,0)+ SUMIFS(F$2:F57,C$2:C57,[PRODUCTS],E$2:E57, "Entree")- SUMIFS(F$2:F57,C$2:C57,[PRODUCTS],E$2:E57,"Sortie"),"")&lt;=0,"STOCK EPUISE",IFERROR(VLOOKUP(Tsuivistock[[#This Row],[PRODUCTS]],Tproduits[],2,0)+ SUMIFS(F$2:F57,C$2:C57,[PRODUCTS],E$2:E57, "Entree")- SUMIFS(F$2:F57,C$2:C57,[PRODUCTS],E$2:E57,"Sortie"),""))</f>
        <v/>
      </c>
    </row>
    <row r="58" spans="1:10">
      <c r="A58" s="171">
        <v>43045</v>
      </c>
      <c r="B58" s="167"/>
      <c r="C58" s="167"/>
      <c r="D58" s="179" t="str">
        <f>IFERROR(VLOOKUP(Tsuivistock[[#This Row],[PRODUCTS]],LISTES!$A$2:$E$107,5,0),"")</f>
        <v/>
      </c>
      <c r="E58" s="167"/>
      <c r="F58" s="168">
        <f>IF(Tsuivistock[[#This Row],[SOLDE]]&lt;FACTURIER!C$20:C76,"",FACTURIER!C$20:C75)</f>
        <v>0</v>
      </c>
      <c r="G58" s="183" t="str">
        <f>IFERROR(VLOOKUP(Tsuivistock[[#This Row],[PRODUCTS]],Tproduits[#All],4,0),"")</f>
        <v/>
      </c>
      <c r="H58" s="169" t="str">
        <f>IFERROR(VLOOKUP(Tsuivistock[[#This Row],[PRODUCTS]],LISTES!A57:D163,4,0),"")</f>
        <v/>
      </c>
      <c r="I58" s="188" t="str">
        <f>IFERROR(Tsuivistock[[#This Row],[QTE]]*Tsuivistock[[#This Row],[P.V]],"")</f>
        <v/>
      </c>
      <c r="J58" s="170" t="str">
        <f>IF(IFERROR(VLOOKUP(Tsuivistock[[#This Row],[PRODUCTS]],Tproduits[],2,0)+ SUMIFS(F$2:F58,C$2:C58,[PRODUCTS],E$2:E58, "Entree")- SUMIFS(F$2:F58,C$2:C58,[PRODUCTS],E$2:E58,"Sortie"),"")&lt;=0,"STOCK EPUISE",IFERROR(VLOOKUP(Tsuivistock[[#This Row],[PRODUCTS]],Tproduits[],2,0)+ SUMIFS(F$2:F58,C$2:C58,[PRODUCTS],E$2:E58, "Entree")- SUMIFS(F$2:F58,C$2:C58,[PRODUCTS],E$2:E58,"Sortie"),""))</f>
        <v/>
      </c>
    </row>
    <row r="59" spans="1:10">
      <c r="A59" s="171">
        <v>43046</v>
      </c>
      <c r="B59" s="167"/>
      <c r="C59" s="167"/>
      <c r="D59" s="179" t="str">
        <f>IFERROR(VLOOKUP(Tsuivistock[[#This Row],[PRODUCTS]],LISTES!$A$2:$E$107,5,0),"")</f>
        <v/>
      </c>
      <c r="E59" s="167"/>
      <c r="F59" s="168">
        <f>IF(Tsuivistock[[#This Row],[SOLDE]]&lt;FACTURIER!C$20:C77,"",FACTURIER!C$20:C76)</f>
        <v>0</v>
      </c>
      <c r="G59" s="183" t="str">
        <f>IFERROR(VLOOKUP(Tsuivistock[[#This Row],[PRODUCTS]],Tproduits[#All],4,0),"")</f>
        <v/>
      </c>
      <c r="H59" s="169" t="str">
        <f>IFERROR(VLOOKUP(Tsuivistock[[#This Row],[PRODUCTS]],LISTES!A58:D164,4,0),"")</f>
        <v/>
      </c>
      <c r="I59" s="188" t="str">
        <f>IFERROR(Tsuivistock[[#This Row],[QTE]]*Tsuivistock[[#This Row],[P.V]],"")</f>
        <v/>
      </c>
      <c r="J59" s="170" t="str">
        <f>IF(IFERROR(VLOOKUP(Tsuivistock[[#This Row],[PRODUCTS]],Tproduits[],2,0)+ SUMIFS(F$2:F59,C$2:C59,[PRODUCTS],E$2:E59, "Entree")- SUMIFS(F$2:F59,C$2:C59,[PRODUCTS],E$2:E59,"Sortie"),"")&lt;=0,"STOCK EPUISE",IFERROR(VLOOKUP(Tsuivistock[[#This Row],[PRODUCTS]],Tproduits[],2,0)+ SUMIFS(F$2:F59,C$2:C59,[PRODUCTS],E$2:E59, "Entree")- SUMIFS(F$2:F59,C$2:C59,[PRODUCTS],E$2:E59,"Sortie"),""))</f>
        <v/>
      </c>
    </row>
    <row r="60" spans="1:10">
      <c r="A60" s="171">
        <v>43047</v>
      </c>
      <c r="B60" s="167"/>
      <c r="C60" s="167"/>
      <c r="D60" s="179" t="str">
        <f>IFERROR(VLOOKUP(Tsuivistock[[#This Row],[PRODUCTS]],LISTES!$A$2:$E$107,5,0),"")</f>
        <v/>
      </c>
      <c r="E60" s="167"/>
      <c r="F60" s="168">
        <f>IF(Tsuivistock[[#This Row],[SOLDE]]&lt;FACTURIER!C$20:C78,"",FACTURIER!C$20:C77)</f>
        <v>0</v>
      </c>
      <c r="G60" s="183" t="str">
        <f>IFERROR(VLOOKUP(Tsuivistock[[#This Row],[PRODUCTS]],Tproduits[#All],4,0),"")</f>
        <v/>
      </c>
      <c r="H60" s="169" t="str">
        <f>IFERROR(VLOOKUP(Tsuivistock[[#This Row],[PRODUCTS]],LISTES!A59:D165,4,0),"")</f>
        <v/>
      </c>
      <c r="I60" s="188" t="str">
        <f>IFERROR(Tsuivistock[[#This Row],[QTE]]*Tsuivistock[[#This Row],[P.V]],"")</f>
        <v/>
      </c>
      <c r="J60" s="170" t="str">
        <f>IF(IFERROR(VLOOKUP(Tsuivistock[[#This Row],[PRODUCTS]],Tproduits[],2,0)+ SUMIFS(F$2:F60,C$2:C60,[PRODUCTS],E$2:E60, "Entree")- SUMIFS(F$2:F60,C$2:C60,[PRODUCTS],E$2:E60,"Sortie"),"")&lt;=0,"STOCK EPUISE",IFERROR(VLOOKUP(Tsuivistock[[#This Row],[PRODUCTS]],Tproduits[],2,0)+ SUMIFS(F$2:F60,C$2:C60,[PRODUCTS],E$2:E60, "Entree")- SUMIFS(F$2:F60,C$2:C60,[PRODUCTS],E$2:E60,"Sortie"),""))</f>
        <v/>
      </c>
    </row>
    <row r="61" spans="1:10">
      <c r="A61" s="171">
        <v>43048</v>
      </c>
      <c r="B61" s="167"/>
      <c r="C61" s="167"/>
      <c r="D61" s="179" t="str">
        <f>IFERROR(VLOOKUP(Tsuivistock[[#This Row],[PRODUCTS]],LISTES!$A$2:$E$107,5,0),"")</f>
        <v/>
      </c>
      <c r="E61" s="167"/>
      <c r="F61" s="168">
        <f>IF(Tsuivistock[[#This Row],[SOLDE]]&lt;FACTURIER!C$20:C79,"",FACTURIER!C$20:C78)</f>
        <v>0</v>
      </c>
      <c r="G61" s="183" t="str">
        <f>IFERROR(VLOOKUP(Tsuivistock[[#This Row],[PRODUCTS]],Tproduits[#All],4,0),"")</f>
        <v/>
      </c>
      <c r="H61" s="169" t="str">
        <f>IFERROR(VLOOKUP(Tsuivistock[[#This Row],[PRODUCTS]],LISTES!A60:D166,4,0),"")</f>
        <v/>
      </c>
      <c r="I61" s="188" t="str">
        <f>IFERROR(Tsuivistock[[#This Row],[QTE]]*Tsuivistock[[#This Row],[P.V]],"")</f>
        <v/>
      </c>
      <c r="J61" s="170" t="str">
        <f>IF(IFERROR(VLOOKUP(Tsuivistock[[#This Row],[PRODUCTS]],Tproduits[],2,0)+ SUMIFS(F$2:F61,C$2:C61,[PRODUCTS],E$2:E61, "Entree")- SUMIFS(F$2:F61,C$2:C61,[PRODUCTS],E$2:E61,"Sortie"),"")&lt;=0,"STOCK EPUISE",IFERROR(VLOOKUP(Tsuivistock[[#This Row],[PRODUCTS]],Tproduits[],2,0)+ SUMIFS(F$2:F61,C$2:C61,[PRODUCTS],E$2:E61, "Entree")- SUMIFS(F$2:F61,C$2:C61,[PRODUCTS],E$2:E61,"Sortie"),""))</f>
        <v/>
      </c>
    </row>
    <row r="62" spans="1:10">
      <c r="A62" s="171">
        <v>43049</v>
      </c>
      <c r="B62" s="167"/>
      <c r="C62" s="167"/>
      <c r="D62" s="179" t="str">
        <f>IFERROR(VLOOKUP(Tsuivistock[[#This Row],[PRODUCTS]],LISTES!$A$2:$E$107,5,0),"")</f>
        <v/>
      </c>
      <c r="E62" s="167"/>
      <c r="F62" s="168">
        <f>IF(Tsuivistock[[#This Row],[SOLDE]]&lt;FACTURIER!C$20:C80,"",FACTURIER!C$20:C79)</f>
        <v>0</v>
      </c>
      <c r="G62" s="183" t="str">
        <f>IFERROR(VLOOKUP(Tsuivistock[[#This Row],[PRODUCTS]],Tproduits[#All],4,0),"")</f>
        <v/>
      </c>
      <c r="H62" s="169" t="str">
        <f>IFERROR(VLOOKUP(Tsuivistock[[#This Row],[PRODUCTS]],LISTES!A61:D167,4,0),"")</f>
        <v/>
      </c>
      <c r="I62" s="188" t="str">
        <f>IFERROR(Tsuivistock[[#This Row],[QTE]]*Tsuivistock[[#This Row],[P.V]],"")</f>
        <v/>
      </c>
      <c r="J62" s="170" t="str">
        <f>IF(IFERROR(VLOOKUP(Tsuivistock[[#This Row],[PRODUCTS]],Tproduits[],2,0)+ SUMIFS(F$2:F62,C$2:C62,[PRODUCTS],E$2:E62, "Entree")- SUMIFS(F$2:F62,C$2:C62,[PRODUCTS],E$2:E62,"Sortie"),"")&lt;=0,"STOCK EPUISE",IFERROR(VLOOKUP(Tsuivistock[[#This Row],[PRODUCTS]],Tproduits[],2,0)+ SUMIFS(F$2:F62,C$2:C62,[PRODUCTS],E$2:E62, "Entree")- SUMIFS(F$2:F62,C$2:C62,[PRODUCTS],E$2:E62,"Sortie"),""))</f>
        <v/>
      </c>
    </row>
    <row r="63" spans="1:10">
      <c r="A63" s="171">
        <v>43050</v>
      </c>
      <c r="B63" s="167"/>
      <c r="C63" s="167"/>
      <c r="D63" s="179" t="str">
        <f>IFERROR(VLOOKUP(Tsuivistock[[#This Row],[PRODUCTS]],LISTES!$A$2:$E$107,5,0),"")</f>
        <v/>
      </c>
      <c r="E63" s="167"/>
      <c r="F63" s="168">
        <f>IF(Tsuivistock[[#This Row],[SOLDE]]&lt;FACTURIER!C$20:C81,"",FACTURIER!C$20:C80)</f>
        <v>0</v>
      </c>
      <c r="G63" s="183" t="str">
        <f>IFERROR(VLOOKUP(Tsuivistock[[#This Row],[PRODUCTS]],Tproduits[#All],4,0),"")</f>
        <v/>
      </c>
      <c r="H63" s="169" t="str">
        <f>IFERROR(VLOOKUP(Tsuivistock[[#This Row],[PRODUCTS]],LISTES!A62:D168,4,0),"")</f>
        <v/>
      </c>
      <c r="I63" s="188" t="str">
        <f>IFERROR(Tsuivistock[[#This Row],[QTE]]*Tsuivistock[[#This Row],[P.V]],"")</f>
        <v/>
      </c>
      <c r="J63" s="170" t="str">
        <f>IF(IFERROR(VLOOKUP(Tsuivistock[[#This Row],[PRODUCTS]],Tproduits[],2,0)+ SUMIFS(F$2:F63,C$2:C63,[PRODUCTS],E$2:E63, "Entree")- SUMIFS(F$2:F63,C$2:C63,[PRODUCTS],E$2:E63,"Sortie"),"")&lt;=0,"STOCK EPUISE",IFERROR(VLOOKUP(Tsuivistock[[#This Row],[PRODUCTS]],Tproduits[],2,0)+ SUMIFS(F$2:F63,C$2:C63,[PRODUCTS],E$2:E63, "Entree")- SUMIFS(F$2:F63,C$2:C63,[PRODUCTS],E$2:E63,"Sortie"),""))</f>
        <v/>
      </c>
    </row>
    <row r="64" spans="1:10">
      <c r="A64" s="171">
        <v>43051</v>
      </c>
      <c r="B64" s="167"/>
      <c r="C64" s="167"/>
      <c r="D64" s="179" t="str">
        <f>IFERROR(VLOOKUP(Tsuivistock[[#This Row],[PRODUCTS]],LISTES!$A$2:$E$107,5,0),"")</f>
        <v/>
      </c>
      <c r="E64" s="167"/>
      <c r="F64" s="168">
        <f>IF(Tsuivistock[[#This Row],[SOLDE]]&lt;FACTURIER!C$20:C82,"",FACTURIER!C$20:C81)</f>
        <v>0</v>
      </c>
      <c r="G64" s="183" t="str">
        <f>IFERROR(VLOOKUP(Tsuivistock[[#This Row],[PRODUCTS]],Tproduits[#All],4,0),"")</f>
        <v/>
      </c>
      <c r="H64" s="169" t="str">
        <f>IFERROR(VLOOKUP(Tsuivistock[[#This Row],[PRODUCTS]],LISTES!A63:D169,4,0),"")</f>
        <v/>
      </c>
      <c r="I64" s="188" t="str">
        <f>IFERROR(Tsuivistock[[#This Row],[QTE]]*Tsuivistock[[#This Row],[P.V]],"")</f>
        <v/>
      </c>
      <c r="J64" s="170" t="str">
        <f>IF(IFERROR(VLOOKUP(Tsuivistock[[#This Row],[PRODUCTS]],Tproduits[],2,0)+ SUMIFS(F$2:F64,C$2:C64,[PRODUCTS],E$2:E64, "Entree")- SUMIFS(F$2:F64,C$2:C64,[PRODUCTS],E$2:E64,"Sortie"),"")&lt;=0,"STOCK EPUISE",IFERROR(VLOOKUP(Tsuivistock[[#This Row],[PRODUCTS]],Tproduits[],2,0)+ SUMIFS(F$2:F64,C$2:C64,[PRODUCTS],E$2:E64, "Entree")- SUMIFS(F$2:F64,C$2:C64,[PRODUCTS],E$2:E64,"Sortie"),""))</f>
        <v/>
      </c>
    </row>
    <row r="65" spans="1:10">
      <c r="A65" s="171">
        <v>43052</v>
      </c>
      <c r="B65" s="167"/>
      <c r="C65" s="167"/>
      <c r="D65" s="179" t="str">
        <f>IFERROR(VLOOKUP(Tsuivistock[[#This Row],[PRODUCTS]],LISTES!$A$2:$E$107,5,0),"")</f>
        <v/>
      </c>
      <c r="E65" s="167"/>
      <c r="F65" s="168">
        <f>IF(Tsuivistock[[#This Row],[SOLDE]]&lt;FACTURIER!C$20:C83,"",FACTURIER!C$20:C82)</f>
        <v>0</v>
      </c>
      <c r="G65" s="183" t="str">
        <f>IFERROR(VLOOKUP(Tsuivistock[[#This Row],[PRODUCTS]],Tproduits[#All],4,0),"")</f>
        <v/>
      </c>
      <c r="H65" s="169" t="str">
        <f>IFERROR(VLOOKUP(Tsuivistock[[#This Row],[PRODUCTS]],LISTES!A64:D170,4,0),"")</f>
        <v/>
      </c>
      <c r="I65" s="188" t="str">
        <f>IFERROR(Tsuivistock[[#This Row],[QTE]]*Tsuivistock[[#This Row],[P.V]],"")</f>
        <v/>
      </c>
      <c r="J65" s="170" t="str">
        <f>IF(IFERROR(VLOOKUP(Tsuivistock[[#This Row],[PRODUCTS]],Tproduits[],2,0)+ SUMIFS(F$2:F65,C$2:C65,[PRODUCTS],E$2:E65, "Entree")- SUMIFS(F$2:F65,C$2:C65,[PRODUCTS],E$2:E65,"Sortie"),"")&lt;=0,"STOCK EPUISE",IFERROR(VLOOKUP(Tsuivistock[[#This Row],[PRODUCTS]],Tproduits[],2,0)+ SUMIFS(F$2:F65,C$2:C65,[PRODUCTS],E$2:E65, "Entree")- SUMIFS(F$2:F65,C$2:C65,[PRODUCTS],E$2:E65,"Sortie"),""))</f>
        <v/>
      </c>
    </row>
    <row r="66" spans="1:10">
      <c r="A66" s="171">
        <v>43053</v>
      </c>
      <c r="B66" s="167"/>
      <c r="C66" s="167"/>
      <c r="D66" s="179" t="str">
        <f>IFERROR(VLOOKUP(Tsuivistock[[#This Row],[PRODUCTS]],LISTES!$A$2:$E$107,5,0),"")</f>
        <v/>
      </c>
      <c r="E66" s="167"/>
      <c r="F66" s="168">
        <f>IF(Tsuivistock[[#This Row],[SOLDE]]&lt;FACTURIER!C$20:C84,"",FACTURIER!C$20:C83)</f>
        <v>0</v>
      </c>
      <c r="G66" s="183" t="str">
        <f>IFERROR(VLOOKUP(Tsuivistock[[#This Row],[PRODUCTS]],Tproduits[#All],4,0),"")</f>
        <v/>
      </c>
      <c r="H66" s="169" t="str">
        <f>IFERROR(VLOOKUP(Tsuivistock[[#This Row],[PRODUCTS]],LISTES!A65:D171,4,0),"")</f>
        <v/>
      </c>
      <c r="I66" s="188" t="str">
        <f>IFERROR(Tsuivistock[[#This Row],[QTE]]*Tsuivistock[[#This Row],[P.V]],"")</f>
        <v/>
      </c>
      <c r="J66" s="170" t="str">
        <f>IF(IFERROR(VLOOKUP(Tsuivistock[[#This Row],[PRODUCTS]],Tproduits[],2,0)+ SUMIFS(F$2:F66,C$2:C66,[PRODUCTS],E$2:E66, "Entree")- SUMIFS(F$2:F66,C$2:C66,[PRODUCTS],E$2:E66,"Sortie"),"")&lt;=0,"STOCK EPUISE",IFERROR(VLOOKUP(Tsuivistock[[#This Row],[PRODUCTS]],Tproduits[],2,0)+ SUMIFS(F$2:F66,C$2:C66,[PRODUCTS],E$2:E66, "Entree")- SUMIFS(F$2:F66,C$2:C66,[PRODUCTS],E$2:E66,"Sortie"),""))</f>
        <v/>
      </c>
    </row>
    <row r="67" spans="1:10">
      <c r="A67" s="171">
        <v>43054</v>
      </c>
      <c r="B67" s="167"/>
      <c r="C67" s="167"/>
      <c r="D67" s="179" t="str">
        <f>IFERROR(VLOOKUP(Tsuivistock[[#This Row],[PRODUCTS]],LISTES!$A$2:$E$107,5,0),"")</f>
        <v/>
      </c>
      <c r="E67" s="167"/>
      <c r="F67" s="168">
        <f>IF(Tsuivistock[[#This Row],[SOLDE]]&lt;FACTURIER!C$20:C85,"",FACTURIER!C$20:C84)</f>
        <v>0</v>
      </c>
      <c r="G67" s="183" t="str">
        <f>IFERROR(VLOOKUP(Tsuivistock[[#This Row],[PRODUCTS]],Tproduits[#All],4,0),"")</f>
        <v/>
      </c>
      <c r="H67" s="169" t="str">
        <f>IFERROR(VLOOKUP(Tsuivistock[[#This Row],[PRODUCTS]],LISTES!A66:D172,4,0),"")</f>
        <v/>
      </c>
      <c r="I67" s="188" t="str">
        <f>IFERROR(Tsuivistock[[#This Row],[QTE]]*Tsuivistock[[#This Row],[P.V]],"")</f>
        <v/>
      </c>
      <c r="J67" s="170" t="str">
        <f>IF(IFERROR(VLOOKUP(Tsuivistock[[#This Row],[PRODUCTS]],Tproduits[],2,0)+ SUMIFS(F$2:F67,C$2:C67,[PRODUCTS],E$2:E67, "Entree")- SUMIFS(F$2:F67,C$2:C67,[PRODUCTS],E$2:E67,"Sortie"),"")&lt;=0,"STOCK EPUISE",IFERROR(VLOOKUP(Tsuivistock[[#This Row],[PRODUCTS]],Tproduits[],2,0)+ SUMIFS(F$2:F67,C$2:C67,[PRODUCTS],E$2:E67, "Entree")- SUMIFS(F$2:F67,C$2:C67,[PRODUCTS],E$2:E67,"Sortie"),""))</f>
        <v/>
      </c>
    </row>
    <row r="68" spans="1:10">
      <c r="A68" s="171">
        <v>43055</v>
      </c>
      <c r="B68" s="167"/>
      <c r="C68" s="167"/>
      <c r="D68" s="179" t="str">
        <f>IFERROR(VLOOKUP(Tsuivistock[[#This Row],[PRODUCTS]],LISTES!$A$2:$E$107,5,0),"")</f>
        <v/>
      </c>
      <c r="E68" s="167"/>
      <c r="F68" s="168">
        <f>IF(Tsuivistock[[#This Row],[SOLDE]]&lt;FACTURIER!C$20:C86,"",FACTURIER!C$20:C85)</f>
        <v>0</v>
      </c>
      <c r="G68" s="183" t="str">
        <f>IFERROR(VLOOKUP(Tsuivistock[[#This Row],[PRODUCTS]],Tproduits[#All],4,0),"")</f>
        <v/>
      </c>
      <c r="H68" s="169" t="str">
        <f>IFERROR(VLOOKUP(Tsuivistock[[#This Row],[PRODUCTS]],LISTES!A67:D173,4,0),"")</f>
        <v/>
      </c>
      <c r="I68" s="188" t="str">
        <f>IFERROR(Tsuivistock[[#This Row],[QTE]]*Tsuivistock[[#This Row],[P.V]],"")</f>
        <v/>
      </c>
      <c r="J68" s="170" t="str">
        <f>IF(IFERROR(VLOOKUP(Tsuivistock[[#This Row],[PRODUCTS]],Tproduits[],2,0)+ SUMIFS(F$2:F68,C$2:C68,[PRODUCTS],E$2:E68, "Entree")- SUMIFS(F$2:F68,C$2:C68,[PRODUCTS],E$2:E68,"Sortie"),"")&lt;=0,"STOCK EPUISE",IFERROR(VLOOKUP(Tsuivistock[[#This Row],[PRODUCTS]],Tproduits[],2,0)+ SUMIFS(F$2:F68,C$2:C68,[PRODUCTS],E$2:E68, "Entree")- SUMIFS(F$2:F68,C$2:C68,[PRODUCTS],E$2:E68,"Sortie"),""))</f>
        <v/>
      </c>
    </row>
    <row r="69" spans="1:10">
      <c r="A69" s="171">
        <v>43056</v>
      </c>
      <c r="B69" s="167"/>
      <c r="C69" s="167"/>
      <c r="D69" s="179" t="str">
        <f>IFERROR(VLOOKUP(Tsuivistock[[#This Row],[PRODUCTS]],LISTES!$A$2:$E$107,5,0),"")</f>
        <v/>
      </c>
      <c r="E69" s="167"/>
      <c r="F69" s="168">
        <f>IF(Tsuivistock[[#This Row],[SOLDE]]&lt;FACTURIER!C$20:C87,"",FACTURIER!C$20:C86)</f>
        <v>0</v>
      </c>
      <c r="G69" s="183" t="str">
        <f>IFERROR(VLOOKUP(Tsuivistock[[#This Row],[PRODUCTS]],Tproduits[#All],4,0),"")</f>
        <v/>
      </c>
      <c r="H69" s="169" t="str">
        <f>IFERROR(VLOOKUP(Tsuivistock[[#This Row],[PRODUCTS]],LISTES!A68:D174,4,0),"")</f>
        <v/>
      </c>
      <c r="I69" s="188" t="str">
        <f>IFERROR(Tsuivistock[[#This Row],[QTE]]*Tsuivistock[[#This Row],[P.V]],"")</f>
        <v/>
      </c>
      <c r="J69" s="170" t="str">
        <f>IF(IFERROR(VLOOKUP(Tsuivistock[[#This Row],[PRODUCTS]],Tproduits[],2,0)+ SUMIFS(F$2:F69,C$2:C69,[PRODUCTS],E$2:E69, "Entree")- SUMIFS(F$2:F69,C$2:C69,[PRODUCTS],E$2:E69,"Sortie"),"")&lt;=0,"STOCK EPUISE",IFERROR(VLOOKUP(Tsuivistock[[#This Row],[PRODUCTS]],Tproduits[],2,0)+ SUMIFS(F$2:F69,C$2:C69,[PRODUCTS],E$2:E69, "Entree")- SUMIFS(F$2:F69,C$2:C69,[PRODUCTS],E$2:E69,"Sortie"),""))</f>
        <v/>
      </c>
    </row>
    <row r="70" spans="1:10">
      <c r="A70" s="171">
        <v>43057</v>
      </c>
      <c r="B70" s="167"/>
      <c r="C70" s="167"/>
      <c r="D70" s="179" t="str">
        <f>IFERROR(VLOOKUP(Tsuivistock[[#This Row],[PRODUCTS]],LISTES!$A$2:$E$107,5,0),"")</f>
        <v/>
      </c>
      <c r="E70" s="167"/>
      <c r="F70" s="168">
        <f>IF(Tsuivistock[[#This Row],[SOLDE]]&lt;FACTURIER!C$20:C88,"",FACTURIER!C$20:C87)</f>
        <v>0</v>
      </c>
      <c r="G70" s="183" t="str">
        <f>IFERROR(VLOOKUP(Tsuivistock[[#This Row],[PRODUCTS]],Tproduits[#All],4,0),"")</f>
        <v/>
      </c>
      <c r="H70" s="169" t="str">
        <f>IFERROR(VLOOKUP(Tsuivistock[[#This Row],[PRODUCTS]],LISTES!A69:D175,4,0),"")</f>
        <v/>
      </c>
      <c r="I70" s="188" t="str">
        <f>IFERROR(Tsuivistock[[#This Row],[QTE]]*Tsuivistock[[#This Row],[P.V]],"")</f>
        <v/>
      </c>
      <c r="J70" s="170" t="str">
        <f>IF(IFERROR(VLOOKUP(Tsuivistock[[#This Row],[PRODUCTS]],Tproduits[],2,0)+ SUMIFS(F$2:F70,C$2:C70,[PRODUCTS],E$2:E70, "Entree")- SUMIFS(F$2:F70,C$2:C70,[PRODUCTS],E$2:E70,"Sortie"),"")&lt;=0,"STOCK EPUISE",IFERROR(VLOOKUP(Tsuivistock[[#This Row],[PRODUCTS]],Tproduits[],2,0)+ SUMIFS(F$2:F70,C$2:C70,[PRODUCTS],E$2:E70, "Entree")- SUMIFS(F$2:F70,C$2:C70,[PRODUCTS],E$2:E70,"Sortie"),""))</f>
        <v/>
      </c>
    </row>
    <row r="71" spans="1:10">
      <c r="A71" s="171">
        <v>43058</v>
      </c>
      <c r="B71" s="167"/>
      <c r="C71" s="167"/>
      <c r="D71" s="179" t="str">
        <f>IFERROR(VLOOKUP(Tsuivistock[[#This Row],[PRODUCTS]],LISTES!$A$2:$E$107,5,0),"")</f>
        <v/>
      </c>
      <c r="E71" s="167"/>
      <c r="F71" s="168">
        <f>IF(Tsuivistock[[#This Row],[SOLDE]]&lt;FACTURIER!C$20:C89,"",FACTURIER!C$20:C88)</f>
        <v>0</v>
      </c>
      <c r="G71" s="183" t="str">
        <f>IFERROR(VLOOKUP(Tsuivistock[[#This Row],[PRODUCTS]],Tproduits[#All],4,0),"")</f>
        <v/>
      </c>
      <c r="H71" s="169" t="str">
        <f>IFERROR(VLOOKUP(Tsuivistock[[#This Row],[PRODUCTS]],LISTES!A70:D176,4,0),"")</f>
        <v/>
      </c>
      <c r="I71" s="188" t="str">
        <f>IFERROR(Tsuivistock[[#This Row],[QTE]]*Tsuivistock[[#This Row],[P.V]],"")</f>
        <v/>
      </c>
      <c r="J71" s="170" t="str">
        <f>IF(IFERROR(VLOOKUP(Tsuivistock[[#This Row],[PRODUCTS]],Tproduits[],2,0)+ SUMIFS(F$2:F71,C$2:C71,[PRODUCTS],E$2:E71, "Entree")- SUMIFS(F$2:F71,C$2:C71,[PRODUCTS],E$2:E71,"Sortie"),"")&lt;=0,"STOCK EPUISE",IFERROR(VLOOKUP(Tsuivistock[[#This Row],[PRODUCTS]],Tproduits[],2,0)+ SUMIFS(F$2:F71,C$2:C71,[PRODUCTS],E$2:E71, "Entree")- SUMIFS(F$2:F71,C$2:C71,[PRODUCTS],E$2:E71,"Sortie"),""))</f>
        <v/>
      </c>
    </row>
    <row r="72" spans="1:10">
      <c r="A72" s="171">
        <v>43059</v>
      </c>
      <c r="B72" s="167"/>
      <c r="C72" s="167"/>
      <c r="D72" s="179" t="str">
        <f>IFERROR(VLOOKUP(Tsuivistock[[#This Row],[PRODUCTS]],LISTES!$A$2:$E$107,5,0),"")</f>
        <v/>
      </c>
      <c r="E72" s="167"/>
      <c r="F72" s="168">
        <f>IF(Tsuivistock[[#This Row],[SOLDE]]&lt;FACTURIER!C$20:C90,"",FACTURIER!C$20:C89)</f>
        <v>0</v>
      </c>
      <c r="G72" s="183" t="str">
        <f>IFERROR(VLOOKUP(Tsuivistock[[#This Row],[PRODUCTS]],Tproduits[#All],4,0),"")</f>
        <v/>
      </c>
      <c r="H72" s="169" t="str">
        <f>IFERROR(VLOOKUP(Tsuivistock[[#This Row],[PRODUCTS]],LISTES!A71:D177,4,0),"")</f>
        <v/>
      </c>
      <c r="I72" s="188" t="str">
        <f>IFERROR(Tsuivistock[[#This Row],[QTE]]*Tsuivistock[[#This Row],[P.V]],"")</f>
        <v/>
      </c>
      <c r="J72" s="170" t="str">
        <f>IF(IFERROR(VLOOKUP(Tsuivistock[[#This Row],[PRODUCTS]],Tproduits[],2,0)+ SUMIFS(F$2:F72,C$2:C72,[PRODUCTS],E$2:E72, "Entree")- SUMIFS(F$2:F72,C$2:C72,[PRODUCTS],E$2:E72,"Sortie"),"")&lt;=0,"STOCK EPUISE",IFERROR(VLOOKUP(Tsuivistock[[#This Row],[PRODUCTS]],Tproduits[],2,0)+ SUMIFS(F$2:F72,C$2:C72,[PRODUCTS],E$2:E72, "Entree")- SUMIFS(F$2:F72,C$2:C72,[PRODUCTS],E$2:E72,"Sortie"),""))</f>
        <v/>
      </c>
    </row>
    <row r="73" spans="1:10">
      <c r="A73" s="171">
        <v>43060</v>
      </c>
      <c r="B73" s="167"/>
      <c r="C73" s="167"/>
      <c r="D73" s="179" t="str">
        <f>IFERROR(VLOOKUP(Tsuivistock[[#This Row],[PRODUCTS]],LISTES!$A$2:$E$107,5,0),"")</f>
        <v/>
      </c>
      <c r="E73" s="167"/>
      <c r="F73" s="168">
        <f>IF(Tsuivistock[[#This Row],[SOLDE]]&lt;FACTURIER!C$20:C91,"",FACTURIER!C$20:C90)</f>
        <v>0</v>
      </c>
      <c r="G73" s="183" t="str">
        <f>IFERROR(VLOOKUP(Tsuivistock[[#This Row],[PRODUCTS]],Tproduits[#All],4,0),"")</f>
        <v/>
      </c>
      <c r="H73" s="169" t="str">
        <f>IFERROR(VLOOKUP(Tsuivistock[[#This Row],[PRODUCTS]],LISTES!A72:D178,4,0),"")</f>
        <v/>
      </c>
      <c r="I73" s="188" t="str">
        <f>IFERROR(Tsuivistock[[#This Row],[QTE]]*Tsuivistock[[#This Row],[P.V]],"")</f>
        <v/>
      </c>
      <c r="J73" s="170" t="str">
        <f>IF(IFERROR(VLOOKUP(Tsuivistock[[#This Row],[PRODUCTS]],Tproduits[],2,0)+ SUMIFS(F$2:F73,C$2:C73,[PRODUCTS],E$2:E73, "Entree")- SUMIFS(F$2:F73,C$2:C73,[PRODUCTS],E$2:E73,"Sortie"),"")&lt;=0,"STOCK EPUISE",IFERROR(VLOOKUP(Tsuivistock[[#This Row],[PRODUCTS]],Tproduits[],2,0)+ SUMIFS(F$2:F73,C$2:C73,[PRODUCTS],E$2:E73, "Entree")- SUMIFS(F$2:F73,C$2:C73,[PRODUCTS],E$2:E73,"Sortie"),""))</f>
        <v/>
      </c>
    </row>
    <row r="74" spans="1:10">
      <c r="A74" s="171">
        <v>43061</v>
      </c>
      <c r="B74" s="167"/>
      <c r="C74" s="167"/>
      <c r="D74" s="179" t="str">
        <f>IFERROR(VLOOKUP(Tsuivistock[[#This Row],[PRODUCTS]],LISTES!$A$2:$E$107,5,0),"")</f>
        <v/>
      </c>
      <c r="E74" s="167"/>
      <c r="F74" s="168">
        <f>IF(Tsuivistock[[#This Row],[SOLDE]]&lt;FACTURIER!C$20:C92,"",FACTURIER!C$20:C91)</f>
        <v>0</v>
      </c>
      <c r="G74" s="183" t="str">
        <f>IFERROR(VLOOKUP(Tsuivistock[[#This Row],[PRODUCTS]],Tproduits[#All],4,0),"")</f>
        <v/>
      </c>
      <c r="H74" s="169" t="str">
        <f>IFERROR(VLOOKUP(Tsuivistock[[#This Row],[PRODUCTS]],LISTES!A73:D179,4,0),"")</f>
        <v/>
      </c>
      <c r="I74" s="188" t="str">
        <f>IFERROR(Tsuivistock[[#This Row],[QTE]]*Tsuivistock[[#This Row],[P.V]],"")</f>
        <v/>
      </c>
      <c r="J74" s="170" t="str">
        <f>IF(IFERROR(VLOOKUP(Tsuivistock[[#This Row],[PRODUCTS]],Tproduits[],2,0)+ SUMIFS(F$2:F74,C$2:C74,[PRODUCTS],E$2:E74, "Entree")- SUMIFS(F$2:F74,C$2:C74,[PRODUCTS],E$2:E74,"Sortie"),"")&lt;=0,"STOCK EPUISE",IFERROR(VLOOKUP(Tsuivistock[[#This Row],[PRODUCTS]],Tproduits[],2,0)+ SUMIFS(F$2:F74,C$2:C74,[PRODUCTS],E$2:E74, "Entree")- SUMIFS(F$2:F74,C$2:C74,[PRODUCTS],E$2:E74,"Sortie"),""))</f>
        <v/>
      </c>
    </row>
    <row r="75" spans="1:10">
      <c r="A75" s="171">
        <v>43062</v>
      </c>
      <c r="B75" s="167"/>
      <c r="C75" s="167"/>
      <c r="D75" s="179" t="str">
        <f>IFERROR(VLOOKUP(Tsuivistock[[#This Row],[PRODUCTS]],LISTES!$A$2:$E$107,5,0),"")</f>
        <v/>
      </c>
      <c r="E75" s="167"/>
      <c r="F75" s="168">
        <f>IF(Tsuivistock[[#This Row],[SOLDE]]&lt;FACTURIER!C$20:C93,"",FACTURIER!C$20:C92)</f>
        <v>0</v>
      </c>
      <c r="G75" s="183" t="str">
        <f>IFERROR(VLOOKUP(Tsuivistock[[#This Row],[PRODUCTS]],Tproduits[#All],4,0),"")</f>
        <v/>
      </c>
      <c r="H75" s="169" t="str">
        <f>IFERROR(VLOOKUP(Tsuivistock[[#This Row],[PRODUCTS]],LISTES!A74:D180,4,0),"")</f>
        <v/>
      </c>
      <c r="I75" s="188" t="str">
        <f>IFERROR(Tsuivistock[[#This Row],[QTE]]*Tsuivistock[[#This Row],[P.V]],"")</f>
        <v/>
      </c>
      <c r="J75" s="170" t="str">
        <f>IF(IFERROR(VLOOKUP(Tsuivistock[[#This Row],[PRODUCTS]],Tproduits[],2,0)+ SUMIFS(F$2:F75,C$2:C75,[PRODUCTS],E$2:E75, "Entree")- SUMIFS(F$2:F75,C$2:C75,[PRODUCTS],E$2:E75,"Sortie"),"")&lt;=0,"STOCK EPUISE",IFERROR(VLOOKUP(Tsuivistock[[#This Row],[PRODUCTS]],Tproduits[],2,0)+ SUMIFS(F$2:F75,C$2:C75,[PRODUCTS],E$2:E75, "Entree")- SUMIFS(F$2:F75,C$2:C75,[PRODUCTS],E$2:E75,"Sortie"),""))</f>
        <v/>
      </c>
    </row>
    <row r="76" spans="1:10">
      <c r="A76" s="171">
        <v>43063</v>
      </c>
      <c r="B76" s="167"/>
      <c r="C76" s="167"/>
      <c r="D76" s="179" t="str">
        <f>IFERROR(VLOOKUP(Tsuivistock[[#This Row],[PRODUCTS]],LISTES!$A$2:$E$107,5,0),"")</f>
        <v/>
      </c>
      <c r="E76" s="167"/>
      <c r="F76" s="168">
        <f>IF(Tsuivistock[[#This Row],[SOLDE]]&lt;FACTURIER!C$20:C94,"",FACTURIER!C$20:C93)</f>
        <v>0</v>
      </c>
      <c r="G76" s="183" t="str">
        <f>IFERROR(VLOOKUP(Tsuivistock[[#This Row],[PRODUCTS]],Tproduits[#All],4,0),"")</f>
        <v/>
      </c>
      <c r="H76" s="169" t="str">
        <f>IFERROR(VLOOKUP(Tsuivistock[[#This Row],[PRODUCTS]],LISTES!A75:D181,4,0),"")</f>
        <v/>
      </c>
      <c r="I76" s="188" t="str">
        <f>IFERROR(Tsuivistock[[#This Row],[QTE]]*Tsuivistock[[#This Row],[P.V]],"")</f>
        <v/>
      </c>
      <c r="J76" s="170" t="str">
        <f>IF(IFERROR(VLOOKUP(Tsuivistock[[#This Row],[PRODUCTS]],Tproduits[],2,0)+ SUMIFS(F$2:F76,C$2:C76,[PRODUCTS],E$2:E76, "Entree")- SUMIFS(F$2:F76,C$2:C76,[PRODUCTS],E$2:E76,"Sortie"),"")&lt;=0,"STOCK EPUISE",IFERROR(VLOOKUP(Tsuivistock[[#This Row],[PRODUCTS]],Tproduits[],2,0)+ SUMIFS(F$2:F76,C$2:C76,[PRODUCTS],E$2:E76, "Entree")- SUMIFS(F$2:F76,C$2:C76,[PRODUCTS],E$2:E76,"Sortie"),""))</f>
        <v/>
      </c>
    </row>
    <row r="77" spans="1:10">
      <c r="A77" s="171">
        <v>43064</v>
      </c>
      <c r="B77" s="167"/>
      <c r="C77" s="167"/>
      <c r="D77" s="179" t="str">
        <f>IFERROR(VLOOKUP(Tsuivistock[[#This Row],[PRODUCTS]],LISTES!$A$2:$E$107,5,0),"")</f>
        <v/>
      </c>
      <c r="E77" s="167"/>
      <c r="F77" s="168">
        <f>IF(Tsuivistock[[#This Row],[SOLDE]]&lt;FACTURIER!C$20:C95,"",FACTURIER!C$20:C94)</f>
        <v>0</v>
      </c>
      <c r="G77" s="183" t="str">
        <f>IFERROR(VLOOKUP(Tsuivistock[[#This Row],[PRODUCTS]],Tproduits[#All],4,0),"")</f>
        <v/>
      </c>
      <c r="H77" s="169" t="str">
        <f>IFERROR(VLOOKUP(Tsuivistock[[#This Row],[PRODUCTS]],LISTES!A76:D182,4,0),"")</f>
        <v/>
      </c>
      <c r="I77" s="188" t="str">
        <f>IFERROR(Tsuivistock[[#This Row],[QTE]]*Tsuivistock[[#This Row],[P.V]],"")</f>
        <v/>
      </c>
      <c r="J77" s="170" t="str">
        <f>IF(IFERROR(VLOOKUP(Tsuivistock[[#This Row],[PRODUCTS]],Tproduits[],2,0)+ SUMIFS(F$2:F77,C$2:C77,[PRODUCTS],E$2:E77, "Entree")- SUMIFS(F$2:F77,C$2:C77,[PRODUCTS],E$2:E77,"Sortie"),"")&lt;=0,"STOCK EPUISE",IFERROR(VLOOKUP(Tsuivistock[[#This Row],[PRODUCTS]],Tproduits[],2,0)+ SUMIFS(F$2:F77,C$2:C77,[PRODUCTS],E$2:E77, "Entree")- SUMIFS(F$2:F77,C$2:C77,[PRODUCTS],E$2:E77,"Sortie"),""))</f>
        <v/>
      </c>
    </row>
    <row r="78" spans="1:10">
      <c r="A78" s="171">
        <v>43065</v>
      </c>
      <c r="B78" s="167"/>
      <c r="C78" s="167"/>
      <c r="D78" s="179" t="str">
        <f>IFERROR(VLOOKUP(Tsuivistock[[#This Row],[PRODUCTS]],LISTES!$A$2:$E$107,5,0),"")</f>
        <v/>
      </c>
      <c r="E78" s="167"/>
      <c r="F78" s="168">
        <f>IF(Tsuivistock[[#This Row],[SOLDE]]&lt;FACTURIER!C$20:C96,"",FACTURIER!C$20:C95)</f>
        <v>0</v>
      </c>
      <c r="G78" s="183" t="str">
        <f>IFERROR(VLOOKUP(Tsuivistock[[#This Row],[PRODUCTS]],Tproduits[#All],4,0),"")</f>
        <v/>
      </c>
      <c r="H78" s="169" t="str">
        <f>IFERROR(VLOOKUP(Tsuivistock[[#This Row],[PRODUCTS]],LISTES!A77:D183,4,0),"")</f>
        <v/>
      </c>
      <c r="I78" s="188" t="str">
        <f>IFERROR(Tsuivistock[[#This Row],[QTE]]*Tsuivistock[[#This Row],[P.V]],"")</f>
        <v/>
      </c>
      <c r="J78" s="170" t="str">
        <f>IF(IFERROR(VLOOKUP(Tsuivistock[[#This Row],[PRODUCTS]],Tproduits[],2,0)+ SUMIFS(F$2:F78,C$2:C78,[PRODUCTS],E$2:E78, "Entree")- SUMIFS(F$2:F78,C$2:C78,[PRODUCTS],E$2:E78,"Sortie"),"")&lt;=0,"STOCK EPUISE",IFERROR(VLOOKUP(Tsuivistock[[#This Row],[PRODUCTS]],Tproduits[],2,0)+ SUMIFS(F$2:F78,C$2:C78,[PRODUCTS],E$2:E78, "Entree")- SUMIFS(F$2:F78,C$2:C78,[PRODUCTS],E$2:E78,"Sortie"),""))</f>
        <v/>
      </c>
    </row>
    <row r="79" spans="1:10">
      <c r="A79" s="171">
        <v>43066</v>
      </c>
      <c r="B79" s="167"/>
      <c r="C79" s="167"/>
      <c r="D79" s="179" t="str">
        <f>IFERROR(VLOOKUP(Tsuivistock[[#This Row],[PRODUCTS]],LISTES!$A$2:$E$107,5,0),"")</f>
        <v/>
      </c>
      <c r="E79" s="167"/>
      <c r="F79" s="168">
        <f>IF(Tsuivistock[[#This Row],[SOLDE]]&lt;FACTURIER!C$20:C97,"",FACTURIER!C$20:C96)</f>
        <v>0</v>
      </c>
      <c r="G79" s="183" t="str">
        <f>IFERROR(VLOOKUP(Tsuivistock[[#This Row],[PRODUCTS]],Tproduits[#All],4,0),"")</f>
        <v/>
      </c>
      <c r="H79" s="169" t="str">
        <f>IFERROR(VLOOKUP(Tsuivistock[[#This Row],[PRODUCTS]],LISTES!A78:D184,4,0),"")</f>
        <v/>
      </c>
      <c r="I79" s="188" t="str">
        <f>IFERROR(Tsuivistock[[#This Row],[QTE]]*Tsuivistock[[#This Row],[P.V]],"")</f>
        <v/>
      </c>
      <c r="J79" s="170" t="str">
        <f>IF(IFERROR(VLOOKUP(Tsuivistock[[#This Row],[PRODUCTS]],Tproduits[],2,0)+ SUMIFS(F$2:F79,C$2:C79,[PRODUCTS],E$2:E79, "Entree")- SUMIFS(F$2:F79,C$2:C79,[PRODUCTS],E$2:E79,"Sortie"),"")&lt;=0,"STOCK EPUISE",IFERROR(VLOOKUP(Tsuivistock[[#This Row],[PRODUCTS]],Tproduits[],2,0)+ SUMIFS(F$2:F79,C$2:C79,[PRODUCTS],E$2:E79, "Entree")- SUMIFS(F$2:F79,C$2:C79,[PRODUCTS],E$2:E79,"Sortie"),""))</f>
        <v/>
      </c>
    </row>
    <row r="80" spans="1:10">
      <c r="A80" s="171">
        <v>43067</v>
      </c>
      <c r="B80" s="167"/>
      <c r="C80" s="167"/>
      <c r="D80" s="179" t="str">
        <f>IFERROR(VLOOKUP(Tsuivistock[[#This Row],[PRODUCTS]],LISTES!$A$2:$E$107,5,0),"")</f>
        <v/>
      </c>
      <c r="E80" s="167"/>
      <c r="F80" s="168">
        <f>IF(Tsuivistock[[#This Row],[SOLDE]]&lt;FACTURIER!C$20:C98,"",FACTURIER!C$20:C97)</f>
        <v>0</v>
      </c>
      <c r="G80" s="183" t="str">
        <f>IFERROR(VLOOKUP(Tsuivistock[[#This Row],[PRODUCTS]],Tproduits[#All],4,0),"")</f>
        <v/>
      </c>
      <c r="H80" s="169" t="str">
        <f>IFERROR(VLOOKUP(Tsuivistock[[#This Row],[PRODUCTS]],LISTES!A79:D185,4,0),"")</f>
        <v/>
      </c>
      <c r="I80" s="188" t="str">
        <f>IFERROR(Tsuivistock[[#This Row],[QTE]]*Tsuivistock[[#This Row],[P.V]],"")</f>
        <v/>
      </c>
      <c r="J80" s="170" t="str">
        <f>IF(IFERROR(VLOOKUP(Tsuivistock[[#This Row],[PRODUCTS]],Tproduits[],2,0)+ SUMIFS(F$2:F80,C$2:C80,[PRODUCTS],E$2:E80, "Entree")- SUMIFS(F$2:F80,C$2:C80,[PRODUCTS],E$2:E80,"Sortie"),"")&lt;=0,"STOCK EPUISE",IFERROR(VLOOKUP(Tsuivistock[[#This Row],[PRODUCTS]],Tproduits[],2,0)+ SUMIFS(F$2:F80,C$2:C80,[PRODUCTS],E$2:E80, "Entree")- SUMIFS(F$2:F80,C$2:C80,[PRODUCTS],E$2:E80,"Sortie"),""))</f>
        <v/>
      </c>
    </row>
    <row r="81" spans="1:10">
      <c r="A81" s="171">
        <v>43068</v>
      </c>
      <c r="B81" s="167"/>
      <c r="C81" s="167"/>
      <c r="D81" s="179" t="str">
        <f>IFERROR(VLOOKUP(Tsuivistock[[#This Row],[PRODUCTS]],LISTES!$A$2:$E$107,5,0),"")</f>
        <v/>
      </c>
      <c r="E81" s="167"/>
      <c r="F81" s="168">
        <f>IF(Tsuivistock[[#This Row],[SOLDE]]&lt;FACTURIER!C$20:C99,"",FACTURIER!C$20:C98)</f>
        <v>0</v>
      </c>
      <c r="G81" s="183" t="str">
        <f>IFERROR(VLOOKUP(Tsuivistock[[#This Row],[PRODUCTS]],Tproduits[#All],4,0),"")</f>
        <v/>
      </c>
      <c r="H81" s="169" t="str">
        <f>IFERROR(VLOOKUP(Tsuivistock[[#This Row],[PRODUCTS]],LISTES!A80:D186,4,0),"")</f>
        <v/>
      </c>
      <c r="I81" s="188" t="str">
        <f>IFERROR(Tsuivistock[[#This Row],[QTE]]*Tsuivistock[[#This Row],[P.V]],"")</f>
        <v/>
      </c>
      <c r="J81" s="170" t="str">
        <f>IF(IFERROR(VLOOKUP(Tsuivistock[[#This Row],[PRODUCTS]],Tproduits[],2,0)+ SUMIFS(F$2:F81,C$2:C81,[PRODUCTS],E$2:E81, "Entree")- SUMIFS(F$2:F81,C$2:C81,[PRODUCTS],E$2:E81,"Sortie"),"")&lt;=0,"STOCK EPUISE",IFERROR(VLOOKUP(Tsuivistock[[#This Row],[PRODUCTS]],Tproduits[],2,0)+ SUMIFS(F$2:F81,C$2:C81,[PRODUCTS],E$2:E81, "Entree")- SUMIFS(F$2:F81,C$2:C81,[PRODUCTS],E$2:E81,"Sortie"),""))</f>
        <v/>
      </c>
    </row>
    <row r="82" spans="1:10">
      <c r="A82" s="171">
        <v>43069</v>
      </c>
      <c r="B82" s="167"/>
      <c r="C82" s="167"/>
      <c r="D82" s="179" t="str">
        <f>IFERROR(VLOOKUP(Tsuivistock[[#This Row],[PRODUCTS]],LISTES!$A$2:$E$107,5,0),"")</f>
        <v/>
      </c>
      <c r="E82" s="167"/>
      <c r="F82" s="168">
        <f>IF(Tsuivistock[[#This Row],[SOLDE]]&lt;FACTURIER!C$20:C100,"",FACTURIER!C$20:C99)</f>
        <v>0</v>
      </c>
      <c r="G82" s="183" t="str">
        <f>IFERROR(VLOOKUP(Tsuivistock[[#This Row],[PRODUCTS]],Tproduits[#All],4,0),"")</f>
        <v/>
      </c>
      <c r="H82" s="169" t="str">
        <f>IFERROR(VLOOKUP(Tsuivistock[[#This Row],[PRODUCTS]],LISTES!A81:D187,4,0),"")</f>
        <v/>
      </c>
      <c r="I82" s="188" t="str">
        <f>IFERROR(Tsuivistock[[#This Row],[QTE]]*Tsuivistock[[#This Row],[P.V]],"")</f>
        <v/>
      </c>
      <c r="J82" s="170" t="str">
        <f>IF(IFERROR(VLOOKUP(Tsuivistock[[#This Row],[PRODUCTS]],Tproduits[],2,0)+ SUMIFS(F$2:F82,C$2:C82,[PRODUCTS],E$2:E82, "Entree")- SUMIFS(F$2:F82,C$2:C82,[PRODUCTS],E$2:E82,"Sortie"),"")&lt;=0,"STOCK EPUISE",IFERROR(VLOOKUP(Tsuivistock[[#This Row],[PRODUCTS]],Tproduits[],2,0)+ SUMIFS(F$2:F82,C$2:C82,[PRODUCTS],E$2:E82, "Entree")- SUMIFS(F$2:F82,C$2:C82,[PRODUCTS],E$2:E82,"Sortie"),""))</f>
        <v/>
      </c>
    </row>
    <row r="83" spans="1:10">
      <c r="A83" s="171">
        <v>43070</v>
      </c>
      <c r="B83" s="167"/>
      <c r="C83" s="167"/>
      <c r="D83" s="179" t="str">
        <f>IFERROR(VLOOKUP(Tsuivistock[[#This Row],[PRODUCTS]],LISTES!$A$2:$E$107,5,0),"")</f>
        <v/>
      </c>
      <c r="E83" s="167"/>
      <c r="F83" s="168">
        <f>IF(Tsuivistock[[#This Row],[SOLDE]]&lt;FACTURIER!C$20:C101,"",FACTURIER!C$20:C100)</f>
        <v>0</v>
      </c>
      <c r="G83" s="183" t="str">
        <f>IFERROR(VLOOKUP(Tsuivistock[[#This Row],[PRODUCTS]],Tproduits[#All],4,0),"")</f>
        <v/>
      </c>
      <c r="H83" s="169" t="str">
        <f>IFERROR(VLOOKUP(Tsuivistock[[#This Row],[PRODUCTS]],LISTES!A82:D188,4,0),"")</f>
        <v/>
      </c>
      <c r="I83" s="188" t="str">
        <f>IFERROR(Tsuivistock[[#This Row],[QTE]]*Tsuivistock[[#This Row],[P.V]],"")</f>
        <v/>
      </c>
      <c r="J83" s="170" t="str">
        <f>IF(IFERROR(VLOOKUP(Tsuivistock[[#This Row],[PRODUCTS]],Tproduits[],2,0)+ SUMIFS(F$2:F83,C$2:C83,[PRODUCTS],E$2:E83, "Entree")- SUMIFS(F$2:F83,C$2:C83,[PRODUCTS],E$2:E83,"Sortie"),"")&lt;=0,"STOCK EPUISE",IFERROR(VLOOKUP(Tsuivistock[[#This Row],[PRODUCTS]],Tproduits[],2,0)+ SUMIFS(F$2:F83,C$2:C83,[PRODUCTS],E$2:E83, "Entree")- SUMIFS(F$2:F83,C$2:C83,[PRODUCTS],E$2:E83,"Sortie"),""))</f>
        <v/>
      </c>
    </row>
    <row r="84" spans="1:10">
      <c r="A84" s="171">
        <v>43071</v>
      </c>
      <c r="B84" s="167"/>
      <c r="C84" s="167"/>
      <c r="D84" s="179" t="str">
        <f>IFERROR(VLOOKUP(Tsuivistock[[#This Row],[PRODUCTS]],LISTES!$A$2:$E$107,5,0),"")</f>
        <v/>
      </c>
      <c r="E84" s="167"/>
      <c r="F84" s="168">
        <f>IF(Tsuivistock[[#This Row],[SOLDE]]&lt;FACTURIER!C$20:C102,"",FACTURIER!C$20:C101)</f>
        <v>0</v>
      </c>
      <c r="G84" s="183" t="str">
        <f>IFERROR(VLOOKUP(Tsuivistock[[#This Row],[PRODUCTS]],Tproduits[#All],4,0),"")</f>
        <v/>
      </c>
      <c r="H84" s="169" t="str">
        <f>IFERROR(VLOOKUP(Tsuivistock[[#This Row],[PRODUCTS]],LISTES!A83:D189,4,0),"")</f>
        <v/>
      </c>
      <c r="I84" s="188" t="str">
        <f>IFERROR(Tsuivistock[[#This Row],[QTE]]*Tsuivistock[[#This Row],[P.V]],"")</f>
        <v/>
      </c>
      <c r="J84" s="170" t="str">
        <f>IF(IFERROR(VLOOKUP(Tsuivistock[[#This Row],[PRODUCTS]],Tproduits[],2,0)+ SUMIFS(F$2:F84,C$2:C84,[PRODUCTS],E$2:E84, "Entree")- SUMIFS(F$2:F84,C$2:C84,[PRODUCTS],E$2:E84,"Sortie"),"")&lt;=0,"STOCK EPUISE",IFERROR(VLOOKUP(Tsuivistock[[#This Row],[PRODUCTS]],Tproduits[],2,0)+ SUMIFS(F$2:F84,C$2:C84,[PRODUCTS],E$2:E84, "Entree")- SUMIFS(F$2:F84,C$2:C84,[PRODUCTS],E$2:E84,"Sortie"),""))</f>
        <v/>
      </c>
    </row>
    <row r="85" spans="1:10">
      <c r="A85" s="171">
        <v>43072</v>
      </c>
      <c r="B85" s="167"/>
      <c r="C85" s="167"/>
      <c r="D85" s="179" t="str">
        <f>IFERROR(VLOOKUP(Tsuivistock[[#This Row],[PRODUCTS]],LISTES!$A$2:$E$107,5,0),"")</f>
        <v/>
      </c>
      <c r="E85" s="167"/>
      <c r="F85" s="168">
        <f>IF(Tsuivistock[[#This Row],[SOLDE]]&lt;FACTURIER!C$20:C103,"",FACTURIER!C$20:C102)</f>
        <v>0</v>
      </c>
      <c r="G85" s="183" t="str">
        <f>IFERROR(VLOOKUP(Tsuivistock[[#This Row],[PRODUCTS]],Tproduits[#All],4,0),"")</f>
        <v/>
      </c>
      <c r="H85" s="169" t="str">
        <f>IFERROR(VLOOKUP(Tsuivistock[[#This Row],[PRODUCTS]],LISTES!A84:D190,4,0),"")</f>
        <v/>
      </c>
      <c r="I85" s="188" t="str">
        <f>IFERROR(Tsuivistock[[#This Row],[QTE]]*Tsuivistock[[#This Row],[P.V]],"")</f>
        <v/>
      </c>
      <c r="J85" s="170" t="str">
        <f>IF(IFERROR(VLOOKUP(Tsuivistock[[#This Row],[PRODUCTS]],Tproduits[],2,0)+ SUMIFS(F$2:F85,C$2:C85,[PRODUCTS],E$2:E85, "Entree")- SUMIFS(F$2:F85,C$2:C85,[PRODUCTS],E$2:E85,"Sortie"),"")&lt;=0,"STOCK EPUISE",IFERROR(VLOOKUP(Tsuivistock[[#This Row],[PRODUCTS]],Tproduits[],2,0)+ SUMIFS(F$2:F85,C$2:C85,[PRODUCTS],E$2:E85, "Entree")- SUMIFS(F$2:F85,C$2:C85,[PRODUCTS],E$2:E85,"Sortie"),""))</f>
        <v/>
      </c>
    </row>
    <row r="86" spans="1:10">
      <c r="A86" s="171">
        <v>43073</v>
      </c>
      <c r="B86" s="167"/>
      <c r="C86" s="167"/>
      <c r="D86" s="179" t="str">
        <f>IFERROR(VLOOKUP(Tsuivistock[[#This Row],[PRODUCTS]],LISTES!$A$2:$E$107,5,0),"")</f>
        <v/>
      </c>
      <c r="E86" s="167"/>
      <c r="F86" s="168">
        <f>IF(Tsuivistock[[#This Row],[SOLDE]]&lt;FACTURIER!C$20:C104,"",FACTURIER!C$20:C103)</f>
        <v>0</v>
      </c>
      <c r="G86" s="183" t="str">
        <f>IFERROR(VLOOKUP(Tsuivistock[[#This Row],[PRODUCTS]],Tproduits[#All],4,0),"")</f>
        <v/>
      </c>
      <c r="H86" s="169" t="str">
        <f>IFERROR(VLOOKUP(Tsuivistock[[#This Row],[PRODUCTS]],LISTES!A85:D191,4,0),"")</f>
        <v/>
      </c>
      <c r="I86" s="188" t="str">
        <f>IFERROR(Tsuivistock[[#This Row],[QTE]]*Tsuivistock[[#This Row],[P.V]],"")</f>
        <v/>
      </c>
      <c r="J86" s="170" t="str">
        <f>IF(IFERROR(VLOOKUP(Tsuivistock[[#This Row],[PRODUCTS]],Tproduits[],2,0)+ SUMIFS(F$2:F86,C$2:C86,[PRODUCTS],E$2:E86, "Entree")- SUMIFS(F$2:F86,C$2:C86,[PRODUCTS],E$2:E86,"Sortie"),"")&lt;=0,"STOCK EPUISE",IFERROR(VLOOKUP(Tsuivistock[[#This Row],[PRODUCTS]],Tproduits[],2,0)+ SUMIFS(F$2:F86,C$2:C86,[PRODUCTS],E$2:E86, "Entree")- SUMIFS(F$2:F86,C$2:C86,[PRODUCTS],E$2:E86,"Sortie"),""))</f>
        <v/>
      </c>
    </row>
    <row r="87" spans="1:10">
      <c r="A87" s="171">
        <v>43074</v>
      </c>
      <c r="B87" s="167"/>
      <c r="C87" s="167"/>
      <c r="D87" s="179" t="str">
        <f>IFERROR(VLOOKUP(Tsuivistock[[#This Row],[PRODUCTS]],LISTES!$A$2:$E$107,5,0),"")</f>
        <v/>
      </c>
      <c r="E87" s="167"/>
      <c r="F87" s="168">
        <f>IF(Tsuivistock[[#This Row],[SOLDE]]&lt;FACTURIER!C$20:C105,"",FACTURIER!C$20:C104)</f>
        <v>0</v>
      </c>
      <c r="G87" s="183" t="str">
        <f>IFERROR(VLOOKUP(Tsuivistock[[#This Row],[PRODUCTS]],Tproduits[#All],4,0),"")</f>
        <v/>
      </c>
      <c r="H87" s="169" t="str">
        <f>IFERROR(VLOOKUP(Tsuivistock[[#This Row],[PRODUCTS]],LISTES!A86:D192,4,0),"")</f>
        <v/>
      </c>
      <c r="I87" s="188" t="str">
        <f>IFERROR(Tsuivistock[[#This Row],[QTE]]*Tsuivistock[[#This Row],[P.V]],"")</f>
        <v/>
      </c>
      <c r="J87" s="170" t="str">
        <f>IF(IFERROR(VLOOKUP(Tsuivistock[[#This Row],[PRODUCTS]],Tproduits[],2,0)+ SUMIFS(F$2:F87,C$2:C87,[PRODUCTS],E$2:E87, "Entree")- SUMIFS(F$2:F87,C$2:C87,[PRODUCTS],E$2:E87,"Sortie"),"")&lt;=0,"STOCK EPUISE",IFERROR(VLOOKUP(Tsuivistock[[#This Row],[PRODUCTS]],Tproduits[],2,0)+ SUMIFS(F$2:F87,C$2:C87,[PRODUCTS],E$2:E87, "Entree")- SUMIFS(F$2:F87,C$2:C87,[PRODUCTS],E$2:E87,"Sortie"),""))</f>
        <v/>
      </c>
    </row>
    <row r="88" spans="1:10">
      <c r="A88" s="171">
        <v>43075</v>
      </c>
      <c r="B88" s="167"/>
      <c r="C88" s="167"/>
      <c r="D88" s="179" t="str">
        <f>IFERROR(VLOOKUP(Tsuivistock[[#This Row],[PRODUCTS]],LISTES!$A$2:$E$107,5,0),"")</f>
        <v/>
      </c>
      <c r="E88" s="167"/>
      <c r="F88" s="168">
        <f>IF(Tsuivistock[[#This Row],[SOLDE]]&lt;FACTURIER!C$20:C106,"",FACTURIER!C$20:C105)</f>
        <v>0</v>
      </c>
      <c r="G88" s="183" t="str">
        <f>IFERROR(VLOOKUP(Tsuivistock[[#This Row],[PRODUCTS]],Tproduits[#All],4,0),"")</f>
        <v/>
      </c>
      <c r="H88" s="169" t="str">
        <f>IFERROR(VLOOKUP(Tsuivistock[[#This Row],[PRODUCTS]],LISTES!A87:D193,4,0),"")</f>
        <v/>
      </c>
      <c r="I88" s="188" t="str">
        <f>IFERROR(Tsuivistock[[#This Row],[QTE]]*Tsuivistock[[#This Row],[P.V]],"")</f>
        <v/>
      </c>
      <c r="J88" s="170" t="str">
        <f>IF(IFERROR(VLOOKUP(Tsuivistock[[#This Row],[PRODUCTS]],Tproduits[],2,0)+ SUMIFS(F$2:F88,C$2:C88,[PRODUCTS],E$2:E88, "Entree")- SUMIFS(F$2:F88,C$2:C88,[PRODUCTS],E$2:E88,"Sortie"),"")&lt;=0,"STOCK EPUISE",IFERROR(VLOOKUP(Tsuivistock[[#This Row],[PRODUCTS]],Tproduits[],2,0)+ SUMIFS(F$2:F88,C$2:C88,[PRODUCTS],E$2:E88, "Entree")- SUMIFS(F$2:F88,C$2:C88,[PRODUCTS],E$2:E88,"Sortie"),""))</f>
        <v/>
      </c>
    </row>
    <row r="89" spans="1:10">
      <c r="A89" s="171">
        <v>43076</v>
      </c>
      <c r="B89" s="167"/>
      <c r="C89" s="167"/>
      <c r="D89" s="179" t="str">
        <f>IFERROR(VLOOKUP(Tsuivistock[[#This Row],[PRODUCTS]],LISTES!$A$2:$E$107,5,0),"")</f>
        <v/>
      </c>
      <c r="E89" s="167"/>
      <c r="F89" s="168">
        <f>IF(Tsuivistock[[#This Row],[SOLDE]]&lt;FACTURIER!C$20:C107,"",FACTURIER!C$20:C106)</f>
        <v>0</v>
      </c>
      <c r="G89" s="183" t="str">
        <f>IFERROR(VLOOKUP(Tsuivistock[[#This Row],[PRODUCTS]],Tproduits[#All],4,0),"")</f>
        <v/>
      </c>
      <c r="H89" s="169" t="str">
        <f>IFERROR(VLOOKUP(Tsuivistock[[#This Row],[PRODUCTS]],LISTES!A88:D194,4,0),"")</f>
        <v/>
      </c>
      <c r="I89" s="188" t="str">
        <f>IFERROR(Tsuivistock[[#This Row],[QTE]]*Tsuivistock[[#This Row],[P.V]],"")</f>
        <v/>
      </c>
      <c r="J89" s="170" t="str">
        <f>IF(IFERROR(VLOOKUP(Tsuivistock[[#This Row],[PRODUCTS]],Tproduits[],2,0)+ SUMIFS(F$2:F89,C$2:C89,[PRODUCTS],E$2:E89, "Entree")- SUMIFS(F$2:F89,C$2:C89,[PRODUCTS],E$2:E89,"Sortie"),"")&lt;=0,"STOCK EPUISE",IFERROR(VLOOKUP(Tsuivistock[[#This Row],[PRODUCTS]],Tproduits[],2,0)+ SUMIFS(F$2:F89,C$2:C89,[PRODUCTS],E$2:E89, "Entree")- SUMIFS(F$2:F89,C$2:C89,[PRODUCTS],E$2:E89,"Sortie"),""))</f>
        <v/>
      </c>
    </row>
    <row r="90" spans="1:10">
      <c r="A90" s="171">
        <v>43077</v>
      </c>
      <c r="B90" s="167"/>
      <c r="C90" s="167"/>
      <c r="D90" s="179" t="str">
        <f>IFERROR(VLOOKUP(Tsuivistock[[#This Row],[PRODUCTS]],LISTES!$A$2:$E$107,5,0),"")</f>
        <v/>
      </c>
      <c r="E90" s="167"/>
      <c r="F90" s="168">
        <f>IF(Tsuivistock[[#This Row],[SOLDE]]&lt;FACTURIER!C$20:C108,"",FACTURIER!C$20:C107)</f>
        <v>0</v>
      </c>
      <c r="G90" s="183" t="str">
        <f>IFERROR(VLOOKUP(Tsuivistock[[#This Row],[PRODUCTS]],Tproduits[#All],4,0),"")</f>
        <v/>
      </c>
      <c r="H90" s="169" t="str">
        <f>IFERROR(VLOOKUP(Tsuivistock[[#This Row],[PRODUCTS]],LISTES!A89:D195,4,0),"")</f>
        <v/>
      </c>
      <c r="I90" s="188" t="str">
        <f>IFERROR(Tsuivistock[[#This Row],[QTE]]*Tsuivistock[[#This Row],[P.V]],"")</f>
        <v/>
      </c>
      <c r="J90" s="170" t="str">
        <f>IF(IFERROR(VLOOKUP(Tsuivistock[[#This Row],[PRODUCTS]],Tproduits[],2,0)+ SUMIFS(F$2:F90,C$2:C90,[PRODUCTS],E$2:E90, "Entree")- SUMIFS(F$2:F90,C$2:C90,[PRODUCTS],E$2:E90,"Sortie"),"")&lt;=0,"STOCK EPUISE",IFERROR(VLOOKUP(Tsuivistock[[#This Row],[PRODUCTS]],Tproduits[],2,0)+ SUMIFS(F$2:F90,C$2:C90,[PRODUCTS],E$2:E90, "Entree")- SUMIFS(F$2:F90,C$2:C90,[PRODUCTS],E$2:E90,"Sortie"),""))</f>
        <v/>
      </c>
    </row>
    <row r="91" spans="1:10">
      <c r="A91" s="171">
        <v>43078</v>
      </c>
      <c r="B91" s="167"/>
      <c r="C91" s="167"/>
      <c r="D91" s="179" t="str">
        <f>IFERROR(VLOOKUP(Tsuivistock[[#This Row],[PRODUCTS]],LISTES!$A$2:$E$107,5,0),"")</f>
        <v/>
      </c>
      <c r="E91" s="167"/>
      <c r="F91" s="168">
        <f>IF(Tsuivistock[[#This Row],[SOLDE]]&lt;FACTURIER!C$20:C109,"",FACTURIER!C$20:C108)</f>
        <v>0</v>
      </c>
      <c r="G91" s="183" t="str">
        <f>IFERROR(VLOOKUP(Tsuivistock[[#This Row],[PRODUCTS]],Tproduits[#All],4,0),"")</f>
        <v/>
      </c>
      <c r="H91" s="169" t="str">
        <f>IFERROR(VLOOKUP(Tsuivistock[[#This Row],[PRODUCTS]],LISTES!A90:D196,4,0),"")</f>
        <v/>
      </c>
      <c r="I91" s="188" t="str">
        <f>IFERROR(Tsuivistock[[#This Row],[QTE]]*Tsuivistock[[#This Row],[P.V]],"")</f>
        <v/>
      </c>
      <c r="J91" s="170" t="str">
        <f>IF(IFERROR(VLOOKUP(Tsuivistock[[#This Row],[PRODUCTS]],Tproduits[],2,0)+ SUMIFS(F$2:F91,C$2:C91,[PRODUCTS],E$2:E91, "Entree")- SUMIFS(F$2:F91,C$2:C91,[PRODUCTS],E$2:E91,"Sortie"),"")&lt;=0,"STOCK EPUISE",IFERROR(VLOOKUP(Tsuivistock[[#This Row],[PRODUCTS]],Tproduits[],2,0)+ SUMIFS(F$2:F91,C$2:C91,[PRODUCTS],E$2:E91, "Entree")- SUMIFS(F$2:F91,C$2:C91,[PRODUCTS],E$2:E91,"Sortie"),""))</f>
        <v/>
      </c>
    </row>
    <row r="92" spans="1:10">
      <c r="A92" s="171">
        <v>43079</v>
      </c>
      <c r="B92" s="167"/>
      <c r="C92" s="167"/>
      <c r="D92" s="179" t="str">
        <f>IFERROR(VLOOKUP(Tsuivistock[[#This Row],[PRODUCTS]],LISTES!$A$2:$E$107,5,0),"")</f>
        <v/>
      </c>
      <c r="E92" s="167"/>
      <c r="F92" s="168">
        <f>IF(Tsuivistock[[#This Row],[SOLDE]]&lt;FACTURIER!C$20:C110,"",FACTURIER!C$20:C109)</f>
        <v>0</v>
      </c>
      <c r="G92" s="183" t="str">
        <f>IFERROR(VLOOKUP(Tsuivistock[[#This Row],[PRODUCTS]],Tproduits[#All],4,0),"")</f>
        <v/>
      </c>
      <c r="H92" s="169" t="str">
        <f>IFERROR(VLOOKUP(Tsuivistock[[#This Row],[PRODUCTS]],LISTES!A91:D197,4,0),"")</f>
        <v/>
      </c>
      <c r="I92" s="188" t="str">
        <f>IFERROR(Tsuivistock[[#This Row],[QTE]]*Tsuivistock[[#This Row],[P.V]],"")</f>
        <v/>
      </c>
      <c r="J92" s="170" t="str">
        <f>IF(IFERROR(VLOOKUP(Tsuivistock[[#This Row],[PRODUCTS]],Tproduits[],2,0)+ SUMIFS(F$2:F92,C$2:C92,[PRODUCTS],E$2:E92, "Entree")- SUMIFS(F$2:F92,C$2:C92,[PRODUCTS],E$2:E92,"Sortie"),"")&lt;=0,"STOCK EPUISE",IFERROR(VLOOKUP(Tsuivistock[[#This Row],[PRODUCTS]],Tproduits[],2,0)+ SUMIFS(F$2:F92,C$2:C92,[PRODUCTS],E$2:E92, "Entree")- SUMIFS(F$2:F92,C$2:C92,[PRODUCTS],E$2:E92,"Sortie"),""))</f>
        <v/>
      </c>
    </row>
    <row r="93" spans="1:10">
      <c r="A93" s="171">
        <v>43080</v>
      </c>
      <c r="B93" s="167"/>
      <c r="C93" s="167"/>
      <c r="D93" s="179" t="str">
        <f>IFERROR(VLOOKUP(Tsuivistock[[#This Row],[PRODUCTS]],LISTES!$A$2:$E$107,5,0),"")</f>
        <v/>
      </c>
      <c r="E93" s="167"/>
      <c r="F93" s="168">
        <f>IF(Tsuivistock[[#This Row],[SOLDE]]&lt;FACTURIER!C$20:C111,"",FACTURIER!C$20:C110)</f>
        <v>0</v>
      </c>
      <c r="G93" s="183" t="str">
        <f>IFERROR(VLOOKUP(Tsuivistock[[#This Row],[PRODUCTS]],Tproduits[#All],4,0),"")</f>
        <v/>
      </c>
      <c r="H93" s="169" t="str">
        <f>IFERROR(VLOOKUP(Tsuivistock[[#This Row],[PRODUCTS]],LISTES!A92:D198,4,0),"")</f>
        <v/>
      </c>
      <c r="I93" s="188" t="str">
        <f>IFERROR(Tsuivistock[[#This Row],[QTE]]*Tsuivistock[[#This Row],[P.V]],"")</f>
        <v/>
      </c>
      <c r="J93" s="170" t="str">
        <f>IF(IFERROR(VLOOKUP(Tsuivistock[[#This Row],[PRODUCTS]],Tproduits[],2,0)+ SUMIFS(F$2:F93,C$2:C93,[PRODUCTS],E$2:E93, "Entree")- SUMIFS(F$2:F93,C$2:C93,[PRODUCTS],E$2:E93,"Sortie"),"")&lt;=0,"STOCK EPUISE",IFERROR(VLOOKUP(Tsuivistock[[#This Row],[PRODUCTS]],Tproduits[],2,0)+ SUMIFS(F$2:F93,C$2:C93,[PRODUCTS],E$2:E93, "Entree")- SUMIFS(F$2:F93,C$2:C93,[PRODUCTS],E$2:E93,"Sortie"),""))</f>
        <v/>
      </c>
    </row>
    <row r="94" spans="1:10">
      <c r="A94" s="171">
        <v>43081</v>
      </c>
      <c r="B94" s="167"/>
      <c r="C94" s="167"/>
      <c r="D94" s="179" t="str">
        <f>IFERROR(VLOOKUP(Tsuivistock[[#This Row],[PRODUCTS]],LISTES!$A$2:$E$107,5,0),"")</f>
        <v/>
      </c>
      <c r="E94" s="167"/>
      <c r="F94" s="168">
        <f>IF(Tsuivistock[[#This Row],[SOLDE]]&lt;FACTURIER!C$20:C112,"",FACTURIER!C$20:C111)</f>
        <v>0</v>
      </c>
      <c r="G94" s="183" t="str">
        <f>IFERROR(VLOOKUP(Tsuivistock[[#This Row],[PRODUCTS]],Tproduits[#All],4,0),"")</f>
        <v/>
      </c>
      <c r="H94" s="169" t="str">
        <f>IFERROR(VLOOKUP(Tsuivistock[[#This Row],[PRODUCTS]],LISTES!A93:D199,4,0),"")</f>
        <v/>
      </c>
      <c r="I94" s="188" t="str">
        <f>IFERROR(Tsuivistock[[#This Row],[QTE]]*Tsuivistock[[#This Row],[P.V]],"")</f>
        <v/>
      </c>
      <c r="J94" s="170" t="str">
        <f>IF(IFERROR(VLOOKUP(Tsuivistock[[#This Row],[PRODUCTS]],Tproduits[],2,0)+ SUMIFS(F$2:F94,C$2:C94,[PRODUCTS],E$2:E94, "Entree")- SUMIFS(F$2:F94,C$2:C94,[PRODUCTS],E$2:E94,"Sortie"),"")&lt;=0,"STOCK EPUISE",IFERROR(VLOOKUP(Tsuivistock[[#This Row],[PRODUCTS]],Tproduits[],2,0)+ SUMIFS(F$2:F94,C$2:C94,[PRODUCTS],E$2:E94, "Entree")- SUMIFS(F$2:F94,C$2:C94,[PRODUCTS],E$2:E94,"Sortie"),""))</f>
        <v/>
      </c>
    </row>
    <row r="95" spans="1:10">
      <c r="A95" s="171">
        <v>43082</v>
      </c>
      <c r="B95" s="167"/>
      <c r="C95" s="167"/>
      <c r="D95" s="179" t="str">
        <f>IFERROR(VLOOKUP(Tsuivistock[[#This Row],[PRODUCTS]],LISTES!$A$2:$E$107,5,0),"")</f>
        <v/>
      </c>
      <c r="E95" s="167"/>
      <c r="F95" s="168">
        <f>IF(Tsuivistock[[#This Row],[SOLDE]]&lt;FACTURIER!C$20:C113,"",FACTURIER!C$20:C112)</f>
        <v>0</v>
      </c>
      <c r="G95" s="183" t="str">
        <f>IFERROR(VLOOKUP(Tsuivistock[[#This Row],[PRODUCTS]],Tproduits[#All],4,0),"")</f>
        <v/>
      </c>
      <c r="H95" s="169" t="str">
        <f>IFERROR(VLOOKUP(Tsuivistock[[#This Row],[PRODUCTS]],LISTES!A94:D200,4,0),"")</f>
        <v/>
      </c>
      <c r="I95" s="188" t="str">
        <f>IFERROR(Tsuivistock[[#This Row],[QTE]]*Tsuivistock[[#This Row],[P.V]],"")</f>
        <v/>
      </c>
      <c r="J95" s="170" t="str">
        <f>IF(IFERROR(VLOOKUP(Tsuivistock[[#This Row],[PRODUCTS]],Tproduits[],2,0)+ SUMIFS(F$2:F95,C$2:C95,[PRODUCTS],E$2:E95, "Entree")- SUMIFS(F$2:F95,C$2:C95,[PRODUCTS],E$2:E95,"Sortie"),"")&lt;=0,"STOCK EPUISE",IFERROR(VLOOKUP(Tsuivistock[[#This Row],[PRODUCTS]],Tproduits[],2,0)+ SUMIFS(F$2:F95,C$2:C95,[PRODUCTS],E$2:E95, "Entree")- SUMIFS(F$2:F95,C$2:C95,[PRODUCTS],E$2:E95,"Sortie"),""))</f>
        <v/>
      </c>
    </row>
    <row r="96" spans="1:10">
      <c r="A96" s="171">
        <v>43083</v>
      </c>
      <c r="B96" s="167"/>
      <c r="C96" s="167"/>
      <c r="D96" s="179" t="str">
        <f>IFERROR(VLOOKUP(Tsuivistock[[#This Row],[PRODUCTS]],LISTES!$A$2:$E$107,5,0),"")</f>
        <v/>
      </c>
      <c r="E96" s="167"/>
      <c r="F96" s="168">
        <f>IF(Tsuivistock[[#This Row],[SOLDE]]&lt;FACTURIER!C$20:C114,"",FACTURIER!C$20:C113)</f>
        <v>0</v>
      </c>
      <c r="G96" s="183" t="str">
        <f>IFERROR(VLOOKUP(Tsuivistock[[#This Row],[PRODUCTS]],Tproduits[#All],4,0),"")</f>
        <v/>
      </c>
      <c r="H96" s="169" t="str">
        <f>IFERROR(VLOOKUP(Tsuivistock[[#This Row],[PRODUCTS]],LISTES!A95:D201,4,0),"")</f>
        <v/>
      </c>
      <c r="I96" s="188" t="str">
        <f>IFERROR(Tsuivistock[[#This Row],[QTE]]*Tsuivistock[[#This Row],[P.V]],"")</f>
        <v/>
      </c>
      <c r="J96" s="170" t="str">
        <f>IF(IFERROR(VLOOKUP(Tsuivistock[[#This Row],[PRODUCTS]],Tproduits[],2,0)+ SUMIFS(F$2:F96,C$2:C96,[PRODUCTS],E$2:E96, "Entree")- SUMIFS(F$2:F96,C$2:C96,[PRODUCTS],E$2:E96,"Sortie"),"")&lt;=0,"STOCK EPUISE",IFERROR(VLOOKUP(Tsuivistock[[#This Row],[PRODUCTS]],Tproduits[],2,0)+ SUMIFS(F$2:F96,C$2:C96,[PRODUCTS],E$2:E96, "Entree")- SUMIFS(F$2:F96,C$2:C96,[PRODUCTS],E$2:E96,"Sortie"),""))</f>
        <v/>
      </c>
    </row>
    <row r="97" spans="1:10">
      <c r="A97" s="171">
        <v>43084</v>
      </c>
      <c r="B97" s="167"/>
      <c r="C97" s="167"/>
      <c r="D97" s="179" t="str">
        <f>IFERROR(VLOOKUP(Tsuivistock[[#This Row],[PRODUCTS]],LISTES!$A$2:$E$107,5,0),"")</f>
        <v/>
      </c>
      <c r="E97" s="167"/>
      <c r="F97" s="168">
        <f>IF(Tsuivistock[[#This Row],[SOLDE]]&lt;FACTURIER!C$20:C115,"",FACTURIER!C$20:C114)</f>
        <v>0</v>
      </c>
      <c r="G97" s="183" t="str">
        <f>IFERROR(VLOOKUP(Tsuivistock[[#This Row],[PRODUCTS]],Tproduits[#All],4,0),"")</f>
        <v/>
      </c>
      <c r="H97" s="169" t="str">
        <f>IFERROR(VLOOKUP(Tsuivistock[[#This Row],[PRODUCTS]],LISTES!A96:D202,4,0),"")</f>
        <v/>
      </c>
      <c r="I97" s="188" t="str">
        <f>IFERROR(Tsuivistock[[#This Row],[QTE]]*Tsuivistock[[#This Row],[P.V]],"")</f>
        <v/>
      </c>
      <c r="J97" s="170" t="str">
        <f>IF(IFERROR(VLOOKUP(Tsuivistock[[#This Row],[PRODUCTS]],Tproduits[],2,0)+ SUMIFS(F$2:F97,C$2:C97,[PRODUCTS],E$2:E97, "Entree")- SUMIFS(F$2:F97,C$2:C97,[PRODUCTS],E$2:E97,"Sortie"),"")&lt;=0,"STOCK EPUISE",IFERROR(VLOOKUP(Tsuivistock[[#This Row],[PRODUCTS]],Tproduits[],2,0)+ SUMIFS(F$2:F97,C$2:C97,[PRODUCTS],E$2:E97, "Entree")- SUMIFS(F$2:F97,C$2:C97,[PRODUCTS],E$2:E97,"Sortie"),""))</f>
        <v/>
      </c>
    </row>
    <row r="98" spans="1:10">
      <c r="A98" s="171">
        <v>43085</v>
      </c>
      <c r="B98" s="167"/>
      <c r="C98" s="167"/>
      <c r="D98" s="179" t="str">
        <f>IFERROR(VLOOKUP(Tsuivistock[[#This Row],[PRODUCTS]],LISTES!$A$2:$E$107,5,0),"")</f>
        <v/>
      </c>
      <c r="E98" s="167"/>
      <c r="F98" s="168">
        <f>IF(Tsuivistock[[#This Row],[SOLDE]]&lt;FACTURIER!C$20:C116,"",FACTURIER!C$20:C115)</f>
        <v>0</v>
      </c>
      <c r="G98" s="183" t="str">
        <f>IFERROR(VLOOKUP(Tsuivistock[[#This Row],[PRODUCTS]],Tproduits[#All],4,0),"")</f>
        <v/>
      </c>
      <c r="H98" s="169" t="str">
        <f>IFERROR(VLOOKUP(Tsuivistock[[#This Row],[PRODUCTS]],LISTES!A97:D203,4,0),"")</f>
        <v/>
      </c>
      <c r="I98" s="188" t="str">
        <f>IFERROR(Tsuivistock[[#This Row],[QTE]]*Tsuivistock[[#This Row],[P.V]],"")</f>
        <v/>
      </c>
      <c r="J98" s="170" t="str">
        <f>IF(IFERROR(VLOOKUP(Tsuivistock[[#This Row],[PRODUCTS]],Tproduits[],2,0)+ SUMIFS(F$2:F98,C$2:C98,[PRODUCTS],E$2:E98, "Entree")- SUMIFS(F$2:F98,C$2:C98,[PRODUCTS],E$2:E98,"Sortie"),"")&lt;=0,"STOCK EPUISE",IFERROR(VLOOKUP(Tsuivistock[[#This Row],[PRODUCTS]],Tproduits[],2,0)+ SUMIFS(F$2:F98,C$2:C98,[PRODUCTS],E$2:E98, "Entree")- SUMIFS(F$2:F98,C$2:C98,[PRODUCTS],E$2:E98,"Sortie"),""))</f>
        <v/>
      </c>
    </row>
    <row r="99" spans="1:10">
      <c r="A99" s="171">
        <v>43086</v>
      </c>
      <c r="B99" s="167"/>
      <c r="C99" s="167"/>
      <c r="D99" s="179" t="str">
        <f>IFERROR(VLOOKUP(Tsuivistock[[#This Row],[PRODUCTS]],LISTES!$A$2:$E$107,5,0),"")</f>
        <v/>
      </c>
      <c r="E99" s="167"/>
      <c r="F99" s="168">
        <f>IF(Tsuivistock[[#This Row],[SOLDE]]&lt;FACTURIER!C$20:C117,"",FACTURIER!C$20:C116)</f>
        <v>0</v>
      </c>
      <c r="G99" s="183" t="str">
        <f>IFERROR(VLOOKUP(Tsuivistock[[#This Row],[PRODUCTS]],Tproduits[#All],4,0),"")</f>
        <v/>
      </c>
      <c r="H99" s="169" t="str">
        <f>IFERROR(VLOOKUP(Tsuivistock[[#This Row],[PRODUCTS]],LISTES!A98:D204,4,0),"")</f>
        <v/>
      </c>
      <c r="I99" s="188" t="str">
        <f>IFERROR(Tsuivistock[[#This Row],[QTE]]*Tsuivistock[[#This Row],[P.V]],"")</f>
        <v/>
      </c>
      <c r="J99" s="170" t="str">
        <f>IF(IFERROR(VLOOKUP(Tsuivistock[[#This Row],[PRODUCTS]],Tproduits[],2,0)+ SUMIFS(F$2:F99,C$2:C99,[PRODUCTS],E$2:E99, "Entree")- SUMIFS(F$2:F99,C$2:C99,[PRODUCTS],E$2:E99,"Sortie"),"")&lt;=0,"STOCK EPUISE",IFERROR(VLOOKUP(Tsuivistock[[#This Row],[PRODUCTS]],Tproduits[],2,0)+ SUMIFS(F$2:F99,C$2:C99,[PRODUCTS],E$2:E99, "Entree")- SUMIFS(F$2:F99,C$2:C99,[PRODUCTS],E$2:E99,"Sortie"),""))</f>
        <v/>
      </c>
    </row>
    <row r="100" spans="1:10">
      <c r="A100" s="171">
        <v>43087</v>
      </c>
      <c r="B100" s="167"/>
      <c r="C100" s="167"/>
      <c r="D100" s="179" t="str">
        <f>IFERROR(VLOOKUP(Tsuivistock[[#This Row],[PRODUCTS]],LISTES!$A$2:$E$107,5,0),"")</f>
        <v/>
      </c>
      <c r="E100" s="167"/>
      <c r="F100" s="168">
        <f>IF(Tsuivistock[[#This Row],[SOLDE]]&lt;FACTURIER!C$20:C118,"",FACTURIER!C$20:C117)</f>
        <v>0</v>
      </c>
      <c r="G100" s="183" t="str">
        <f>IFERROR(VLOOKUP(Tsuivistock[[#This Row],[PRODUCTS]],Tproduits[#All],4,0),"")</f>
        <v/>
      </c>
      <c r="H100" s="169" t="str">
        <f>IFERROR(VLOOKUP(Tsuivistock[[#This Row],[PRODUCTS]],LISTES!A99:D205,4,0),"")</f>
        <v/>
      </c>
      <c r="I100" s="188" t="str">
        <f>IFERROR(Tsuivistock[[#This Row],[QTE]]*Tsuivistock[[#This Row],[P.V]],"")</f>
        <v/>
      </c>
      <c r="J100" s="170" t="str">
        <f>IF(IFERROR(VLOOKUP(Tsuivistock[[#This Row],[PRODUCTS]],Tproduits[],2,0)+ SUMIFS(F$2:F100,C$2:C100,[PRODUCTS],E$2:E100, "Entree")- SUMIFS(F$2:F100,C$2:C100,[PRODUCTS],E$2:E100,"Sortie"),"")&lt;=0,"STOCK EPUISE",IFERROR(VLOOKUP(Tsuivistock[[#This Row],[PRODUCTS]],Tproduits[],2,0)+ SUMIFS(F$2:F100,C$2:C100,[PRODUCTS],E$2:E100, "Entree")- SUMIFS(F$2:F100,C$2:C100,[PRODUCTS],E$2:E100,"Sortie"),""))</f>
        <v/>
      </c>
    </row>
    <row r="101" spans="1:10">
      <c r="A101" s="171">
        <v>43088</v>
      </c>
      <c r="B101" s="167"/>
      <c r="C101" s="167"/>
      <c r="D101" s="179" t="str">
        <f>IFERROR(VLOOKUP(Tsuivistock[[#This Row],[PRODUCTS]],LISTES!$A$2:$E$107,5,0),"")</f>
        <v/>
      </c>
      <c r="E101" s="167"/>
      <c r="F101" s="168">
        <f>IF(Tsuivistock[[#This Row],[SOLDE]]&lt;FACTURIER!C$20:C119,"",FACTURIER!C$20:C118)</f>
        <v>0</v>
      </c>
      <c r="G101" s="183" t="str">
        <f>IFERROR(VLOOKUP(Tsuivistock[[#This Row],[PRODUCTS]],Tproduits[#All],4,0),"")</f>
        <v/>
      </c>
      <c r="H101" s="169" t="str">
        <f>IFERROR(VLOOKUP(Tsuivistock[[#This Row],[PRODUCTS]],LISTES!A100:D206,4,0),"")</f>
        <v/>
      </c>
      <c r="I101" s="188" t="str">
        <f>IFERROR(Tsuivistock[[#This Row],[QTE]]*Tsuivistock[[#This Row],[P.V]],"")</f>
        <v/>
      </c>
      <c r="J101" s="170" t="str">
        <f>IF(IFERROR(VLOOKUP(Tsuivistock[[#This Row],[PRODUCTS]],Tproduits[],2,0)+ SUMIFS(F$2:F101,C$2:C101,[PRODUCTS],E$2:E101, "Entree")- SUMIFS(F$2:F101,C$2:C101,[PRODUCTS],E$2:E101,"Sortie"),"")&lt;=0,"STOCK EPUISE",IFERROR(VLOOKUP(Tsuivistock[[#This Row],[PRODUCTS]],Tproduits[],2,0)+ SUMIFS(F$2:F101,C$2:C101,[PRODUCTS],E$2:E101, "Entree")- SUMIFS(F$2:F101,C$2:C101,[PRODUCTS],E$2:E101,"Sortie"),""))</f>
        <v/>
      </c>
    </row>
    <row r="102" spans="1:10">
      <c r="A102" s="171">
        <v>43089</v>
      </c>
      <c r="B102" s="167"/>
      <c r="C102" s="167"/>
      <c r="D102" s="179" t="str">
        <f>IFERROR(VLOOKUP(Tsuivistock[[#This Row],[PRODUCTS]],LISTES!$A$2:$E$107,5,0),"")</f>
        <v/>
      </c>
      <c r="E102" s="167"/>
      <c r="F102" s="168">
        <f>IF(Tsuivistock[[#This Row],[SOLDE]]&lt;FACTURIER!C$20:C120,"",FACTURIER!C$20:C119)</f>
        <v>0</v>
      </c>
      <c r="G102" s="183" t="str">
        <f>IFERROR(VLOOKUP(Tsuivistock[[#This Row],[PRODUCTS]],Tproduits[#All],4,0),"")</f>
        <v/>
      </c>
      <c r="H102" s="169" t="str">
        <f>IFERROR(VLOOKUP(Tsuivistock[[#This Row],[PRODUCTS]],LISTES!A101:D207,4,0),"")</f>
        <v/>
      </c>
      <c r="I102" s="188" t="str">
        <f>IFERROR(Tsuivistock[[#This Row],[QTE]]*Tsuivistock[[#This Row],[P.V]],"")</f>
        <v/>
      </c>
      <c r="J102" s="170" t="str">
        <f>IF(IFERROR(VLOOKUP(Tsuivistock[[#This Row],[PRODUCTS]],Tproduits[],2,0)+ SUMIFS(F$2:F102,C$2:C102,[PRODUCTS],E$2:E102, "Entree")- SUMIFS(F$2:F102,C$2:C102,[PRODUCTS],E$2:E102,"Sortie"),"")&lt;=0,"STOCK EPUISE",IFERROR(VLOOKUP(Tsuivistock[[#This Row],[PRODUCTS]],Tproduits[],2,0)+ SUMIFS(F$2:F102,C$2:C102,[PRODUCTS],E$2:E102, "Entree")- SUMIFS(F$2:F102,C$2:C102,[PRODUCTS],E$2:E102,"Sortie"),""))</f>
        <v/>
      </c>
    </row>
    <row r="103" spans="1:10">
      <c r="A103" s="171">
        <v>43090</v>
      </c>
      <c r="B103" s="167"/>
      <c r="C103" s="167"/>
      <c r="D103" s="179" t="str">
        <f>IFERROR(VLOOKUP(Tsuivistock[[#This Row],[PRODUCTS]],LISTES!$A$2:$E$107,5,0),"")</f>
        <v/>
      </c>
      <c r="E103" s="167"/>
      <c r="F103" s="168">
        <f>IF(Tsuivistock[[#This Row],[SOLDE]]&lt;FACTURIER!C$20:C121,"",FACTURIER!C$20:C120)</f>
        <v>0</v>
      </c>
      <c r="G103" s="183" t="str">
        <f>IFERROR(VLOOKUP(Tsuivistock[[#This Row],[PRODUCTS]],Tproduits[#All],4,0),"")</f>
        <v/>
      </c>
      <c r="H103" s="169" t="str">
        <f>IFERROR(VLOOKUP(Tsuivistock[[#This Row],[PRODUCTS]],LISTES!A102:D208,4,0),"")</f>
        <v/>
      </c>
      <c r="I103" s="188" t="str">
        <f>IFERROR(Tsuivistock[[#This Row],[QTE]]*Tsuivistock[[#This Row],[P.V]],"")</f>
        <v/>
      </c>
      <c r="J103" s="170" t="str">
        <f>IF(IFERROR(VLOOKUP(Tsuivistock[[#This Row],[PRODUCTS]],Tproduits[],2,0)+ SUMIFS(F$2:F103,C$2:C103,[PRODUCTS],E$2:E103, "Entree")- SUMIFS(F$2:F103,C$2:C103,[PRODUCTS],E$2:E103,"Sortie"),"")&lt;=0,"STOCK EPUISE",IFERROR(VLOOKUP(Tsuivistock[[#This Row],[PRODUCTS]],Tproduits[],2,0)+ SUMIFS(F$2:F103,C$2:C103,[PRODUCTS],E$2:E103, "Entree")- SUMIFS(F$2:F103,C$2:C103,[PRODUCTS],E$2:E103,"Sortie"),""))</f>
        <v/>
      </c>
    </row>
    <row r="104" spans="1:10">
      <c r="A104" s="171">
        <v>43091</v>
      </c>
      <c r="B104" s="167"/>
      <c r="C104" s="167"/>
      <c r="D104" s="179" t="str">
        <f>IFERROR(VLOOKUP(Tsuivistock[[#This Row],[PRODUCTS]],LISTES!$A$2:$E$107,5,0),"")</f>
        <v/>
      </c>
      <c r="E104" s="167"/>
      <c r="F104" s="168">
        <f>IF(Tsuivistock[[#This Row],[SOLDE]]&lt;FACTURIER!C$20:C122,"",FACTURIER!C$20:C121)</f>
        <v>0</v>
      </c>
      <c r="G104" s="183" t="str">
        <f>IFERROR(VLOOKUP(Tsuivistock[[#This Row],[PRODUCTS]],Tproduits[#All],4,0),"")</f>
        <v/>
      </c>
      <c r="H104" s="169" t="str">
        <f>IFERROR(VLOOKUP(Tsuivistock[[#This Row],[PRODUCTS]],LISTES!A103:D209,4,0),"")</f>
        <v/>
      </c>
      <c r="I104" s="188" t="str">
        <f>IFERROR(Tsuivistock[[#This Row],[QTE]]*Tsuivistock[[#This Row],[P.V]],"")</f>
        <v/>
      </c>
      <c r="J104" s="170" t="str">
        <f>IF(IFERROR(VLOOKUP(Tsuivistock[[#This Row],[PRODUCTS]],Tproduits[],2,0)+ SUMIFS(F$2:F104,C$2:C104,[PRODUCTS],E$2:E104, "Entree")- SUMIFS(F$2:F104,C$2:C104,[PRODUCTS],E$2:E104,"Sortie"),"")&lt;=0,"STOCK EPUISE",IFERROR(VLOOKUP(Tsuivistock[[#This Row],[PRODUCTS]],Tproduits[],2,0)+ SUMIFS(F$2:F104,C$2:C104,[PRODUCTS],E$2:E104, "Entree")- SUMIFS(F$2:F104,C$2:C104,[PRODUCTS],E$2:E104,"Sortie"),""))</f>
        <v/>
      </c>
    </row>
    <row r="105" spans="1:10">
      <c r="A105" s="171">
        <v>43092</v>
      </c>
      <c r="B105" s="167"/>
      <c r="C105" s="167"/>
      <c r="D105" s="179" t="str">
        <f>IFERROR(VLOOKUP(Tsuivistock[[#This Row],[PRODUCTS]],LISTES!$A$2:$E$107,5,0),"")</f>
        <v/>
      </c>
      <c r="E105" s="167"/>
      <c r="F105" s="168">
        <f>IF(Tsuivistock[[#This Row],[SOLDE]]&lt;FACTURIER!C$20:C123,"",FACTURIER!C$20:C122)</f>
        <v>0</v>
      </c>
      <c r="G105" s="183" t="str">
        <f>IFERROR(VLOOKUP(Tsuivistock[[#This Row],[PRODUCTS]],Tproduits[#All],4,0),"")</f>
        <v/>
      </c>
      <c r="H105" s="169" t="str">
        <f>IFERROR(VLOOKUP(Tsuivistock[[#This Row],[PRODUCTS]],LISTES!A104:D210,4,0),"")</f>
        <v/>
      </c>
      <c r="I105" s="188" t="str">
        <f>IFERROR(Tsuivistock[[#This Row],[QTE]]*Tsuivistock[[#This Row],[P.V]],"")</f>
        <v/>
      </c>
      <c r="J105" s="170" t="str">
        <f>IF(IFERROR(VLOOKUP(Tsuivistock[[#This Row],[PRODUCTS]],Tproduits[],2,0)+ SUMIFS(F$2:F105,C$2:C105,[PRODUCTS],E$2:E105, "Entree")- SUMIFS(F$2:F105,C$2:C105,[PRODUCTS],E$2:E105,"Sortie"),"")&lt;=0,"STOCK EPUISE",IFERROR(VLOOKUP(Tsuivistock[[#This Row],[PRODUCTS]],Tproduits[],2,0)+ SUMIFS(F$2:F105,C$2:C105,[PRODUCTS],E$2:E105, "Entree")- SUMIFS(F$2:F105,C$2:C105,[PRODUCTS],E$2:E105,"Sortie"),""))</f>
        <v/>
      </c>
    </row>
    <row r="106" spans="1:10">
      <c r="A106" s="171">
        <v>43093</v>
      </c>
      <c r="B106" s="167"/>
      <c r="C106" s="167"/>
      <c r="D106" s="179" t="str">
        <f>IFERROR(VLOOKUP(Tsuivistock[[#This Row],[PRODUCTS]],LISTES!$A$2:$E$107,5,0),"")</f>
        <v/>
      </c>
      <c r="E106" s="167"/>
      <c r="F106" s="168">
        <f>IF(Tsuivistock[[#This Row],[SOLDE]]&lt;FACTURIER!C$20:C124,"",FACTURIER!C$20:C123)</f>
        <v>0</v>
      </c>
      <c r="G106" s="183" t="str">
        <f>IFERROR(VLOOKUP(Tsuivistock[[#This Row],[PRODUCTS]],Tproduits[#All],4,0),"")</f>
        <v/>
      </c>
      <c r="H106" s="169" t="str">
        <f>IFERROR(VLOOKUP(Tsuivistock[[#This Row],[PRODUCTS]],LISTES!A105:D211,4,0),"")</f>
        <v/>
      </c>
      <c r="I106" s="188" t="str">
        <f>IFERROR(Tsuivistock[[#This Row],[QTE]]*Tsuivistock[[#This Row],[P.V]],"")</f>
        <v/>
      </c>
      <c r="J106" s="170" t="str">
        <f>IF(IFERROR(VLOOKUP(Tsuivistock[[#This Row],[PRODUCTS]],Tproduits[],2,0)+ SUMIFS(F$2:F106,C$2:C106,[PRODUCTS],E$2:E106, "Entree")- SUMIFS(F$2:F106,C$2:C106,[PRODUCTS],E$2:E106,"Sortie"),"")&lt;=0,"STOCK EPUISE",IFERROR(VLOOKUP(Tsuivistock[[#This Row],[PRODUCTS]],Tproduits[],2,0)+ SUMIFS(F$2:F106,C$2:C106,[PRODUCTS],E$2:E106, "Entree")- SUMIFS(F$2:F106,C$2:C106,[PRODUCTS],E$2:E106,"Sortie"),""))</f>
        <v/>
      </c>
    </row>
    <row r="107" spans="1:10">
      <c r="A107" s="171">
        <v>43094</v>
      </c>
      <c r="B107" s="167"/>
      <c r="C107" s="167"/>
      <c r="D107" s="179" t="str">
        <f>IFERROR(VLOOKUP(Tsuivistock[[#This Row],[PRODUCTS]],LISTES!$A$2:$E$107,5,0),"")</f>
        <v/>
      </c>
      <c r="E107" s="167"/>
      <c r="F107" s="168">
        <f>IF(Tsuivistock[[#This Row],[SOLDE]]&lt;FACTURIER!C$20:C125,"",FACTURIER!C$20:C124)</f>
        <v>0</v>
      </c>
      <c r="G107" s="183" t="str">
        <f>IFERROR(VLOOKUP(Tsuivistock[[#This Row],[PRODUCTS]],Tproduits[#All],4,0),"")</f>
        <v/>
      </c>
      <c r="H107" s="169" t="str">
        <f>IFERROR(VLOOKUP(Tsuivistock[[#This Row],[PRODUCTS]],LISTES!A106:D212,4,0),"")</f>
        <v/>
      </c>
      <c r="I107" s="188" t="str">
        <f>IFERROR(Tsuivistock[[#This Row],[QTE]]*Tsuivistock[[#This Row],[P.V]],"")</f>
        <v/>
      </c>
      <c r="J107" s="170" t="str">
        <f>IF(IFERROR(VLOOKUP(Tsuivistock[[#This Row],[PRODUCTS]],Tproduits[],2,0)+ SUMIFS(F$2:F107,C$2:C107,[PRODUCTS],E$2:E107, "Entree")- SUMIFS(F$2:F107,C$2:C107,[PRODUCTS],E$2:E107,"Sortie"),"")&lt;=0,"STOCK EPUISE",IFERROR(VLOOKUP(Tsuivistock[[#This Row],[PRODUCTS]],Tproduits[],2,0)+ SUMIFS(F$2:F107,C$2:C107,[PRODUCTS],E$2:E107, "Entree")- SUMIFS(F$2:F107,C$2:C107,[PRODUCTS],E$2:E107,"Sortie"),""))</f>
        <v/>
      </c>
    </row>
    <row r="108" spans="1:10">
      <c r="A108" s="171">
        <v>43095</v>
      </c>
      <c r="B108" s="167"/>
      <c r="C108" s="167"/>
      <c r="D108" s="179" t="str">
        <f>IFERROR(VLOOKUP(Tsuivistock[[#This Row],[PRODUCTS]],LISTES!$A$2:$E$107,5,0),"")</f>
        <v/>
      </c>
      <c r="E108" s="167"/>
      <c r="F108" s="168">
        <f>IF(Tsuivistock[[#This Row],[SOLDE]]&lt;FACTURIER!C$20:C126,"",FACTURIER!C$20:C125)</f>
        <v>0</v>
      </c>
      <c r="G108" s="183" t="str">
        <f>IFERROR(VLOOKUP(Tsuivistock[[#This Row],[PRODUCTS]],Tproduits[#All],4,0),"")</f>
        <v/>
      </c>
      <c r="H108" s="169" t="str">
        <f>IFERROR(VLOOKUP(Tsuivistock[[#This Row],[PRODUCTS]],LISTES!A107:D213,4,0),"")</f>
        <v/>
      </c>
      <c r="I108" s="188" t="str">
        <f>IFERROR(Tsuivistock[[#This Row],[QTE]]*Tsuivistock[[#This Row],[P.V]],"")</f>
        <v/>
      </c>
      <c r="J108" s="170" t="str">
        <f>IF(IFERROR(VLOOKUP(Tsuivistock[[#This Row],[PRODUCTS]],Tproduits[],2,0)+ SUMIFS(F$2:F108,C$2:C108,[PRODUCTS],E$2:E108, "Entree")- SUMIFS(F$2:F108,C$2:C108,[PRODUCTS],E$2:E108,"Sortie"),"")&lt;=0,"STOCK EPUISE",IFERROR(VLOOKUP(Tsuivistock[[#This Row],[PRODUCTS]],Tproduits[],2,0)+ SUMIFS(F$2:F108,C$2:C108,[PRODUCTS],E$2:E108, "Entree")- SUMIFS(F$2:F108,C$2:C108,[PRODUCTS],E$2:E108,"Sortie"),""))</f>
        <v/>
      </c>
    </row>
    <row r="109" spans="1:10">
      <c r="A109" s="171">
        <v>43096</v>
      </c>
      <c r="B109" s="167"/>
      <c r="C109" s="167"/>
      <c r="D109" s="179" t="str">
        <f>IFERROR(VLOOKUP(Tsuivistock[[#This Row],[PRODUCTS]],LISTES!$A$2:$E$107,5,0),"")</f>
        <v/>
      </c>
      <c r="E109" s="167"/>
      <c r="F109" s="168">
        <f>IF(Tsuivistock[[#This Row],[SOLDE]]&lt;FACTURIER!C$20:C127,"",FACTURIER!C$20:C126)</f>
        <v>0</v>
      </c>
      <c r="G109" s="183" t="str">
        <f>IFERROR(VLOOKUP(Tsuivistock[[#This Row],[PRODUCTS]],Tproduits[#All],4,0),"")</f>
        <v/>
      </c>
      <c r="H109" s="169" t="str">
        <f>IFERROR(VLOOKUP(Tsuivistock[[#This Row],[PRODUCTS]],LISTES!A108:D214,4,0),"")</f>
        <v/>
      </c>
      <c r="I109" s="188" t="str">
        <f>IFERROR(Tsuivistock[[#This Row],[QTE]]*Tsuivistock[[#This Row],[P.V]],"")</f>
        <v/>
      </c>
      <c r="J109" s="170" t="str">
        <f>IF(IFERROR(VLOOKUP(Tsuivistock[[#This Row],[PRODUCTS]],Tproduits[],2,0)+ SUMIFS(F$2:F109,C$2:C109,[PRODUCTS],E$2:E109, "Entree")- SUMIFS(F$2:F109,C$2:C109,[PRODUCTS],E$2:E109,"Sortie"),"")&lt;=0,"STOCK EPUISE",IFERROR(VLOOKUP(Tsuivistock[[#This Row],[PRODUCTS]],Tproduits[],2,0)+ SUMIFS(F$2:F109,C$2:C109,[PRODUCTS],E$2:E109, "Entree")- SUMIFS(F$2:F109,C$2:C109,[PRODUCTS],E$2:E109,"Sortie"),""))</f>
        <v/>
      </c>
    </row>
    <row r="110" spans="1:10">
      <c r="A110" s="171">
        <v>43097</v>
      </c>
      <c r="B110" s="167"/>
      <c r="C110" s="167"/>
      <c r="D110" s="179" t="str">
        <f>IFERROR(VLOOKUP(Tsuivistock[[#This Row],[PRODUCTS]],LISTES!$A$2:$E$107,5,0),"")</f>
        <v/>
      </c>
      <c r="E110" s="167"/>
      <c r="F110" s="168">
        <f>IF(Tsuivistock[[#This Row],[SOLDE]]&lt;FACTURIER!C$20:C128,"",FACTURIER!C$20:C127)</f>
        <v>0</v>
      </c>
      <c r="G110" s="183" t="str">
        <f>IFERROR(VLOOKUP(Tsuivistock[[#This Row],[PRODUCTS]],Tproduits[#All],4,0),"")</f>
        <v/>
      </c>
      <c r="H110" s="169" t="str">
        <f>IFERROR(VLOOKUP(Tsuivistock[[#This Row],[PRODUCTS]],LISTES!A109:D215,4,0),"")</f>
        <v/>
      </c>
      <c r="I110" s="188" t="str">
        <f>IFERROR(Tsuivistock[[#This Row],[QTE]]*Tsuivistock[[#This Row],[P.V]],"")</f>
        <v/>
      </c>
      <c r="J110" s="170" t="str">
        <f>IF(IFERROR(VLOOKUP(Tsuivistock[[#This Row],[PRODUCTS]],Tproduits[],2,0)+ SUMIFS(F$2:F110,C$2:C110,[PRODUCTS],E$2:E110, "Entree")- SUMIFS(F$2:F110,C$2:C110,[PRODUCTS],E$2:E110,"Sortie"),"")&lt;=0,"STOCK EPUISE",IFERROR(VLOOKUP(Tsuivistock[[#This Row],[PRODUCTS]],Tproduits[],2,0)+ SUMIFS(F$2:F110,C$2:C110,[PRODUCTS],E$2:E110, "Entree")- SUMIFS(F$2:F110,C$2:C110,[PRODUCTS],E$2:E110,"Sortie"),""))</f>
        <v/>
      </c>
    </row>
    <row r="111" spans="1:10">
      <c r="A111" s="171">
        <v>43098</v>
      </c>
      <c r="B111" s="167"/>
      <c r="C111" s="167"/>
      <c r="D111" s="179" t="str">
        <f>IFERROR(VLOOKUP(Tsuivistock[[#This Row],[PRODUCTS]],LISTES!$A$2:$E$107,5,0),"")</f>
        <v/>
      </c>
      <c r="E111" s="167"/>
      <c r="F111" s="168">
        <f>IF(Tsuivistock[[#This Row],[SOLDE]]&lt;FACTURIER!C$20:C129,"",FACTURIER!C$20:C128)</f>
        <v>0</v>
      </c>
      <c r="G111" s="183" t="str">
        <f>IFERROR(VLOOKUP(Tsuivistock[[#This Row],[PRODUCTS]],Tproduits[#All],4,0),"")</f>
        <v/>
      </c>
      <c r="H111" s="169" t="str">
        <f>IFERROR(VLOOKUP(Tsuivistock[[#This Row],[PRODUCTS]],LISTES!A110:D216,4,0),"")</f>
        <v/>
      </c>
      <c r="I111" s="188" t="str">
        <f>IFERROR(Tsuivistock[[#This Row],[QTE]]*Tsuivistock[[#This Row],[P.V]],"")</f>
        <v/>
      </c>
      <c r="J111" s="170" t="str">
        <f>IF(IFERROR(VLOOKUP(Tsuivistock[[#This Row],[PRODUCTS]],Tproduits[],2,0)+ SUMIFS(F$2:F111,C$2:C111,[PRODUCTS],E$2:E111, "Entree")- SUMIFS(F$2:F111,C$2:C111,[PRODUCTS],E$2:E111,"Sortie"),"")&lt;=0,"STOCK EPUISE",IFERROR(VLOOKUP(Tsuivistock[[#This Row],[PRODUCTS]],Tproduits[],2,0)+ SUMIFS(F$2:F111,C$2:C111,[PRODUCTS],E$2:E111, "Entree")- SUMIFS(F$2:F111,C$2:C111,[PRODUCTS],E$2:E111,"Sortie"),""))</f>
        <v/>
      </c>
    </row>
    <row r="112" spans="1:10">
      <c r="A112" s="171">
        <v>43099</v>
      </c>
      <c r="B112" s="167"/>
      <c r="C112" s="167"/>
      <c r="D112" s="179" t="str">
        <f>IFERROR(VLOOKUP(Tsuivistock[[#This Row],[PRODUCTS]],LISTES!$A$2:$E$107,5,0),"")</f>
        <v/>
      </c>
      <c r="E112" s="167"/>
      <c r="F112" s="168">
        <f>IF(Tsuivistock[[#This Row],[SOLDE]]&lt;FACTURIER!C$20:C130,"",FACTURIER!C$20:C129)</f>
        <v>0</v>
      </c>
      <c r="G112" s="183" t="str">
        <f>IFERROR(VLOOKUP(Tsuivistock[[#This Row],[PRODUCTS]],Tproduits[#All],4,0),"")</f>
        <v/>
      </c>
      <c r="H112" s="169" t="str">
        <f>IFERROR(VLOOKUP(Tsuivistock[[#This Row],[PRODUCTS]],LISTES!A111:D217,4,0),"")</f>
        <v/>
      </c>
      <c r="I112" s="188" t="str">
        <f>IFERROR(Tsuivistock[[#This Row],[QTE]]*Tsuivistock[[#This Row],[P.V]],"")</f>
        <v/>
      </c>
      <c r="J112" s="170" t="str">
        <f>IF(IFERROR(VLOOKUP(Tsuivistock[[#This Row],[PRODUCTS]],Tproduits[],2,0)+ SUMIFS(F$2:F112,C$2:C112,[PRODUCTS],E$2:E112, "Entree")- SUMIFS(F$2:F112,C$2:C112,[PRODUCTS],E$2:E112,"Sortie"),"")&lt;=0,"STOCK EPUISE",IFERROR(VLOOKUP(Tsuivistock[[#This Row],[PRODUCTS]],Tproduits[],2,0)+ SUMIFS(F$2:F112,C$2:C112,[PRODUCTS],E$2:E112, "Entree")- SUMIFS(F$2:F112,C$2:C112,[PRODUCTS],E$2:E112,"Sortie"),""))</f>
        <v/>
      </c>
    </row>
    <row r="113" spans="1:10">
      <c r="A113" s="171">
        <v>43100</v>
      </c>
      <c r="B113" s="167"/>
      <c r="C113" s="167"/>
      <c r="D113" s="179" t="str">
        <f>IFERROR(VLOOKUP(Tsuivistock[[#This Row],[PRODUCTS]],LISTES!$A$2:$E$107,5,0),"")</f>
        <v/>
      </c>
      <c r="E113" s="167"/>
      <c r="F113" s="168">
        <f>IF(Tsuivistock[[#This Row],[SOLDE]]&lt;FACTURIER!C$20:C131,"",FACTURIER!C$20:C130)</f>
        <v>0</v>
      </c>
      <c r="G113" s="183" t="str">
        <f>IFERROR(VLOOKUP(Tsuivistock[[#This Row],[PRODUCTS]],Tproduits[#All],4,0),"")</f>
        <v/>
      </c>
      <c r="H113" s="169" t="str">
        <f>IFERROR(VLOOKUP(Tsuivistock[[#This Row],[PRODUCTS]],LISTES!A112:D218,4,0),"")</f>
        <v/>
      </c>
      <c r="I113" s="188" t="str">
        <f>IFERROR(Tsuivistock[[#This Row],[QTE]]*Tsuivistock[[#This Row],[P.V]],"")</f>
        <v/>
      </c>
      <c r="J113" s="170" t="str">
        <f>IF(IFERROR(VLOOKUP(Tsuivistock[[#This Row],[PRODUCTS]],Tproduits[],2,0)+ SUMIFS(F$2:F113,C$2:C113,[PRODUCTS],E$2:E113, "Entree")- SUMIFS(F$2:F113,C$2:C113,[PRODUCTS],E$2:E113,"Sortie"),"")&lt;=0,"STOCK EPUISE",IFERROR(VLOOKUP(Tsuivistock[[#This Row],[PRODUCTS]],Tproduits[],2,0)+ SUMIFS(F$2:F113,C$2:C113,[PRODUCTS],E$2:E113, "Entree")- SUMIFS(F$2:F113,C$2:C113,[PRODUCTS],E$2:E113,"Sortie"),""))</f>
        <v/>
      </c>
    </row>
    <row r="114" spans="1:10">
      <c r="A114" s="171">
        <v>43101</v>
      </c>
      <c r="B114" s="167"/>
      <c r="C114" s="167"/>
      <c r="D114" s="179" t="str">
        <f>IFERROR(VLOOKUP(Tsuivistock[[#This Row],[PRODUCTS]],LISTES!$A$2:$E$107,5,0),"")</f>
        <v/>
      </c>
      <c r="E114" s="167"/>
      <c r="F114" s="168">
        <f>IF(Tsuivistock[[#This Row],[SOLDE]]&lt;FACTURIER!C$20:C132,"",FACTURIER!C$20:C131)</f>
        <v>0</v>
      </c>
      <c r="G114" s="183" t="str">
        <f>IFERROR(VLOOKUP(Tsuivistock[[#This Row],[PRODUCTS]],Tproduits[#All],4,0),"")</f>
        <v/>
      </c>
      <c r="H114" s="169" t="str">
        <f>IFERROR(VLOOKUP(Tsuivistock[[#This Row],[PRODUCTS]],LISTES!A113:D219,4,0),"")</f>
        <v/>
      </c>
      <c r="I114" s="188" t="str">
        <f>IFERROR(Tsuivistock[[#This Row],[QTE]]*Tsuivistock[[#This Row],[P.V]],"")</f>
        <v/>
      </c>
      <c r="J114" s="170" t="str">
        <f>IF(IFERROR(VLOOKUP(Tsuivistock[[#This Row],[PRODUCTS]],Tproduits[],2,0)+ SUMIFS(F$2:F114,C$2:C114,[PRODUCTS],E$2:E114, "Entree")- SUMIFS(F$2:F114,C$2:C114,[PRODUCTS],E$2:E114,"Sortie"),"")&lt;=0,"STOCK EPUISE",IFERROR(VLOOKUP(Tsuivistock[[#This Row],[PRODUCTS]],Tproduits[],2,0)+ SUMIFS(F$2:F114,C$2:C114,[PRODUCTS],E$2:E114, "Entree")- SUMIFS(F$2:F114,C$2:C114,[PRODUCTS],E$2:E114,"Sortie"),""))</f>
        <v/>
      </c>
    </row>
    <row r="115" spans="1:10">
      <c r="A115" s="171">
        <v>43102</v>
      </c>
      <c r="B115" s="167"/>
      <c r="C115" s="167"/>
      <c r="D115" s="179" t="str">
        <f>IFERROR(VLOOKUP(Tsuivistock[[#This Row],[PRODUCTS]],LISTES!$A$2:$E$107,5,0),"")</f>
        <v/>
      </c>
      <c r="E115" s="167"/>
      <c r="F115" s="168">
        <f>IF(Tsuivistock[[#This Row],[SOLDE]]&lt;FACTURIER!C$20:C133,"",FACTURIER!C$20:C132)</f>
        <v>0</v>
      </c>
      <c r="G115" s="183" t="str">
        <f>IFERROR(VLOOKUP(Tsuivistock[[#This Row],[PRODUCTS]],Tproduits[#All],4,0),"")</f>
        <v/>
      </c>
      <c r="H115" s="169" t="str">
        <f>IFERROR(VLOOKUP(Tsuivistock[[#This Row],[PRODUCTS]],LISTES!A114:D220,4,0),"")</f>
        <v/>
      </c>
      <c r="I115" s="188" t="str">
        <f>IFERROR(Tsuivistock[[#This Row],[QTE]]*Tsuivistock[[#This Row],[P.V]],"")</f>
        <v/>
      </c>
      <c r="J115" s="170" t="str">
        <f>IF(IFERROR(VLOOKUP(Tsuivistock[[#This Row],[PRODUCTS]],Tproduits[],2,0)+ SUMIFS(F$2:F115,C$2:C115,[PRODUCTS],E$2:E115, "Entree")- SUMIFS(F$2:F115,C$2:C115,[PRODUCTS],E$2:E115,"Sortie"),"")&lt;=0,"STOCK EPUISE",IFERROR(VLOOKUP(Tsuivistock[[#This Row],[PRODUCTS]],Tproduits[],2,0)+ SUMIFS(F$2:F115,C$2:C115,[PRODUCTS],E$2:E115, "Entree")- SUMIFS(F$2:F115,C$2:C115,[PRODUCTS],E$2:E115,"Sortie"),""))</f>
        <v/>
      </c>
    </row>
    <row r="116" spans="1:10">
      <c r="A116" s="171">
        <v>43103</v>
      </c>
      <c r="B116" s="167"/>
      <c r="C116" s="167"/>
      <c r="D116" s="179" t="str">
        <f>IFERROR(VLOOKUP(Tsuivistock[[#This Row],[PRODUCTS]],LISTES!$A$2:$E$107,5,0),"")</f>
        <v/>
      </c>
      <c r="E116" s="167"/>
      <c r="F116" s="168">
        <f>IF(Tsuivistock[[#This Row],[SOLDE]]&lt;FACTURIER!C$20:C134,"",FACTURIER!C$20:C133)</f>
        <v>0</v>
      </c>
      <c r="G116" s="183" t="str">
        <f>IFERROR(VLOOKUP(Tsuivistock[[#This Row],[PRODUCTS]],Tproduits[#All],4,0),"")</f>
        <v/>
      </c>
      <c r="H116" s="169" t="str">
        <f>IFERROR(VLOOKUP(Tsuivistock[[#This Row],[PRODUCTS]],LISTES!A115:D221,4,0),"")</f>
        <v/>
      </c>
      <c r="I116" s="188" t="str">
        <f>IFERROR(Tsuivistock[[#This Row],[QTE]]*Tsuivistock[[#This Row],[P.V]],"")</f>
        <v/>
      </c>
      <c r="J116" s="170" t="str">
        <f>IF(IFERROR(VLOOKUP(Tsuivistock[[#This Row],[PRODUCTS]],Tproduits[],2,0)+ SUMIFS(F$2:F116,C$2:C116,[PRODUCTS],E$2:E116, "Entree")- SUMIFS(F$2:F116,C$2:C116,[PRODUCTS],E$2:E116,"Sortie"),"")&lt;=0,"STOCK EPUISE",IFERROR(VLOOKUP(Tsuivistock[[#This Row],[PRODUCTS]],Tproduits[],2,0)+ SUMIFS(F$2:F116,C$2:C116,[PRODUCTS],E$2:E116, "Entree")- SUMIFS(F$2:F116,C$2:C116,[PRODUCTS],E$2:E116,"Sortie"),""))</f>
        <v/>
      </c>
    </row>
    <row r="117" spans="1:10">
      <c r="A117" s="171">
        <v>43104</v>
      </c>
      <c r="B117" s="167"/>
      <c r="C117" s="167"/>
      <c r="D117" s="179" t="str">
        <f>IFERROR(VLOOKUP(Tsuivistock[[#This Row],[PRODUCTS]],LISTES!$A$2:$E$107,5,0),"")</f>
        <v/>
      </c>
      <c r="E117" s="167"/>
      <c r="F117" s="168">
        <f>IF(Tsuivistock[[#This Row],[SOLDE]]&lt;FACTURIER!C$20:C135,"",FACTURIER!C$20:C134)</f>
        <v>0</v>
      </c>
      <c r="G117" s="183" t="str">
        <f>IFERROR(VLOOKUP(Tsuivistock[[#This Row],[PRODUCTS]],Tproduits[#All],4,0),"")</f>
        <v/>
      </c>
      <c r="H117" s="169" t="str">
        <f>IFERROR(VLOOKUP(Tsuivistock[[#This Row],[PRODUCTS]],LISTES!A116:D222,4,0),"")</f>
        <v/>
      </c>
      <c r="I117" s="188" t="str">
        <f>IFERROR(Tsuivistock[[#This Row],[QTE]]*Tsuivistock[[#This Row],[P.V]],"")</f>
        <v/>
      </c>
      <c r="J117" s="170" t="str">
        <f>IF(IFERROR(VLOOKUP(Tsuivistock[[#This Row],[PRODUCTS]],Tproduits[],2,0)+ SUMIFS(F$2:F117,C$2:C117,[PRODUCTS],E$2:E117, "Entree")- SUMIFS(F$2:F117,C$2:C117,[PRODUCTS],E$2:E117,"Sortie"),"")&lt;=0,"STOCK EPUISE",IFERROR(VLOOKUP(Tsuivistock[[#This Row],[PRODUCTS]],Tproduits[],2,0)+ SUMIFS(F$2:F117,C$2:C117,[PRODUCTS],E$2:E117, "Entree")- SUMIFS(F$2:F117,C$2:C117,[PRODUCTS],E$2:E117,"Sortie"),""))</f>
        <v/>
      </c>
    </row>
    <row r="118" spans="1:10">
      <c r="A118" s="171">
        <v>43105</v>
      </c>
      <c r="B118" s="167"/>
      <c r="C118" s="167"/>
      <c r="D118" s="179" t="str">
        <f>IFERROR(VLOOKUP(Tsuivistock[[#This Row],[PRODUCTS]],LISTES!$A$2:$E$107,5,0),"")</f>
        <v/>
      </c>
      <c r="E118" s="167"/>
      <c r="F118" s="168">
        <f>IF(Tsuivistock[[#This Row],[SOLDE]]&lt;FACTURIER!C$20:C136,"",FACTURIER!C$20:C135)</f>
        <v>0</v>
      </c>
      <c r="G118" s="183" t="str">
        <f>IFERROR(VLOOKUP(Tsuivistock[[#This Row],[PRODUCTS]],Tproduits[#All],4,0),"")</f>
        <v/>
      </c>
      <c r="H118" s="169" t="str">
        <f>IFERROR(VLOOKUP(Tsuivistock[[#This Row],[PRODUCTS]],LISTES!A117:D223,4,0),"")</f>
        <v/>
      </c>
      <c r="I118" s="188" t="str">
        <f>IFERROR(Tsuivistock[[#This Row],[QTE]]*Tsuivistock[[#This Row],[P.V]],"")</f>
        <v/>
      </c>
      <c r="J118" s="170" t="str">
        <f>IF(IFERROR(VLOOKUP(Tsuivistock[[#This Row],[PRODUCTS]],Tproduits[],2,0)+ SUMIFS(F$2:F118,C$2:C118,[PRODUCTS],E$2:E118, "Entree")- SUMIFS(F$2:F118,C$2:C118,[PRODUCTS],E$2:E118,"Sortie"),"")&lt;=0,"STOCK EPUISE",IFERROR(VLOOKUP(Tsuivistock[[#This Row],[PRODUCTS]],Tproduits[],2,0)+ SUMIFS(F$2:F118,C$2:C118,[PRODUCTS],E$2:E118, "Entree")- SUMIFS(F$2:F118,C$2:C118,[PRODUCTS],E$2:E118,"Sortie"),""))</f>
        <v/>
      </c>
    </row>
    <row r="119" spans="1:10">
      <c r="A119" s="171">
        <v>43106</v>
      </c>
      <c r="B119" s="167"/>
      <c r="C119" s="167"/>
      <c r="D119" s="179" t="str">
        <f>IFERROR(VLOOKUP(Tsuivistock[[#This Row],[PRODUCTS]],LISTES!$A$2:$E$107,5,0),"")</f>
        <v/>
      </c>
      <c r="E119" s="167"/>
      <c r="F119" s="168">
        <f>IF(Tsuivistock[[#This Row],[SOLDE]]&lt;FACTURIER!C$20:C137,"",FACTURIER!C$20:C136)</f>
        <v>0</v>
      </c>
      <c r="G119" s="183" t="str">
        <f>IFERROR(VLOOKUP(Tsuivistock[[#This Row],[PRODUCTS]],Tproduits[#All],4,0),"")</f>
        <v/>
      </c>
      <c r="H119" s="169" t="str">
        <f>IFERROR(VLOOKUP(Tsuivistock[[#This Row],[PRODUCTS]],LISTES!A118:D224,4,0),"")</f>
        <v/>
      </c>
      <c r="I119" s="188" t="str">
        <f>IFERROR(Tsuivistock[[#This Row],[QTE]]*Tsuivistock[[#This Row],[P.V]],"")</f>
        <v/>
      </c>
      <c r="J119" s="170" t="str">
        <f>IF(IFERROR(VLOOKUP(Tsuivistock[[#This Row],[PRODUCTS]],Tproduits[],2,0)+ SUMIFS(F$2:F119,C$2:C119,[PRODUCTS],E$2:E119, "Entree")- SUMIFS(F$2:F119,C$2:C119,[PRODUCTS],E$2:E119,"Sortie"),"")&lt;=0,"STOCK EPUISE",IFERROR(VLOOKUP(Tsuivistock[[#This Row],[PRODUCTS]],Tproduits[],2,0)+ SUMIFS(F$2:F119,C$2:C119,[PRODUCTS],E$2:E119, "Entree")- SUMIFS(F$2:F119,C$2:C119,[PRODUCTS],E$2:E119,"Sortie"),""))</f>
        <v/>
      </c>
    </row>
    <row r="120" spans="1:10">
      <c r="A120" s="171">
        <v>43107</v>
      </c>
      <c r="B120" s="167"/>
      <c r="C120" s="167"/>
      <c r="D120" s="179" t="str">
        <f>IFERROR(VLOOKUP(Tsuivistock[[#This Row],[PRODUCTS]],LISTES!$A$2:$E$107,5,0),"")</f>
        <v/>
      </c>
      <c r="E120" s="167"/>
      <c r="F120" s="168">
        <f>IF(Tsuivistock[[#This Row],[SOLDE]]&lt;FACTURIER!C$20:C138,"",FACTURIER!C$20:C137)</f>
        <v>0</v>
      </c>
      <c r="G120" s="183" t="str">
        <f>IFERROR(VLOOKUP(Tsuivistock[[#This Row],[PRODUCTS]],Tproduits[#All],4,0),"")</f>
        <v/>
      </c>
      <c r="H120" s="169" t="str">
        <f>IFERROR(VLOOKUP(Tsuivistock[[#This Row],[PRODUCTS]],LISTES!A119:D225,4,0),"")</f>
        <v/>
      </c>
      <c r="I120" s="188" t="str">
        <f>IFERROR(Tsuivistock[[#This Row],[QTE]]*Tsuivistock[[#This Row],[P.V]],"")</f>
        <v/>
      </c>
      <c r="J120" s="170" t="str">
        <f>IF(IFERROR(VLOOKUP(Tsuivistock[[#This Row],[PRODUCTS]],Tproduits[],2,0)+ SUMIFS(F$2:F120,C$2:C120,[PRODUCTS],E$2:E120, "Entree")- SUMIFS(F$2:F120,C$2:C120,[PRODUCTS],E$2:E120,"Sortie"),"")&lt;=0,"STOCK EPUISE",IFERROR(VLOOKUP(Tsuivistock[[#This Row],[PRODUCTS]],Tproduits[],2,0)+ SUMIFS(F$2:F120,C$2:C120,[PRODUCTS],E$2:E120, "Entree")- SUMIFS(F$2:F120,C$2:C120,[PRODUCTS],E$2:E120,"Sortie"),""))</f>
        <v/>
      </c>
    </row>
    <row r="121" spans="1:10">
      <c r="A121" s="171">
        <v>43108</v>
      </c>
      <c r="B121" s="167"/>
      <c r="C121" s="167"/>
      <c r="D121" s="179" t="str">
        <f>IFERROR(VLOOKUP(Tsuivistock[[#This Row],[PRODUCTS]],LISTES!$A$2:$E$107,5,0),"")</f>
        <v/>
      </c>
      <c r="E121" s="167"/>
      <c r="F121" s="168">
        <f>IF(Tsuivistock[[#This Row],[SOLDE]]&lt;FACTURIER!C$20:C139,"",FACTURIER!C$20:C138)</f>
        <v>0</v>
      </c>
      <c r="G121" s="183" t="str">
        <f>IFERROR(VLOOKUP(Tsuivistock[[#This Row],[PRODUCTS]],Tproduits[#All],4,0),"")</f>
        <v/>
      </c>
      <c r="H121" s="169" t="str">
        <f>IFERROR(VLOOKUP(Tsuivistock[[#This Row],[PRODUCTS]],LISTES!A120:D226,4,0),"")</f>
        <v/>
      </c>
      <c r="I121" s="188" t="str">
        <f>IFERROR(Tsuivistock[[#This Row],[QTE]]*Tsuivistock[[#This Row],[P.V]],"")</f>
        <v/>
      </c>
      <c r="J121" s="170" t="str">
        <f>IF(IFERROR(VLOOKUP(Tsuivistock[[#This Row],[PRODUCTS]],Tproduits[],2,0)+ SUMIFS(F$2:F121,C$2:C121,[PRODUCTS],E$2:E121, "Entree")- SUMIFS(F$2:F121,C$2:C121,[PRODUCTS],E$2:E121,"Sortie"),"")&lt;=0,"STOCK EPUISE",IFERROR(VLOOKUP(Tsuivistock[[#This Row],[PRODUCTS]],Tproduits[],2,0)+ SUMIFS(F$2:F121,C$2:C121,[PRODUCTS],E$2:E121, "Entree")- SUMIFS(F$2:F121,C$2:C121,[PRODUCTS],E$2:E121,"Sortie"),""))</f>
        <v/>
      </c>
    </row>
    <row r="122" spans="1:10">
      <c r="A122" s="171">
        <v>43109</v>
      </c>
      <c r="B122" s="167"/>
      <c r="C122" s="167"/>
      <c r="D122" s="179" t="str">
        <f>IFERROR(VLOOKUP(Tsuivistock[[#This Row],[PRODUCTS]],LISTES!$A$2:$E$107,5,0),"")</f>
        <v/>
      </c>
      <c r="E122" s="167"/>
      <c r="F122" s="168">
        <f>IF(Tsuivistock[[#This Row],[SOLDE]]&lt;FACTURIER!C$20:C140,"",FACTURIER!C$20:C139)</f>
        <v>0</v>
      </c>
      <c r="G122" s="183" t="str">
        <f>IFERROR(VLOOKUP(Tsuivistock[[#This Row],[PRODUCTS]],Tproduits[#All],4,0),"")</f>
        <v/>
      </c>
      <c r="H122" s="169" t="str">
        <f>IFERROR(VLOOKUP(Tsuivistock[[#This Row],[PRODUCTS]],LISTES!A121:D227,4,0),"")</f>
        <v/>
      </c>
      <c r="I122" s="188" t="str">
        <f>IFERROR(Tsuivistock[[#This Row],[QTE]]*Tsuivistock[[#This Row],[P.V]],"")</f>
        <v/>
      </c>
      <c r="J122" s="170" t="str">
        <f>IF(IFERROR(VLOOKUP(Tsuivistock[[#This Row],[PRODUCTS]],Tproduits[],2,0)+ SUMIFS(F$2:F122,C$2:C122,[PRODUCTS],E$2:E122, "Entree")- SUMIFS(F$2:F122,C$2:C122,[PRODUCTS],E$2:E122,"Sortie"),"")&lt;=0,"STOCK EPUISE",IFERROR(VLOOKUP(Tsuivistock[[#This Row],[PRODUCTS]],Tproduits[],2,0)+ SUMIFS(F$2:F122,C$2:C122,[PRODUCTS],E$2:E122, "Entree")- SUMIFS(F$2:F122,C$2:C122,[PRODUCTS],E$2:E122,"Sortie"),""))</f>
        <v/>
      </c>
    </row>
    <row r="123" spans="1:10">
      <c r="A123" s="171">
        <v>43110</v>
      </c>
      <c r="B123" s="167"/>
      <c r="C123" s="167"/>
      <c r="D123" s="179" t="str">
        <f>IFERROR(VLOOKUP(Tsuivistock[[#This Row],[PRODUCTS]],LISTES!$A$2:$E$107,5,0),"")</f>
        <v/>
      </c>
      <c r="E123" s="167"/>
      <c r="F123" s="168">
        <f>IF(Tsuivistock[[#This Row],[SOLDE]]&lt;FACTURIER!C$20:C141,"",FACTURIER!C$20:C140)</f>
        <v>0</v>
      </c>
      <c r="G123" s="183" t="str">
        <f>IFERROR(VLOOKUP(Tsuivistock[[#This Row],[PRODUCTS]],Tproduits[#All],4,0),"")</f>
        <v/>
      </c>
      <c r="H123" s="169" t="str">
        <f>IFERROR(VLOOKUP(Tsuivistock[[#This Row],[PRODUCTS]],LISTES!A122:D228,4,0),"")</f>
        <v/>
      </c>
      <c r="I123" s="188" t="str">
        <f>IFERROR(Tsuivistock[[#This Row],[QTE]]*Tsuivistock[[#This Row],[P.V]],"")</f>
        <v/>
      </c>
      <c r="J123" s="170" t="str">
        <f>IF(IFERROR(VLOOKUP(Tsuivistock[[#This Row],[PRODUCTS]],Tproduits[],2,0)+ SUMIFS(F$2:F123,C$2:C123,[PRODUCTS],E$2:E123, "Entree")- SUMIFS(F$2:F123,C$2:C123,[PRODUCTS],E$2:E123,"Sortie"),"")&lt;=0,"STOCK EPUISE",IFERROR(VLOOKUP(Tsuivistock[[#This Row],[PRODUCTS]],Tproduits[],2,0)+ SUMIFS(F$2:F123,C$2:C123,[PRODUCTS],E$2:E123, "Entree")- SUMIFS(F$2:F123,C$2:C123,[PRODUCTS],E$2:E123,"Sortie"),""))</f>
        <v/>
      </c>
    </row>
    <row r="124" spans="1:10">
      <c r="A124" s="171">
        <v>43111</v>
      </c>
      <c r="B124" s="167"/>
      <c r="C124" s="167"/>
      <c r="D124" s="179" t="str">
        <f>IFERROR(VLOOKUP(Tsuivistock[[#This Row],[PRODUCTS]],LISTES!$A$2:$E$107,5,0),"")</f>
        <v/>
      </c>
      <c r="E124" s="167"/>
      <c r="F124" s="168">
        <f>IF(Tsuivistock[[#This Row],[SOLDE]]&lt;FACTURIER!C$20:C142,"",FACTURIER!C$20:C141)</f>
        <v>0</v>
      </c>
      <c r="G124" s="183" t="str">
        <f>IFERROR(VLOOKUP(Tsuivistock[[#This Row],[PRODUCTS]],Tproduits[#All],4,0),"")</f>
        <v/>
      </c>
      <c r="H124" s="169" t="str">
        <f>IFERROR(VLOOKUP(Tsuivistock[[#This Row],[PRODUCTS]],LISTES!A123:D229,4,0),"")</f>
        <v/>
      </c>
      <c r="I124" s="188" t="str">
        <f>IFERROR(Tsuivistock[[#This Row],[QTE]]*Tsuivistock[[#This Row],[P.V]],"")</f>
        <v/>
      </c>
      <c r="J124" s="170" t="str">
        <f>IF(IFERROR(VLOOKUP(Tsuivistock[[#This Row],[PRODUCTS]],Tproduits[],2,0)+ SUMIFS(F$2:F124,C$2:C124,[PRODUCTS],E$2:E124, "Entree")- SUMIFS(F$2:F124,C$2:C124,[PRODUCTS],E$2:E124,"Sortie"),"")&lt;=0,"STOCK EPUISE",IFERROR(VLOOKUP(Tsuivistock[[#This Row],[PRODUCTS]],Tproduits[],2,0)+ SUMIFS(F$2:F124,C$2:C124,[PRODUCTS],E$2:E124, "Entree")- SUMIFS(F$2:F124,C$2:C124,[PRODUCTS],E$2:E124,"Sortie"),""))</f>
        <v/>
      </c>
    </row>
    <row r="125" spans="1:10">
      <c r="A125" s="171">
        <v>43112</v>
      </c>
      <c r="B125" s="167"/>
      <c r="C125" s="167"/>
      <c r="D125" s="179" t="str">
        <f>IFERROR(VLOOKUP(Tsuivistock[[#This Row],[PRODUCTS]],LISTES!$A$2:$E$107,5,0),"")</f>
        <v/>
      </c>
      <c r="E125" s="167"/>
      <c r="F125" s="168">
        <f>IF(Tsuivistock[[#This Row],[SOLDE]]&lt;FACTURIER!C$20:C143,"",FACTURIER!C$20:C142)</f>
        <v>0</v>
      </c>
      <c r="G125" s="183" t="str">
        <f>IFERROR(VLOOKUP(Tsuivistock[[#This Row],[PRODUCTS]],Tproduits[#All],4,0),"")</f>
        <v/>
      </c>
      <c r="H125" s="169" t="str">
        <f>IFERROR(VLOOKUP(Tsuivistock[[#This Row],[PRODUCTS]],LISTES!A124:D230,4,0),"")</f>
        <v/>
      </c>
      <c r="I125" s="188" t="str">
        <f>IFERROR(Tsuivistock[[#This Row],[QTE]]*Tsuivistock[[#This Row],[P.V]],"")</f>
        <v/>
      </c>
      <c r="J125" s="170" t="str">
        <f>IF(IFERROR(VLOOKUP(Tsuivistock[[#This Row],[PRODUCTS]],Tproduits[],2,0)+ SUMIFS(F$2:F125,C$2:C125,[PRODUCTS],E$2:E125, "Entree")- SUMIFS(F$2:F125,C$2:C125,[PRODUCTS],E$2:E125,"Sortie"),"")&lt;=0,"STOCK EPUISE",IFERROR(VLOOKUP(Tsuivistock[[#This Row],[PRODUCTS]],Tproduits[],2,0)+ SUMIFS(F$2:F125,C$2:C125,[PRODUCTS],E$2:E125, "Entree")- SUMIFS(F$2:F125,C$2:C125,[PRODUCTS],E$2:E125,"Sortie"),""))</f>
        <v/>
      </c>
    </row>
    <row r="126" spans="1:10">
      <c r="A126" s="171">
        <v>43113</v>
      </c>
      <c r="B126" s="167"/>
      <c r="C126" s="167"/>
      <c r="D126" s="179" t="str">
        <f>IFERROR(VLOOKUP(Tsuivistock[[#This Row],[PRODUCTS]],LISTES!$A$2:$E$107,5,0),"")</f>
        <v/>
      </c>
      <c r="E126" s="167"/>
      <c r="F126" s="168">
        <f>IF(Tsuivistock[[#This Row],[SOLDE]]&lt;FACTURIER!C$20:C144,"",FACTURIER!C$20:C143)</f>
        <v>0</v>
      </c>
      <c r="G126" s="183" t="str">
        <f>IFERROR(VLOOKUP(Tsuivistock[[#This Row],[PRODUCTS]],Tproduits[#All],4,0),"")</f>
        <v/>
      </c>
      <c r="H126" s="169" t="str">
        <f>IFERROR(VLOOKUP(Tsuivistock[[#This Row],[PRODUCTS]],LISTES!A125:D231,4,0),"")</f>
        <v/>
      </c>
      <c r="I126" s="188" t="str">
        <f>IFERROR(Tsuivistock[[#This Row],[QTE]]*Tsuivistock[[#This Row],[P.V]],"")</f>
        <v/>
      </c>
      <c r="J126" s="170" t="str">
        <f>IF(IFERROR(VLOOKUP(Tsuivistock[[#This Row],[PRODUCTS]],Tproduits[],2,0)+ SUMIFS(F$2:F126,C$2:C126,[PRODUCTS],E$2:E126, "Entree")- SUMIFS(F$2:F126,C$2:C126,[PRODUCTS],E$2:E126,"Sortie"),"")&lt;=0,"STOCK EPUISE",IFERROR(VLOOKUP(Tsuivistock[[#This Row],[PRODUCTS]],Tproduits[],2,0)+ SUMIFS(F$2:F126,C$2:C126,[PRODUCTS],E$2:E126, "Entree")- SUMIFS(F$2:F126,C$2:C126,[PRODUCTS],E$2:E126,"Sortie"),""))</f>
        <v/>
      </c>
    </row>
    <row r="127" spans="1:10">
      <c r="A127" s="171">
        <v>43114</v>
      </c>
      <c r="B127" s="167"/>
      <c r="C127" s="167"/>
      <c r="D127" s="179" t="str">
        <f>IFERROR(VLOOKUP(Tsuivistock[[#This Row],[PRODUCTS]],LISTES!$A$2:$E$107,5,0),"")</f>
        <v/>
      </c>
      <c r="E127" s="167"/>
      <c r="F127" s="168">
        <f>IF(Tsuivistock[[#This Row],[SOLDE]]&lt;FACTURIER!C$20:C145,"",FACTURIER!C$20:C144)</f>
        <v>0</v>
      </c>
      <c r="G127" s="183" t="str">
        <f>IFERROR(VLOOKUP(Tsuivistock[[#This Row],[PRODUCTS]],Tproduits[#All],4,0),"")</f>
        <v/>
      </c>
      <c r="H127" s="169" t="str">
        <f>IFERROR(VLOOKUP(Tsuivistock[[#This Row],[PRODUCTS]],LISTES!A126:D232,4,0),"")</f>
        <v/>
      </c>
      <c r="I127" s="188" t="str">
        <f>IFERROR(Tsuivistock[[#This Row],[QTE]]*Tsuivistock[[#This Row],[P.V]],"")</f>
        <v/>
      </c>
      <c r="J127" s="170" t="str">
        <f>IF(IFERROR(VLOOKUP(Tsuivistock[[#This Row],[PRODUCTS]],Tproduits[],2,0)+ SUMIFS(F$2:F127,C$2:C127,[PRODUCTS],E$2:E127, "Entree")- SUMIFS(F$2:F127,C$2:C127,[PRODUCTS],E$2:E127,"Sortie"),"")&lt;=0,"STOCK EPUISE",IFERROR(VLOOKUP(Tsuivistock[[#This Row],[PRODUCTS]],Tproduits[],2,0)+ SUMIFS(F$2:F127,C$2:C127,[PRODUCTS],E$2:E127, "Entree")- SUMIFS(F$2:F127,C$2:C127,[PRODUCTS],E$2:E127,"Sortie"),""))</f>
        <v/>
      </c>
    </row>
    <row r="128" spans="1:10">
      <c r="A128" s="171">
        <v>43115</v>
      </c>
      <c r="B128" s="167"/>
      <c r="C128" s="167"/>
      <c r="D128" s="179" t="str">
        <f>IFERROR(VLOOKUP(Tsuivistock[[#This Row],[PRODUCTS]],LISTES!$A$2:$E$107,5,0),"")</f>
        <v/>
      </c>
      <c r="E128" s="167"/>
      <c r="F128" s="168">
        <f>IF(Tsuivistock[[#This Row],[SOLDE]]&lt;FACTURIER!C$20:C146,"",FACTURIER!C$20:C145)</f>
        <v>0</v>
      </c>
      <c r="G128" s="183" t="str">
        <f>IFERROR(VLOOKUP(Tsuivistock[[#This Row],[PRODUCTS]],Tproduits[#All],4,0),"")</f>
        <v/>
      </c>
      <c r="H128" s="169" t="str">
        <f>IFERROR(VLOOKUP(Tsuivistock[[#This Row],[PRODUCTS]],LISTES!A127:D233,4,0),"")</f>
        <v/>
      </c>
      <c r="I128" s="188" t="str">
        <f>IFERROR(Tsuivistock[[#This Row],[QTE]]*Tsuivistock[[#This Row],[P.V]],"")</f>
        <v/>
      </c>
      <c r="J128" s="170" t="str">
        <f>IF(IFERROR(VLOOKUP(Tsuivistock[[#This Row],[PRODUCTS]],Tproduits[],2,0)+ SUMIFS(F$2:F128,C$2:C128,[PRODUCTS],E$2:E128, "Entree")- SUMIFS(F$2:F128,C$2:C128,[PRODUCTS],E$2:E128,"Sortie"),"")&lt;=0,"STOCK EPUISE",IFERROR(VLOOKUP(Tsuivistock[[#This Row],[PRODUCTS]],Tproduits[],2,0)+ SUMIFS(F$2:F128,C$2:C128,[PRODUCTS],E$2:E128, "Entree")- SUMIFS(F$2:F128,C$2:C128,[PRODUCTS],E$2:E128,"Sortie"),""))</f>
        <v/>
      </c>
    </row>
    <row r="129" spans="1:10">
      <c r="A129" s="171">
        <v>43116</v>
      </c>
      <c r="B129" s="167"/>
      <c r="C129" s="167"/>
      <c r="D129" s="179" t="str">
        <f>IFERROR(VLOOKUP(Tsuivistock[[#This Row],[PRODUCTS]],LISTES!$A$2:$E$107,5,0),"")</f>
        <v/>
      </c>
      <c r="E129" s="167"/>
      <c r="F129" s="168">
        <f>IF(Tsuivistock[[#This Row],[SOLDE]]&lt;FACTURIER!C$20:C147,"",FACTURIER!C$20:C146)</f>
        <v>0</v>
      </c>
      <c r="G129" s="183" t="str">
        <f>IFERROR(VLOOKUP(Tsuivistock[[#This Row],[PRODUCTS]],Tproduits[#All],4,0),"")</f>
        <v/>
      </c>
      <c r="H129" s="169" t="str">
        <f>IFERROR(VLOOKUP(Tsuivistock[[#This Row],[PRODUCTS]],LISTES!A128:D234,4,0),"")</f>
        <v/>
      </c>
      <c r="I129" s="188" t="str">
        <f>IFERROR(Tsuivistock[[#This Row],[QTE]]*Tsuivistock[[#This Row],[P.V]],"")</f>
        <v/>
      </c>
      <c r="J129" s="170" t="str">
        <f>IF(IFERROR(VLOOKUP(Tsuivistock[[#This Row],[PRODUCTS]],Tproduits[],2,0)+ SUMIFS(F$2:F129,C$2:C129,[PRODUCTS],E$2:E129, "Entree")- SUMIFS(F$2:F129,C$2:C129,[PRODUCTS],E$2:E129,"Sortie"),"")&lt;=0,"STOCK EPUISE",IFERROR(VLOOKUP(Tsuivistock[[#This Row],[PRODUCTS]],Tproduits[],2,0)+ SUMIFS(F$2:F129,C$2:C129,[PRODUCTS],E$2:E129, "Entree")- SUMIFS(F$2:F129,C$2:C129,[PRODUCTS],E$2:E129,"Sortie"),""))</f>
        <v/>
      </c>
    </row>
    <row r="130" spans="1:10">
      <c r="A130" s="171">
        <v>43117</v>
      </c>
      <c r="B130" s="167"/>
      <c r="C130" s="167"/>
      <c r="D130" s="179" t="str">
        <f>IFERROR(VLOOKUP(Tsuivistock[[#This Row],[PRODUCTS]],LISTES!$A$2:$E$107,5,0),"")</f>
        <v/>
      </c>
      <c r="E130" s="167"/>
      <c r="F130" s="168">
        <f>IF(Tsuivistock[[#This Row],[SOLDE]]&lt;FACTURIER!C$20:C148,"",FACTURIER!C$20:C147)</f>
        <v>0</v>
      </c>
      <c r="G130" s="183" t="str">
        <f>IFERROR(VLOOKUP(Tsuivistock[[#This Row],[PRODUCTS]],Tproduits[#All],4,0),"")</f>
        <v/>
      </c>
      <c r="H130" s="169" t="str">
        <f>IFERROR(VLOOKUP(Tsuivistock[[#This Row],[PRODUCTS]],LISTES!A129:D235,4,0),"")</f>
        <v/>
      </c>
      <c r="I130" s="188" t="str">
        <f>IFERROR(Tsuivistock[[#This Row],[QTE]]*Tsuivistock[[#This Row],[P.V]],"")</f>
        <v/>
      </c>
      <c r="J130" s="170" t="str">
        <f>IF(IFERROR(VLOOKUP(Tsuivistock[[#This Row],[PRODUCTS]],Tproduits[],2,0)+ SUMIFS(F$2:F130,C$2:C130,[PRODUCTS],E$2:E130, "Entree")- SUMIFS(F$2:F130,C$2:C130,[PRODUCTS],E$2:E130,"Sortie"),"")&lt;=0,"STOCK EPUISE",IFERROR(VLOOKUP(Tsuivistock[[#This Row],[PRODUCTS]],Tproduits[],2,0)+ SUMIFS(F$2:F130,C$2:C130,[PRODUCTS],E$2:E130, "Entree")- SUMIFS(F$2:F130,C$2:C130,[PRODUCTS],E$2:E130,"Sortie"),""))</f>
        <v/>
      </c>
    </row>
    <row r="131" spans="1:10">
      <c r="A131" s="171">
        <v>43118</v>
      </c>
      <c r="B131" s="167"/>
      <c r="C131" s="167"/>
      <c r="D131" s="179" t="str">
        <f>IFERROR(VLOOKUP(Tsuivistock[[#This Row],[PRODUCTS]],LISTES!$A$2:$E$107,5,0),"")</f>
        <v/>
      </c>
      <c r="E131" s="167"/>
      <c r="F131" s="168">
        <f>IF(Tsuivistock[[#This Row],[SOLDE]]&lt;FACTURIER!C$20:C149,"",FACTURIER!C$20:C148)</f>
        <v>0</v>
      </c>
      <c r="G131" s="183" t="str">
        <f>IFERROR(VLOOKUP(Tsuivistock[[#This Row],[PRODUCTS]],Tproduits[#All],4,0),"")</f>
        <v/>
      </c>
      <c r="H131" s="169" t="str">
        <f>IFERROR(VLOOKUP(Tsuivistock[[#This Row],[PRODUCTS]],LISTES!A130:D236,4,0),"")</f>
        <v/>
      </c>
      <c r="I131" s="188" t="str">
        <f>IFERROR(Tsuivistock[[#This Row],[QTE]]*Tsuivistock[[#This Row],[P.V]],"")</f>
        <v/>
      </c>
      <c r="J131" s="170" t="str">
        <f>IF(IFERROR(VLOOKUP(Tsuivistock[[#This Row],[PRODUCTS]],Tproduits[],2,0)+ SUMIFS(F$2:F131,C$2:C131,[PRODUCTS],E$2:E131, "Entree")- SUMIFS(F$2:F131,C$2:C131,[PRODUCTS],E$2:E131,"Sortie"),"")&lt;=0,"STOCK EPUISE",IFERROR(VLOOKUP(Tsuivistock[[#This Row],[PRODUCTS]],Tproduits[],2,0)+ SUMIFS(F$2:F131,C$2:C131,[PRODUCTS],E$2:E131, "Entree")- SUMIFS(F$2:F131,C$2:C131,[PRODUCTS],E$2:E131,"Sortie"),""))</f>
        <v/>
      </c>
    </row>
    <row r="132" spans="1:10">
      <c r="A132" s="171">
        <v>43119</v>
      </c>
      <c r="B132" s="167"/>
      <c r="C132" s="167"/>
      <c r="D132" s="179" t="str">
        <f>IFERROR(VLOOKUP(Tsuivistock[[#This Row],[PRODUCTS]],LISTES!$A$2:$E$107,5,0),"")</f>
        <v/>
      </c>
      <c r="E132" s="167"/>
      <c r="F132" s="168">
        <f>IF(Tsuivistock[[#This Row],[SOLDE]]&lt;FACTURIER!C$20:C150,"",FACTURIER!C$20:C149)</f>
        <v>0</v>
      </c>
      <c r="G132" s="183" t="str">
        <f>IFERROR(VLOOKUP(Tsuivistock[[#This Row],[PRODUCTS]],Tproduits[#All],4,0),"")</f>
        <v/>
      </c>
      <c r="H132" s="169" t="str">
        <f>IFERROR(VLOOKUP(Tsuivistock[[#This Row],[PRODUCTS]],LISTES!A131:D237,4,0),"")</f>
        <v/>
      </c>
      <c r="I132" s="188" t="str">
        <f>IFERROR(Tsuivistock[[#This Row],[QTE]]*Tsuivistock[[#This Row],[P.V]],"")</f>
        <v/>
      </c>
      <c r="J132" s="170" t="str">
        <f>IF(IFERROR(VLOOKUP(Tsuivistock[[#This Row],[PRODUCTS]],Tproduits[],2,0)+ SUMIFS(F$2:F132,C$2:C132,[PRODUCTS],E$2:E132, "Entree")- SUMIFS(F$2:F132,C$2:C132,[PRODUCTS],E$2:E132,"Sortie"),"")&lt;=0,"STOCK EPUISE",IFERROR(VLOOKUP(Tsuivistock[[#This Row],[PRODUCTS]],Tproduits[],2,0)+ SUMIFS(F$2:F132,C$2:C132,[PRODUCTS],E$2:E132, "Entree")- SUMIFS(F$2:F132,C$2:C132,[PRODUCTS],E$2:E132,"Sortie"),""))</f>
        <v/>
      </c>
    </row>
    <row r="133" spans="1:10">
      <c r="A133" s="171">
        <v>43120</v>
      </c>
      <c r="B133" s="167"/>
      <c r="C133" s="167"/>
      <c r="D133" s="179" t="str">
        <f>IFERROR(VLOOKUP(Tsuivistock[[#This Row],[PRODUCTS]],LISTES!$A$2:$E$107,5,0),"")</f>
        <v/>
      </c>
      <c r="E133" s="167"/>
      <c r="F133" s="168">
        <f>IF(Tsuivistock[[#This Row],[SOLDE]]&lt;FACTURIER!C$20:C151,"",FACTURIER!C$20:C150)</f>
        <v>0</v>
      </c>
      <c r="G133" s="183" t="str">
        <f>IFERROR(VLOOKUP(Tsuivistock[[#This Row],[PRODUCTS]],Tproduits[#All],4,0),"")</f>
        <v/>
      </c>
      <c r="H133" s="169" t="str">
        <f>IFERROR(VLOOKUP(Tsuivistock[[#This Row],[PRODUCTS]],LISTES!A132:D238,4,0),"")</f>
        <v/>
      </c>
      <c r="I133" s="188" t="str">
        <f>IFERROR(Tsuivistock[[#This Row],[QTE]]*Tsuivistock[[#This Row],[P.V]],"")</f>
        <v/>
      </c>
      <c r="J133" s="170" t="str">
        <f>IF(IFERROR(VLOOKUP(Tsuivistock[[#This Row],[PRODUCTS]],Tproduits[],2,0)+ SUMIFS(F$2:F133,C$2:C133,[PRODUCTS],E$2:E133, "Entree")- SUMIFS(F$2:F133,C$2:C133,[PRODUCTS],E$2:E133,"Sortie"),"")&lt;=0,"STOCK EPUISE",IFERROR(VLOOKUP(Tsuivistock[[#This Row],[PRODUCTS]],Tproduits[],2,0)+ SUMIFS(F$2:F133,C$2:C133,[PRODUCTS],E$2:E133, "Entree")- SUMIFS(F$2:F133,C$2:C133,[PRODUCTS],E$2:E133,"Sortie"),""))</f>
        <v/>
      </c>
    </row>
    <row r="134" spans="1:10">
      <c r="A134" s="171">
        <v>43121</v>
      </c>
      <c r="B134" s="167"/>
      <c r="C134" s="167"/>
      <c r="D134" s="179" t="str">
        <f>IFERROR(VLOOKUP(Tsuivistock[[#This Row],[PRODUCTS]],LISTES!$A$2:$E$107,5,0),"")</f>
        <v/>
      </c>
      <c r="E134" s="167"/>
      <c r="F134" s="168">
        <f>IF(Tsuivistock[[#This Row],[SOLDE]]&lt;FACTURIER!C$20:C152,"",FACTURIER!C$20:C151)</f>
        <v>0</v>
      </c>
      <c r="G134" s="183" t="str">
        <f>IFERROR(VLOOKUP(Tsuivistock[[#This Row],[PRODUCTS]],Tproduits[#All],4,0),"")</f>
        <v/>
      </c>
      <c r="H134" s="169" t="str">
        <f>IFERROR(VLOOKUP(Tsuivistock[[#This Row],[PRODUCTS]],LISTES!A133:D239,4,0),"")</f>
        <v/>
      </c>
      <c r="I134" s="188" t="str">
        <f>IFERROR(Tsuivistock[[#This Row],[QTE]]*Tsuivistock[[#This Row],[P.V]],"")</f>
        <v/>
      </c>
      <c r="J134" s="170" t="str">
        <f>IF(IFERROR(VLOOKUP(Tsuivistock[[#This Row],[PRODUCTS]],Tproduits[],2,0)+ SUMIFS(F$2:F134,C$2:C134,[PRODUCTS],E$2:E134, "Entree")- SUMIFS(F$2:F134,C$2:C134,[PRODUCTS],E$2:E134,"Sortie"),"")&lt;=0,"STOCK EPUISE",IFERROR(VLOOKUP(Tsuivistock[[#This Row],[PRODUCTS]],Tproduits[],2,0)+ SUMIFS(F$2:F134,C$2:C134,[PRODUCTS],E$2:E134, "Entree")- SUMIFS(F$2:F134,C$2:C134,[PRODUCTS],E$2:E134,"Sortie"),""))</f>
        <v/>
      </c>
    </row>
    <row r="135" spans="1:10">
      <c r="A135" s="171">
        <v>43122</v>
      </c>
      <c r="B135" s="167"/>
      <c r="C135" s="167"/>
      <c r="D135" s="179" t="str">
        <f>IFERROR(VLOOKUP(Tsuivistock[[#This Row],[PRODUCTS]],LISTES!$A$2:$E$107,5,0),"")</f>
        <v/>
      </c>
      <c r="E135" s="167"/>
      <c r="F135" s="168">
        <f>IF(Tsuivistock[[#This Row],[SOLDE]]&lt;FACTURIER!C$20:C153,"",FACTURIER!C$20:C152)</f>
        <v>0</v>
      </c>
      <c r="G135" s="183" t="str">
        <f>IFERROR(VLOOKUP(Tsuivistock[[#This Row],[PRODUCTS]],Tproduits[#All],4,0),"")</f>
        <v/>
      </c>
      <c r="H135" s="169" t="str">
        <f>IFERROR(VLOOKUP(Tsuivistock[[#This Row],[PRODUCTS]],LISTES!A134:D240,4,0),"")</f>
        <v/>
      </c>
      <c r="I135" s="188" t="str">
        <f>IFERROR(Tsuivistock[[#This Row],[QTE]]*Tsuivistock[[#This Row],[P.V]],"")</f>
        <v/>
      </c>
      <c r="J135" s="170" t="str">
        <f>IF(IFERROR(VLOOKUP(Tsuivistock[[#This Row],[PRODUCTS]],Tproduits[],2,0)+ SUMIFS(F$2:F135,C$2:C135,[PRODUCTS],E$2:E135, "Entree")- SUMIFS(F$2:F135,C$2:C135,[PRODUCTS],E$2:E135,"Sortie"),"")&lt;=0,"STOCK EPUISE",IFERROR(VLOOKUP(Tsuivistock[[#This Row],[PRODUCTS]],Tproduits[],2,0)+ SUMIFS(F$2:F135,C$2:C135,[PRODUCTS],E$2:E135, "Entree")- SUMIFS(F$2:F135,C$2:C135,[PRODUCTS],E$2:E135,"Sortie"),""))</f>
        <v/>
      </c>
    </row>
    <row r="136" spans="1:10">
      <c r="A136" s="171">
        <v>43123</v>
      </c>
      <c r="B136" s="167"/>
      <c r="C136" s="167"/>
      <c r="D136" s="179" t="str">
        <f>IFERROR(VLOOKUP(Tsuivistock[[#This Row],[PRODUCTS]],LISTES!$A$2:$E$107,5,0),"")</f>
        <v/>
      </c>
      <c r="E136" s="167"/>
      <c r="F136" s="168">
        <f>IF(Tsuivistock[[#This Row],[SOLDE]]&lt;FACTURIER!C$20:C154,"",FACTURIER!C$20:C153)</f>
        <v>0</v>
      </c>
      <c r="G136" s="183" t="str">
        <f>IFERROR(VLOOKUP(Tsuivistock[[#This Row],[PRODUCTS]],Tproduits[#All],4,0),"")</f>
        <v/>
      </c>
      <c r="H136" s="169" t="str">
        <f>IFERROR(VLOOKUP(Tsuivistock[[#This Row],[PRODUCTS]],LISTES!A135:D241,4,0),"")</f>
        <v/>
      </c>
      <c r="I136" s="188" t="str">
        <f>IFERROR(Tsuivistock[[#This Row],[QTE]]*Tsuivistock[[#This Row],[P.V]],"")</f>
        <v/>
      </c>
      <c r="J136" s="170" t="str">
        <f>IF(IFERROR(VLOOKUP(Tsuivistock[[#This Row],[PRODUCTS]],Tproduits[],2,0)+ SUMIFS(F$2:F136,C$2:C136,[PRODUCTS],E$2:E136, "Entree")- SUMIFS(F$2:F136,C$2:C136,[PRODUCTS],E$2:E136,"Sortie"),"")&lt;=0,"STOCK EPUISE",IFERROR(VLOOKUP(Tsuivistock[[#This Row],[PRODUCTS]],Tproduits[],2,0)+ SUMIFS(F$2:F136,C$2:C136,[PRODUCTS],E$2:E136, "Entree")- SUMIFS(F$2:F136,C$2:C136,[PRODUCTS],E$2:E136,"Sortie"),""))</f>
        <v/>
      </c>
    </row>
    <row r="137" spans="1:10">
      <c r="A137" s="171">
        <v>43124</v>
      </c>
      <c r="B137" s="167"/>
      <c r="C137" s="167"/>
      <c r="D137" s="179" t="str">
        <f>IFERROR(VLOOKUP(Tsuivistock[[#This Row],[PRODUCTS]],LISTES!$A$2:$E$107,5,0),"")</f>
        <v/>
      </c>
      <c r="E137" s="167"/>
      <c r="F137" s="168">
        <f>IF(Tsuivistock[[#This Row],[SOLDE]]&lt;FACTURIER!C$20:C155,"",FACTURIER!C$20:C154)</f>
        <v>0</v>
      </c>
      <c r="G137" s="183" t="str">
        <f>IFERROR(VLOOKUP(Tsuivistock[[#This Row],[PRODUCTS]],Tproduits[#All],4,0),"")</f>
        <v/>
      </c>
      <c r="H137" s="169" t="str">
        <f>IFERROR(VLOOKUP(Tsuivistock[[#This Row],[PRODUCTS]],LISTES!A136:D242,4,0),"")</f>
        <v/>
      </c>
      <c r="I137" s="188" t="str">
        <f>IFERROR(Tsuivistock[[#This Row],[QTE]]*Tsuivistock[[#This Row],[P.V]],"")</f>
        <v/>
      </c>
      <c r="J137" s="170" t="str">
        <f>IF(IFERROR(VLOOKUP(Tsuivistock[[#This Row],[PRODUCTS]],Tproduits[],2,0)+ SUMIFS(F$2:F137,C$2:C137,[PRODUCTS],E$2:E137, "Entree")- SUMIFS(F$2:F137,C$2:C137,[PRODUCTS],E$2:E137,"Sortie"),"")&lt;=0,"STOCK EPUISE",IFERROR(VLOOKUP(Tsuivistock[[#This Row],[PRODUCTS]],Tproduits[],2,0)+ SUMIFS(F$2:F137,C$2:C137,[PRODUCTS],E$2:E137, "Entree")- SUMIFS(F$2:F137,C$2:C137,[PRODUCTS],E$2:E137,"Sortie"),""))</f>
        <v/>
      </c>
    </row>
    <row r="138" spans="1:10">
      <c r="A138" s="171">
        <v>43125</v>
      </c>
      <c r="B138" s="167"/>
      <c r="C138" s="167"/>
      <c r="D138" s="179" t="str">
        <f>IFERROR(VLOOKUP(Tsuivistock[[#This Row],[PRODUCTS]],LISTES!$A$2:$E$107,5,0),"")</f>
        <v/>
      </c>
      <c r="E138" s="167"/>
      <c r="F138" s="168">
        <f>IF(Tsuivistock[[#This Row],[SOLDE]]&lt;FACTURIER!C$20:C156,"",FACTURIER!C$20:C155)</f>
        <v>0</v>
      </c>
      <c r="G138" s="183" t="str">
        <f>IFERROR(VLOOKUP(Tsuivistock[[#This Row],[PRODUCTS]],Tproduits[#All],4,0),"")</f>
        <v/>
      </c>
      <c r="H138" s="169" t="str">
        <f>IFERROR(VLOOKUP(Tsuivistock[[#This Row],[PRODUCTS]],LISTES!A137:D243,4,0),"")</f>
        <v/>
      </c>
      <c r="I138" s="188" t="str">
        <f>IFERROR(Tsuivistock[[#This Row],[QTE]]*Tsuivistock[[#This Row],[P.V]],"")</f>
        <v/>
      </c>
      <c r="J138" s="170" t="str">
        <f>IF(IFERROR(VLOOKUP(Tsuivistock[[#This Row],[PRODUCTS]],Tproduits[],2,0)+ SUMIFS(F$2:F138,C$2:C138,[PRODUCTS],E$2:E138, "Entree")- SUMIFS(F$2:F138,C$2:C138,[PRODUCTS],E$2:E138,"Sortie"),"")&lt;=0,"STOCK EPUISE",IFERROR(VLOOKUP(Tsuivistock[[#This Row],[PRODUCTS]],Tproduits[],2,0)+ SUMIFS(F$2:F138,C$2:C138,[PRODUCTS],E$2:E138, "Entree")- SUMIFS(F$2:F138,C$2:C138,[PRODUCTS],E$2:E138,"Sortie"),""))</f>
        <v/>
      </c>
    </row>
    <row r="139" spans="1:10">
      <c r="A139" s="171">
        <v>43126</v>
      </c>
      <c r="B139" s="167"/>
      <c r="C139" s="167"/>
      <c r="D139" s="179" t="str">
        <f>IFERROR(VLOOKUP(Tsuivistock[[#This Row],[PRODUCTS]],LISTES!$A$2:$E$107,5,0),"")</f>
        <v/>
      </c>
      <c r="E139" s="167"/>
      <c r="F139" s="168">
        <f>IF(Tsuivistock[[#This Row],[SOLDE]]&lt;FACTURIER!C$20:C157,"",FACTURIER!C$20:C156)</f>
        <v>0</v>
      </c>
      <c r="G139" s="183" t="str">
        <f>IFERROR(VLOOKUP(Tsuivistock[[#This Row],[PRODUCTS]],Tproduits[#All],4,0),"")</f>
        <v/>
      </c>
      <c r="H139" s="169" t="str">
        <f>IFERROR(VLOOKUP(Tsuivistock[[#This Row],[PRODUCTS]],LISTES!A138:D244,4,0),"")</f>
        <v/>
      </c>
      <c r="I139" s="188" t="str">
        <f>IFERROR(Tsuivistock[[#This Row],[QTE]]*Tsuivistock[[#This Row],[P.V]],"")</f>
        <v/>
      </c>
      <c r="J139" s="170" t="str">
        <f>IF(IFERROR(VLOOKUP(Tsuivistock[[#This Row],[PRODUCTS]],Tproduits[],2,0)+ SUMIFS(F$2:F139,C$2:C139,[PRODUCTS],E$2:E139, "Entree")- SUMIFS(F$2:F139,C$2:C139,[PRODUCTS],E$2:E139,"Sortie"),"")&lt;=0,"STOCK EPUISE",IFERROR(VLOOKUP(Tsuivistock[[#This Row],[PRODUCTS]],Tproduits[],2,0)+ SUMIFS(F$2:F139,C$2:C139,[PRODUCTS],E$2:E139, "Entree")- SUMIFS(F$2:F139,C$2:C139,[PRODUCTS],E$2:E139,"Sortie"),""))</f>
        <v/>
      </c>
    </row>
    <row r="140" spans="1:10">
      <c r="A140" s="171">
        <v>43127</v>
      </c>
      <c r="B140" s="167"/>
      <c r="C140" s="167"/>
      <c r="D140" s="179" t="str">
        <f>IFERROR(VLOOKUP(Tsuivistock[[#This Row],[PRODUCTS]],LISTES!$A$2:$E$107,5,0),"")</f>
        <v/>
      </c>
      <c r="E140" s="167"/>
      <c r="F140" s="168">
        <f>IF(Tsuivistock[[#This Row],[SOLDE]]&lt;FACTURIER!C$20:C158,"",FACTURIER!C$20:C157)</f>
        <v>0</v>
      </c>
      <c r="G140" s="183" t="str">
        <f>IFERROR(VLOOKUP(Tsuivistock[[#This Row],[PRODUCTS]],Tproduits[#All],4,0),"")</f>
        <v/>
      </c>
      <c r="H140" s="169" t="str">
        <f>IFERROR(VLOOKUP(Tsuivistock[[#This Row],[PRODUCTS]],LISTES!A139:D245,4,0),"")</f>
        <v/>
      </c>
      <c r="I140" s="188" t="str">
        <f>IFERROR(Tsuivistock[[#This Row],[QTE]]*Tsuivistock[[#This Row],[P.V]],"")</f>
        <v/>
      </c>
      <c r="J140" s="170" t="str">
        <f>IF(IFERROR(VLOOKUP(Tsuivistock[[#This Row],[PRODUCTS]],Tproduits[],2,0)+ SUMIFS(F$2:F140,C$2:C140,[PRODUCTS],E$2:E140, "Entree")- SUMIFS(F$2:F140,C$2:C140,[PRODUCTS],E$2:E140,"Sortie"),"")&lt;=0,"STOCK EPUISE",IFERROR(VLOOKUP(Tsuivistock[[#This Row],[PRODUCTS]],Tproduits[],2,0)+ SUMIFS(F$2:F140,C$2:C140,[PRODUCTS],E$2:E140, "Entree")- SUMIFS(F$2:F140,C$2:C140,[PRODUCTS],E$2:E140,"Sortie"),""))</f>
        <v/>
      </c>
    </row>
    <row r="141" spans="1:10">
      <c r="A141" s="171">
        <v>43128</v>
      </c>
      <c r="B141" s="167"/>
      <c r="C141" s="167"/>
      <c r="D141" s="179" t="str">
        <f>IFERROR(VLOOKUP(Tsuivistock[[#This Row],[PRODUCTS]],LISTES!$A$2:$E$107,5,0),"")</f>
        <v/>
      </c>
      <c r="E141" s="167"/>
      <c r="F141" s="168">
        <f>IF(Tsuivistock[[#This Row],[SOLDE]]&lt;FACTURIER!C$20:C159,"",FACTURIER!C$20:C158)</f>
        <v>0</v>
      </c>
      <c r="G141" s="183" t="str">
        <f>IFERROR(VLOOKUP(Tsuivistock[[#This Row],[PRODUCTS]],Tproduits[#All],4,0),"")</f>
        <v/>
      </c>
      <c r="H141" s="169" t="str">
        <f>IFERROR(VLOOKUP(Tsuivistock[[#This Row],[PRODUCTS]],LISTES!A140:D246,4,0),"")</f>
        <v/>
      </c>
      <c r="I141" s="188" t="str">
        <f>IFERROR(Tsuivistock[[#This Row],[QTE]]*Tsuivistock[[#This Row],[P.V]],"")</f>
        <v/>
      </c>
      <c r="J141" s="170" t="str">
        <f>IF(IFERROR(VLOOKUP(Tsuivistock[[#This Row],[PRODUCTS]],Tproduits[],2,0)+ SUMIFS(F$2:F141,C$2:C141,[PRODUCTS],E$2:E141, "Entree")- SUMIFS(F$2:F141,C$2:C141,[PRODUCTS],E$2:E141,"Sortie"),"")&lt;=0,"STOCK EPUISE",IFERROR(VLOOKUP(Tsuivistock[[#This Row],[PRODUCTS]],Tproduits[],2,0)+ SUMIFS(F$2:F141,C$2:C141,[PRODUCTS],E$2:E141, "Entree")- SUMIFS(F$2:F141,C$2:C141,[PRODUCTS],E$2:E141,"Sortie"),""))</f>
        <v/>
      </c>
    </row>
    <row r="142" spans="1:10">
      <c r="A142" s="171">
        <v>43129</v>
      </c>
      <c r="B142" s="167"/>
      <c r="C142" s="167"/>
      <c r="D142" s="179" t="str">
        <f>IFERROR(VLOOKUP(Tsuivistock[[#This Row],[PRODUCTS]],LISTES!$A$2:$E$107,5,0),"")</f>
        <v/>
      </c>
      <c r="E142" s="167"/>
      <c r="F142" s="168">
        <f>IF(Tsuivistock[[#This Row],[SOLDE]]&lt;FACTURIER!C$20:C160,"",FACTURIER!C$20:C159)</f>
        <v>0</v>
      </c>
      <c r="G142" s="183" t="str">
        <f>IFERROR(VLOOKUP(Tsuivistock[[#This Row],[PRODUCTS]],Tproduits[#All],4,0),"")</f>
        <v/>
      </c>
      <c r="H142" s="169" t="str">
        <f>IFERROR(VLOOKUP(Tsuivistock[[#This Row],[PRODUCTS]],LISTES!A141:D247,4,0),"")</f>
        <v/>
      </c>
      <c r="I142" s="188" t="str">
        <f>IFERROR(Tsuivistock[[#This Row],[QTE]]*Tsuivistock[[#This Row],[P.V]],"")</f>
        <v/>
      </c>
      <c r="J142" s="170" t="str">
        <f>IF(IFERROR(VLOOKUP(Tsuivistock[[#This Row],[PRODUCTS]],Tproduits[],2,0)+ SUMIFS(F$2:F142,C$2:C142,[PRODUCTS],E$2:E142, "Entree")- SUMIFS(F$2:F142,C$2:C142,[PRODUCTS],E$2:E142,"Sortie"),"")&lt;=0,"STOCK EPUISE",IFERROR(VLOOKUP(Tsuivistock[[#This Row],[PRODUCTS]],Tproduits[],2,0)+ SUMIFS(F$2:F142,C$2:C142,[PRODUCTS],E$2:E142, "Entree")- SUMIFS(F$2:F142,C$2:C142,[PRODUCTS],E$2:E142,"Sortie"),""))</f>
        <v/>
      </c>
    </row>
    <row r="143" spans="1:10">
      <c r="A143" s="171">
        <v>43130</v>
      </c>
      <c r="B143" s="167"/>
      <c r="C143" s="167"/>
      <c r="D143" s="179" t="str">
        <f>IFERROR(VLOOKUP(Tsuivistock[[#This Row],[PRODUCTS]],LISTES!$A$2:$E$107,5,0),"")</f>
        <v/>
      </c>
      <c r="E143" s="167"/>
      <c r="F143" s="168">
        <f>IF(Tsuivistock[[#This Row],[SOLDE]]&lt;FACTURIER!C$20:C161,"",FACTURIER!C$20:C160)</f>
        <v>0</v>
      </c>
      <c r="G143" s="183" t="str">
        <f>IFERROR(VLOOKUP(Tsuivistock[[#This Row],[PRODUCTS]],Tproduits[#All],4,0),"")</f>
        <v/>
      </c>
      <c r="H143" s="169" t="str">
        <f>IFERROR(VLOOKUP(Tsuivistock[[#This Row],[PRODUCTS]],LISTES!A142:D248,4,0),"")</f>
        <v/>
      </c>
      <c r="I143" s="188" t="str">
        <f>IFERROR(Tsuivistock[[#This Row],[QTE]]*Tsuivistock[[#This Row],[P.V]],"")</f>
        <v/>
      </c>
      <c r="J143" s="170" t="str">
        <f>IF(IFERROR(VLOOKUP(Tsuivistock[[#This Row],[PRODUCTS]],Tproduits[],2,0)+ SUMIFS(F$2:F143,C$2:C143,[PRODUCTS],E$2:E143, "Entree")- SUMIFS(F$2:F143,C$2:C143,[PRODUCTS],E$2:E143,"Sortie"),"")&lt;=0,"STOCK EPUISE",IFERROR(VLOOKUP(Tsuivistock[[#This Row],[PRODUCTS]],Tproduits[],2,0)+ SUMIFS(F$2:F143,C$2:C143,[PRODUCTS],E$2:E143, "Entree")- SUMIFS(F$2:F143,C$2:C143,[PRODUCTS],E$2:E143,"Sortie"),""))</f>
        <v/>
      </c>
    </row>
    <row r="144" spans="1:10">
      <c r="A144" s="171">
        <v>43131</v>
      </c>
      <c r="B144" s="167"/>
      <c r="C144" s="167"/>
      <c r="D144" s="179" t="str">
        <f>IFERROR(VLOOKUP(Tsuivistock[[#This Row],[PRODUCTS]],LISTES!$A$2:$E$107,5,0),"")</f>
        <v/>
      </c>
      <c r="E144" s="167"/>
      <c r="F144" s="168">
        <f>IF(Tsuivistock[[#This Row],[SOLDE]]&lt;FACTURIER!C$20:C162,"",FACTURIER!C$20:C161)</f>
        <v>0</v>
      </c>
      <c r="G144" s="183" t="str">
        <f>IFERROR(VLOOKUP(Tsuivistock[[#This Row],[PRODUCTS]],Tproduits[#All],4,0),"")</f>
        <v/>
      </c>
      <c r="H144" s="169" t="str">
        <f>IFERROR(VLOOKUP(Tsuivistock[[#This Row],[PRODUCTS]],LISTES!A143:D249,4,0),"")</f>
        <v/>
      </c>
      <c r="I144" s="188" t="str">
        <f>IFERROR(Tsuivistock[[#This Row],[QTE]]*Tsuivistock[[#This Row],[P.V]],"")</f>
        <v/>
      </c>
      <c r="J144" s="170" t="str">
        <f>IF(IFERROR(VLOOKUP(Tsuivistock[[#This Row],[PRODUCTS]],Tproduits[],2,0)+ SUMIFS(F$2:F144,C$2:C144,[PRODUCTS],E$2:E144, "Entree")- SUMIFS(F$2:F144,C$2:C144,[PRODUCTS],E$2:E144,"Sortie"),"")&lt;=0,"STOCK EPUISE",IFERROR(VLOOKUP(Tsuivistock[[#This Row],[PRODUCTS]],Tproduits[],2,0)+ SUMIFS(F$2:F144,C$2:C144,[PRODUCTS],E$2:E144, "Entree")- SUMIFS(F$2:F144,C$2:C144,[PRODUCTS],E$2:E144,"Sortie"),""))</f>
        <v/>
      </c>
    </row>
    <row r="145" spans="1:10">
      <c r="A145" s="171">
        <v>43132</v>
      </c>
      <c r="B145" s="167"/>
      <c r="C145" s="167"/>
      <c r="D145" s="179" t="str">
        <f>IFERROR(VLOOKUP(Tsuivistock[[#This Row],[PRODUCTS]],LISTES!$A$2:$E$107,5,0),"")</f>
        <v/>
      </c>
      <c r="E145" s="167"/>
      <c r="F145" s="168">
        <f>IF(Tsuivistock[[#This Row],[SOLDE]]&lt;FACTURIER!C$20:C163,"",FACTURIER!C$20:C162)</f>
        <v>0</v>
      </c>
      <c r="G145" s="183" t="str">
        <f>IFERROR(VLOOKUP(Tsuivistock[[#This Row],[PRODUCTS]],Tproduits[#All],4,0),"")</f>
        <v/>
      </c>
      <c r="H145" s="169" t="str">
        <f>IFERROR(VLOOKUP(Tsuivistock[[#This Row],[PRODUCTS]],LISTES!A144:D250,4,0),"")</f>
        <v/>
      </c>
      <c r="I145" s="188" t="str">
        <f>IFERROR(Tsuivistock[[#This Row],[QTE]]*Tsuivistock[[#This Row],[P.V]],"")</f>
        <v/>
      </c>
      <c r="J145" s="170" t="str">
        <f>IF(IFERROR(VLOOKUP(Tsuivistock[[#This Row],[PRODUCTS]],Tproduits[],2,0)+ SUMIFS(F$2:F145,C$2:C145,[PRODUCTS],E$2:E145, "Entree")- SUMIFS(F$2:F145,C$2:C145,[PRODUCTS],E$2:E145,"Sortie"),"")&lt;=0,"STOCK EPUISE",IFERROR(VLOOKUP(Tsuivistock[[#This Row],[PRODUCTS]],Tproduits[],2,0)+ SUMIFS(F$2:F145,C$2:C145,[PRODUCTS],E$2:E145, "Entree")- SUMIFS(F$2:F145,C$2:C145,[PRODUCTS],E$2:E145,"Sortie"),""))</f>
        <v/>
      </c>
    </row>
    <row r="146" spans="1:10">
      <c r="A146" s="171">
        <v>43133</v>
      </c>
      <c r="B146" s="167"/>
      <c r="C146" s="167"/>
      <c r="D146" s="179" t="str">
        <f>IFERROR(VLOOKUP(Tsuivistock[[#This Row],[PRODUCTS]],LISTES!$A$2:$E$107,5,0),"")</f>
        <v/>
      </c>
      <c r="E146" s="167"/>
      <c r="F146" s="168">
        <f>IF(Tsuivistock[[#This Row],[SOLDE]]&lt;FACTURIER!C$20:C164,"",FACTURIER!C$20:C163)</f>
        <v>0</v>
      </c>
      <c r="G146" s="183" t="str">
        <f>IFERROR(VLOOKUP(Tsuivistock[[#This Row],[PRODUCTS]],Tproduits[#All],4,0),"")</f>
        <v/>
      </c>
      <c r="H146" s="169" t="str">
        <f>IFERROR(VLOOKUP(Tsuivistock[[#This Row],[PRODUCTS]],LISTES!A145:D251,4,0),"")</f>
        <v/>
      </c>
      <c r="I146" s="188" t="str">
        <f>IFERROR(Tsuivistock[[#This Row],[QTE]]*Tsuivistock[[#This Row],[P.V]],"")</f>
        <v/>
      </c>
      <c r="J146" s="170" t="str">
        <f>IF(IFERROR(VLOOKUP(Tsuivistock[[#This Row],[PRODUCTS]],Tproduits[],2,0)+ SUMIFS(F$2:F146,C$2:C146,[PRODUCTS],E$2:E146, "Entree")- SUMIFS(F$2:F146,C$2:C146,[PRODUCTS],E$2:E146,"Sortie"),"")&lt;=0,"STOCK EPUISE",IFERROR(VLOOKUP(Tsuivistock[[#This Row],[PRODUCTS]],Tproduits[],2,0)+ SUMIFS(F$2:F146,C$2:C146,[PRODUCTS],E$2:E146, "Entree")- SUMIFS(F$2:F146,C$2:C146,[PRODUCTS],E$2:E146,"Sortie"),""))</f>
        <v/>
      </c>
    </row>
    <row r="147" spans="1:10">
      <c r="A147" s="171">
        <v>43134</v>
      </c>
      <c r="B147" s="167"/>
      <c r="C147" s="167"/>
      <c r="D147" s="179" t="str">
        <f>IFERROR(VLOOKUP(Tsuivistock[[#This Row],[PRODUCTS]],LISTES!$A$2:$E$107,5,0),"")</f>
        <v/>
      </c>
      <c r="E147" s="167"/>
      <c r="F147" s="168">
        <f>IF(Tsuivistock[[#This Row],[SOLDE]]&lt;FACTURIER!C$20:C165,"",FACTURIER!C$20:C164)</f>
        <v>0</v>
      </c>
      <c r="G147" s="183" t="str">
        <f>IFERROR(VLOOKUP(Tsuivistock[[#This Row],[PRODUCTS]],Tproduits[#All],4,0),"")</f>
        <v/>
      </c>
      <c r="H147" s="169" t="str">
        <f>IFERROR(VLOOKUP(Tsuivistock[[#This Row],[PRODUCTS]],LISTES!A146:D252,4,0),"")</f>
        <v/>
      </c>
      <c r="I147" s="188" t="str">
        <f>IFERROR(Tsuivistock[[#This Row],[QTE]]*Tsuivistock[[#This Row],[P.V]],"")</f>
        <v/>
      </c>
      <c r="J147" s="170" t="str">
        <f>IF(IFERROR(VLOOKUP(Tsuivistock[[#This Row],[PRODUCTS]],Tproduits[],2,0)+ SUMIFS(F$2:F147,C$2:C147,[PRODUCTS],E$2:E147, "Entree")- SUMIFS(F$2:F147,C$2:C147,[PRODUCTS],E$2:E147,"Sortie"),"")&lt;=0,"STOCK EPUISE",IFERROR(VLOOKUP(Tsuivistock[[#This Row],[PRODUCTS]],Tproduits[],2,0)+ SUMIFS(F$2:F147,C$2:C147,[PRODUCTS],E$2:E147, "Entree")- SUMIFS(F$2:F147,C$2:C147,[PRODUCTS],E$2:E147,"Sortie"),""))</f>
        <v/>
      </c>
    </row>
    <row r="148" spans="1:10">
      <c r="A148" s="171">
        <v>43135</v>
      </c>
      <c r="B148" s="167"/>
      <c r="C148" s="167"/>
      <c r="D148" s="179" t="str">
        <f>IFERROR(VLOOKUP(Tsuivistock[[#This Row],[PRODUCTS]],LISTES!$A$2:$E$107,5,0),"")</f>
        <v/>
      </c>
      <c r="E148" s="167"/>
      <c r="F148" s="168">
        <f>IF(Tsuivistock[[#This Row],[SOLDE]]&lt;FACTURIER!C$20:C166,"",FACTURIER!C$20:C165)</f>
        <v>0</v>
      </c>
      <c r="G148" s="183" t="str">
        <f>IFERROR(VLOOKUP(Tsuivistock[[#This Row],[PRODUCTS]],Tproduits[#All],4,0),"")</f>
        <v/>
      </c>
      <c r="H148" s="169" t="str">
        <f>IFERROR(VLOOKUP(Tsuivistock[[#This Row],[PRODUCTS]],LISTES!A147:D253,4,0),"")</f>
        <v/>
      </c>
      <c r="I148" s="188" t="str">
        <f>IFERROR(Tsuivistock[[#This Row],[QTE]]*Tsuivistock[[#This Row],[P.V]],"")</f>
        <v/>
      </c>
      <c r="J148" s="170" t="str">
        <f>IF(IFERROR(VLOOKUP(Tsuivistock[[#This Row],[PRODUCTS]],Tproduits[],2,0)+ SUMIFS(F$2:F148,C$2:C148,[PRODUCTS],E$2:E148, "Entree")- SUMIFS(F$2:F148,C$2:C148,[PRODUCTS],E$2:E148,"Sortie"),"")&lt;=0,"STOCK EPUISE",IFERROR(VLOOKUP(Tsuivistock[[#This Row],[PRODUCTS]],Tproduits[],2,0)+ SUMIFS(F$2:F148,C$2:C148,[PRODUCTS],E$2:E148, "Entree")- SUMIFS(F$2:F148,C$2:C148,[PRODUCTS],E$2:E148,"Sortie"),""))</f>
        <v/>
      </c>
    </row>
    <row r="149" spans="1:10">
      <c r="A149" s="171">
        <v>43136</v>
      </c>
      <c r="B149" s="167"/>
      <c r="C149" s="167"/>
      <c r="D149" s="179" t="str">
        <f>IFERROR(VLOOKUP(Tsuivistock[[#This Row],[PRODUCTS]],LISTES!$A$2:$E$107,5,0),"")</f>
        <v/>
      </c>
      <c r="E149" s="167"/>
      <c r="F149" s="168">
        <f>IF(Tsuivistock[[#This Row],[SOLDE]]&lt;FACTURIER!C$20:C167,"",FACTURIER!C$20:C166)</f>
        <v>0</v>
      </c>
      <c r="G149" s="183" t="str">
        <f>IFERROR(VLOOKUP(Tsuivistock[[#This Row],[PRODUCTS]],Tproduits[#All],4,0),"")</f>
        <v/>
      </c>
      <c r="H149" s="169" t="str">
        <f>IFERROR(VLOOKUP(Tsuivistock[[#This Row],[PRODUCTS]],LISTES!A148:D254,4,0),"")</f>
        <v/>
      </c>
      <c r="I149" s="188" t="str">
        <f>IFERROR(Tsuivistock[[#This Row],[QTE]]*Tsuivistock[[#This Row],[P.V]],"")</f>
        <v/>
      </c>
      <c r="J149" s="170" t="str">
        <f>IF(IFERROR(VLOOKUP(Tsuivistock[[#This Row],[PRODUCTS]],Tproduits[],2,0)+ SUMIFS(F$2:F149,C$2:C149,[PRODUCTS],E$2:E149, "Entree")- SUMIFS(F$2:F149,C$2:C149,[PRODUCTS],E$2:E149,"Sortie"),"")&lt;=0,"STOCK EPUISE",IFERROR(VLOOKUP(Tsuivistock[[#This Row],[PRODUCTS]],Tproduits[],2,0)+ SUMIFS(F$2:F149,C$2:C149,[PRODUCTS],E$2:E149, "Entree")- SUMIFS(F$2:F149,C$2:C149,[PRODUCTS],E$2:E149,"Sortie"),""))</f>
        <v/>
      </c>
    </row>
    <row r="150" spans="1:10">
      <c r="A150" s="171">
        <v>43137</v>
      </c>
      <c r="B150" s="167"/>
      <c r="C150" s="167"/>
      <c r="D150" s="179" t="str">
        <f>IFERROR(VLOOKUP(Tsuivistock[[#This Row],[PRODUCTS]],LISTES!$A$2:$E$107,5,0),"")</f>
        <v/>
      </c>
      <c r="E150" s="167"/>
      <c r="F150" s="168">
        <f>IF(Tsuivistock[[#This Row],[SOLDE]]&lt;FACTURIER!C$20:C168,"",FACTURIER!C$20:C167)</f>
        <v>0</v>
      </c>
      <c r="G150" s="183" t="str">
        <f>IFERROR(VLOOKUP(Tsuivistock[[#This Row],[PRODUCTS]],Tproduits[#All],4,0),"")</f>
        <v/>
      </c>
      <c r="H150" s="169" t="str">
        <f>IFERROR(VLOOKUP(Tsuivistock[[#This Row],[PRODUCTS]],LISTES!A149:D255,4,0),"")</f>
        <v/>
      </c>
      <c r="I150" s="188" t="str">
        <f>IFERROR(Tsuivistock[[#This Row],[QTE]]*Tsuivistock[[#This Row],[P.V]],"")</f>
        <v/>
      </c>
      <c r="J150" s="170" t="str">
        <f>IF(IFERROR(VLOOKUP(Tsuivistock[[#This Row],[PRODUCTS]],Tproduits[],2,0)+ SUMIFS(F$2:F150,C$2:C150,[PRODUCTS],E$2:E150, "Entree")- SUMIFS(F$2:F150,C$2:C150,[PRODUCTS],E$2:E150,"Sortie"),"")&lt;=0,"STOCK EPUISE",IFERROR(VLOOKUP(Tsuivistock[[#This Row],[PRODUCTS]],Tproduits[],2,0)+ SUMIFS(F$2:F150,C$2:C150,[PRODUCTS],E$2:E150, "Entree")- SUMIFS(F$2:F150,C$2:C150,[PRODUCTS],E$2:E150,"Sortie"),""))</f>
        <v/>
      </c>
    </row>
    <row r="151" spans="1:10">
      <c r="A151" s="171">
        <v>43138</v>
      </c>
      <c r="B151" s="167"/>
      <c r="C151" s="167"/>
      <c r="D151" s="179" t="str">
        <f>IFERROR(VLOOKUP(Tsuivistock[[#This Row],[PRODUCTS]],LISTES!$A$2:$E$107,5,0),"")</f>
        <v/>
      </c>
      <c r="E151" s="167"/>
      <c r="F151" s="168">
        <f>IF(Tsuivistock[[#This Row],[SOLDE]]&lt;FACTURIER!C$20:C169,"",FACTURIER!C$20:C168)</f>
        <v>0</v>
      </c>
      <c r="G151" s="183" t="str">
        <f>IFERROR(VLOOKUP(Tsuivistock[[#This Row],[PRODUCTS]],Tproduits[#All],4,0),"")</f>
        <v/>
      </c>
      <c r="H151" s="169" t="str">
        <f>IFERROR(VLOOKUP(Tsuivistock[[#This Row],[PRODUCTS]],LISTES!A150:D256,4,0),"")</f>
        <v/>
      </c>
      <c r="I151" s="188" t="str">
        <f>IFERROR(Tsuivistock[[#This Row],[QTE]]*Tsuivistock[[#This Row],[P.V]],"")</f>
        <v/>
      </c>
      <c r="J151" s="170" t="str">
        <f>IF(IFERROR(VLOOKUP(Tsuivistock[[#This Row],[PRODUCTS]],Tproduits[],2,0)+ SUMIFS(F$2:F151,C$2:C151,[PRODUCTS],E$2:E151, "Entree")- SUMIFS(F$2:F151,C$2:C151,[PRODUCTS],E$2:E151,"Sortie"),"")&lt;=0,"STOCK EPUISE",IFERROR(VLOOKUP(Tsuivistock[[#This Row],[PRODUCTS]],Tproduits[],2,0)+ SUMIFS(F$2:F151,C$2:C151,[PRODUCTS],E$2:E151, "Entree")- SUMIFS(F$2:F151,C$2:C151,[PRODUCTS],E$2:E151,"Sortie"),""))</f>
        <v/>
      </c>
    </row>
    <row r="152" spans="1:10">
      <c r="A152" s="171">
        <v>43139</v>
      </c>
      <c r="B152" s="167"/>
      <c r="C152" s="167"/>
      <c r="D152" s="179" t="str">
        <f>IFERROR(VLOOKUP(Tsuivistock[[#This Row],[PRODUCTS]],LISTES!$A$2:$E$107,5,0),"")</f>
        <v/>
      </c>
      <c r="E152" s="167"/>
      <c r="F152" s="168">
        <f>IF(Tsuivistock[[#This Row],[SOLDE]]&lt;FACTURIER!C$20:C170,"",FACTURIER!C$20:C169)</f>
        <v>0</v>
      </c>
      <c r="G152" s="183" t="str">
        <f>IFERROR(VLOOKUP(Tsuivistock[[#This Row],[PRODUCTS]],Tproduits[#All],4,0),"")</f>
        <v/>
      </c>
      <c r="H152" s="169" t="str">
        <f>IFERROR(VLOOKUP(Tsuivistock[[#This Row],[PRODUCTS]],LISTES!A151:D257,4,0),"")</f>
        <v/>
      </c>
      <c r="I152" s="188" t="str">
        <f>IFERROR(Tsuivistock[[#This Row],[QTE]]*Tsuivistock[[#This Row],[P.V]],"")</f>
        <v/>
      </c>
      <c r="J152" s="170" t="str">
        <f>IF(IFERROR(VLOOKUP(Tsuivistock[[#This Row],[PRODUCTS]],Tproduits[],2,0)+ SUMIFS(F$2:F152,C$2:C152,[PRODUCTS],E$2:E152, "Entree")- SUMIFS(F$2:F152,C$2:C152,[PRODUCTS],E$2:E152,"Sortie"),"")&lt;=0,"STOCK EPUISE",IFERROR(VLOOKUP(Tsuivistock[[#This Row],[PRODUCTS]],Tproduits[],2,0)+ SUMIFS(F$2:F152,C$2:C152,[PRODUCTS],E$2:E152, "Entree")- SUMIFS(F$2:F152,C$2:C152,[PRODUCTS],E$2:E152,"Sortie"),""))</f>
        <v/>
      </c>
    </row>
    <row r="153" spans="1:10">
      <c r="A153" s="171">
        <v>43140</v>
      </c>
      <c r="B153" s="167"/>
      <c r="C153" s="167"/>
      <c r="D153" s="179" t="str">
        <f>IFERROR(VLOOKUP(Tsuivistock[[#This Row],[PRODUCTS]],LISTES!$A$2:$E$107,5,0),"")</f>
        <v/>
      </c>
      <c r="E153" s="167"/>
      <c r="F153" s="168">
        <f>IF(Tsuivistock[[#This Row],[SOLDE]]&lt;FACTURIER!C$20:C171,"",FACTURIER!C$20:C170)</f>
        <v>0</v>
      </c>
      <c r="G153" s="183" t="str">
        <f>IFERROR(VLOOKUP(Tsuivistock[[#This Row],[PRODUCTS]],Tproduits[#All],4,0),"")</f>
        <v/>
      </c>
      <c r="H153" s="169" t="str">
        <f>IFERROR(VLOOKUP(Tsuivistock[[#This Row],[PRODUCTS]],LISTES!A152:D258,4,0),"")</f>
        <v/>
      </c>
      <c r="I153" s="188" t="str">
        <f>IFERROR(Tsuivistock[[#This Row],[QTE]]*Tsuivistock[[#This Row],[P.V]],"")</f>
        <v/>
      </c>
      <c r="J153" s="170" t="str">
        <f>IF(IFERROR(VLOOKUP(Tsuivistock[[#This Row],[PRODUCTS]],Tproduits[],2,0)+ SUMIFS(F$2:F153,C$2:C153,[PRODUCTS],E$2:E153, "Entree")- SUMIFS(F$2:F153,C$2:C153,[PRODUCTS],E$2:E153,"Sortie"),"")&lt;=0,"STOCK EPUISE",IFERROR(VLOOKUP(Tsuivistock[[#This Row],[PRODUCTS]],Tproduits[],2,0)+ SUMIFS(F$2:F153,C$2:C153,[PRODUCTS],E$2:E153, "Entree")- SUMIFS(F$2:F153,C$2:C153,[PRODUCTS],E$2:E153,"Sortie"),""))</f>
        <v/>
      </c>
    </row>
    <row r="154" spans="1:10">
      <c r="A154" s="171">
        <v>43141</v>
      </c>
      <c r="B154" s="167"/>
      <c r="C154" s="167"/>
      <c r="D154" s="179" t="str">
        <f>IFERROR(VLOOKUP(Tsuivistock[[#This Row],[PRODUCTS]],LISTES!$A$2:$E$107,5,0),"")</f>
        <v/>
      </c>
      <c r="E154" s="167"/>
      <c r="F154" s="168">
        <f>IF(Tsuivistock[[#This Row],[SOLDE]]&lt;FACTURIER!C$20:C172,"",FACTURIER!C$20:C171)</f>
        <v>0</v>
      </c>
      <c r="G154" s="183" t="str">
        <f>IFERROR(VLOOKUP(Tsuivistock[[#This Row],[PRODUCTS]],Tproduits[#All],4,0),"")</f>
        <v/>
      </c>
      <c r="H154" s="169" t="str">
        <f>IFERROR(VLOOKUP(Tsuivistock[[#This Row],[PRODUCTS]],LISTES!A153:D259,4,0),"")</f>
        <v/>
      </c>
      <c r="I154" s="188" t="str">
        <f>IFERROR(Tsuivistock[[#This Row],[QTE]]*Tsuivistock[[#This Row],[P.V]],"")</f>
        <v/>
      </c>
      <c r="J154" s="170" t="str">
        <f>IF(IFERROR(VLOOKUP(Tsuivistock[[#This Row],[PRODUCTS]],Tproduits[],2,0)+ SUMIFS(F$2:F154,C$2:C154,[PRODUCTS],E$2:E154, "Entree")- SUMIFS(F$2:F154,C$2:C154,[PRODUCTS],E$2:E154,"Sortie"),"")&lt;=0,"STOCK EPUISE",IFERROR(VLOOKUP(Tsuivistock[[#This Row],[PRODUCTS]],Tproduits[],2,0)+ SUMIFS(F$2:F154,C$2:C154,[PRODUCTS],E$2:E154, "Entree")- SUMIFS(F$2:F154,C$2:C154,[PRODUCTS],E$2:E154,"Sortie"),""))</f>
        <v/>
      </c>
    </row>
    <row r="155" spans="1:10">
      <c r="A155" s="171">
        <v>43142</v>
      </c>
      <c r="B155" s="167"/>
      <c r="C155" s="167"/>
      <c r="D155" s="179" t="str">
        <f>IFERROR(VLOOKUP(Tsuivistock[[#This Row],[PRODUCTS]],LISTES!$A$2:$E$107,5,0),"")</f>
        <v/>
      </c>
      <c r="E155" s="167"/>
      <c r="F155" s="168">
        <f>IF(Tsuivistock[[#This Row],[SOLDE]]&lt;FACTURIER!C$20:C173,"",FACTURIER!C$20:C172)</f>
        <v>0</v>
      </c>
      <c r="G155" s="183" t="str">
        <f>IFERROR(VLOOKUP(Tsuivistock[[#This Row],[PRODUCTS]],Tproduits[#All],4,0),"")</f>
        <v/>
      </c>
      <c r="H155" s="169" t="str">
        <f>IFERROR(VLOOKUP(Tsuivistock[[#This Row],[PRODUCTS]],LISTES!A154:D260,4,0),"")</f>
        <v/>
      </c>
      <c r="I155" s="188" t="str">
        <f>IFERROR(Tsuivistock[[#This Row],[QTE]]*Tsuivistock[[#This Row],[P.V]],"")</f>
        <v/>
      </c>
      <c r="J155" s="170" t="str">
        <f>IF(IFERROR(VLOOKUP(Tsuivistock[[#This Row],[PRODUCTS]],Tproduits[],2,0)+ SUMIFS(F$2:F155,C$2:C155,[PRODUCTS],E$2:E155, "Entree")- SUMIFS(F$2:F155,C$2:C155,[PRODUCTS],E$2:E155,"Sortie"),"")&lt;=0,"STOCK EPUISE",IFERROR(VLOOKUP(Tsuivistock[[#This Row],[PRODUCTS]],Tproduits[],2,0)+ SUMIFS(F$2:F155,C$2:C155,[PRODUCTS],E$2:E155, "Entree")- SUMIFS(F$2:F155,C$2:C155,[PRODUCTS],E$2:E155,"Sortie"),""))</f>
        <v/>
      </c>
    </row>
    <row r="156" spans="1:10">
      <c r="A156" s="171">
        <v>43143</v>
      </c>
      <c r="B156" s="167"/>
      <c r="C156" s="167"/>
      <c r="D156" s="179" t="str">
        <f>IFERROR(VLOOKUP(Tsuivistock[[#This Row],[PRODUCTS]],LISTES!$A$2:$E$107,5,0),"")</f>
        <v/>
      </c>
      <c r="E156" s="167"/>
      <c r="F156" s="168">
        <f>IF(Tsuivistock[[#This Row],[SOLDE]]&lt;FACTURIER!C$20:C174,"",FACTURIER!C$20:C173)</f>
        <v>0</v>
      </c>
      <c r="G156" s="183" t="str">
        <f>IFERROR(VLOOKUP(Tsuivistock[[#This Row],[PRODUCTS]],Tproduits[#All],4,0),"")</f>
        <v/>
      </c>
      <c r="H156" s="169" t="str">
        <f>IFERROR(VLOOKUP(Tsuivistock[[#This Row],[PRODUCTS]],LISTES!A155:D261,4,0),"")</f>
        <v/>
      </c>
      <c r="I156" s="188" t="str">
        <f>IFERROR(Tsuivistock[[#This Row],[QTE]]*Tsuivistock[[#This Row],[P.V]],"")</f>
        <v/>
      </c>
      <c r="J156" s="170" t="str">
        <f>IF(IFERROR(VLOOKUP(Tsuivistock[[#This Row],[PRODUCTS]],Tproduits[],2,0)+ SUMIFS(F$2:F156,C$2:C156,[PRODUCTS],E$2:E156, "Entree")- SUMIFS(F$2:F156,C$2:C156,[PRODUCTS],E$2:E156,"Sortie"),"")&lt;=0,"STOCK EPUISE",IFERROR(VLOOKUP(Tsuivistock[[#This Row],[PRODUCTS]],Tproduits[],2,0)+ SUMIFS(F$2:F156,C$2:C156,[PRODUCTS],E$2:E156, "Entree")- SUMIFS(F$2:F156,C$2:C156,[PRODUCTS],E$2:E156,"Sortie"),""))</f>
        <v/>
      </c>
    </row>
    <row r="157" spans="1:10">
      <c r="A157" s="171">
        <v>43144</v>
      </c>
      <c r="B157" s="167"/>
      <c r="C157" s="167"/>
      <c r="D157" s="179" t="str">
        <f>IFERROR(VLOOKUP(Tsuivistock[[#This Row],[PRODUCTS]],LISTES!$A$2:$E$107,5,0),"")</f>
        <v/>
      </c>
      <c r="E157" s="167"/>
      <c r="F157" s="168">
        <f>IF(Tsuivistock[[#This Row],[SOLDE]]&lt;FACTURIER!C$20:C175,"",FACTURIER!C$20:C174)</f>
        <v>0</v>
      </c>
      <c r="G157" s="183" t="str">
        <f>IFERROR(VLOOKUP(Tsuivistock[[#This Row],[PRODUCTS]],Tproduits[#All],4,0),"")</f>
        <v/>
      </c>
      <c r="H157" s="169" t="str">
        <f>IFERROR(VLOOKUP(Tsuivistock[[#This Row],[PRODUCTS]],LISTES!A156:D262,4,0),"")</f>
        <v/>
      </c>
      <c r="I157" s="188" t="str">
        <f>IFERROR(Tsuivistock[[#This Row],[QTE]]*Tsuivistock[[#This Row],[P.V]],"")</f>
        <v/>
      </c>
      <c r="J157" s="170" t="str">
        <f>IF(IFERROR(VLOOKUP(Tsuivistock[[#This Row],[PRODUCTS]],Tproduits[],2,0)+ SUMIFS(F$2:F157,C$2:C157,[PRODUCTS],E$2:E157, "Entree")- SUMIFS(F$2:F157,C$2:C157,[PRODUCTS],E$2:E157,"Sortie"),"")&lt;=0,"STOCK EPUISE",IFERROR(VLOOKUP(Tsuivistock[[#This Row],[PRODUCTS]],Tproduits[],2,0)+ SUMIFS(F$2:F157,C$2:C157,[PRODUCTS],E$2:E157, "Entree")- SUMIFS(F$2:F157,C$2:C157,[PRODUCTS],E$2:E157,"Sortie"),""))</f>
        <v/>
      </c>
    </row>
    <row r="158" spans="1:10">
      <c r="A158" s="171">
        <v>43145</v>
      </c>
      <c r="B158" s="167"/>
      <c r="C158" s="167"/>
      <c r="D158" s="179" t="str">
        <f>IFERROR(VLOOKUP(Tsuivistock[[#This Row],[PRODUCTS]],LISTES!$A$2:$E$107,5,0),"")</f>
        <v/>
      </c>
      <c r="E158" s="167"/>
      <c r="F158" s="168">
        <f>IF(Tsuivistock[[#This Row],[SOLDE]]&lt;FACTURIER!C$20:C176,"",FACTURIER!C$20:C175)</f>
        <v>0</v>
      </c>
      <c r="G158" s="183" t="str">
        <f>IFERROR(VLOOKUP(Tsuivistock[[#This Row],[PRODUCTS]],Tproduits[#All],4,0),"")</f>
        <v/>
      </c>
      <c r="H158" s="169" t="str">
        <f>IFERROR(VLOOKUP(Tsuivistock[[#This Row],[PRODUCTS]],LISTES!A157:D263,4,0),"")</f>
        <v/>
      </c>
      <c r="I158" s="188" t="str">
        <f>IFERROR(Tsuivistock[[#This Row],[QTE]]*Tsuivistock[[#This Row],[P.V]],"")</f>
        <v/>
      </c>
      <c r="J158" s="170" t="str">
        <f>IF(IFERROR(VLOOKUP(Tsuivistock[[#This Row],[PRODUCTS]],Tproduits[],2,0)+ SUMIFS(F$2:F158,C$2:C158,[PRODUCTS],E$2:E158, "Entree")- SUMIFS(F$2:F158,C$2:C158,[PRODUCTS],E$2:E158,"Sortie"),"")&lt;=0,"STOCK EPUISE",IFERROR(VLOOKUP(Tsuivistock[[#This Row],[PRODUCTS]],Tproduits[],2,0)+ SUMIFS(F$2:F158,C$2:C158,[PRODUCTS],E$2:E158, "Entree")- SUMIFS(F$2:F158,C$2:C158,[PRODUCTS],E$2:E158,"Sortie"),""))</f>
        <v/>
      </c>
    </row>
    <row r="159" spans="1:10">
      <c r="A159" s="171">
        <v>43146</v>
      </c>
      <c r="B159" s="167"/>
      <c r="C159" s="167"/>
      <c r="D159" s="179" t="str">
        <f>IFERROR(VLOOKUP(Tsuivistock[[#This Row],[PRODUCTS]],LISTES!$A$2:$E$107,5,0),"")</f>
        <v/>
      </c>
      <c r="E159" s="167"/>
      <c r="F159" s="168">
        <f>IF(Tsuivistock[[#This Row],[SOLDE]]&lt;FACTURIER!C$20:C177,"",FACTURIER!C$20:C176)</f>
        <v>0</v>
      </c>
      <c r="G159" s="183" t="str">
        <f>IFERROR(VLOOKUP(Tsuivistock[[#This Row],[PRODUCTS]],Tproduits[#All],4,0),"")</f>
        <v/>
      </c>
      <c r="H159" s="169" t="str">
        <f>IFERROR(VLOOKUP(Tsuivistock[[#This Row],[PRODUCTS]],LISTES!A158:D264,4,0),"")</f>
        <v/>
      </c>
      <c r="I159" s="188" t="str">
        <f>IFERROR(Tsuivistock[[#This Row],[QTE]]*Tsuivistock[[#This Row],[P.V]],"")</f>
        <v/>
      </c>
      <c r="J159" s="170" t="str">
        <f>IF(IFERROR(VLOOKUP(Tsuivistock[[#This Row],[PRODUCTS]],Tproduits[],2,0)+ SUMIFS(F$2:F159,C$2:C159,[PRODUCTS],E$2:E159, "Entree")- SUMIFS(F$2:F159,C$2:C159,[PRODUCTS],E$2:E159,"Sortie"),"")&lt;=0,"STOCK EPUISE",IFERROR(VLOOKUP(Tsuivistock[[#This Row],[PRODUCTS]],Tproduits[],2,0)+ SUMIFS(F$2:F159,C$2:C159,[PRODUCTS],E$2:E159, "Entree")- SUMIFS(F$2:F159,C$2:C159,[PRODUCTS],E$2:E159,"Sortie"),""))</f>
        <v/>
      </c>
    </row>
    <row r="160" spans="1:10">
      <c r="A160" s="171">
        <v>43147</v>
      </c>
      <c r="B160" s="167"/>
      <c r="C160" s="167"/>
      <c r="D160" s="179" t="str">
        <f>IFERROR(VLOOKUP(Tsuivistock[[#This Row],[PRODUCTS]],LISTES!$A$2:$E$107,5,0),"")</f>
        <v/>
      </c>
      <c r="E160" s="167"/>
      <c r="F160" s="168">
        <f>IF(Tsuivistock[[#This Row],[SOLDE]]&lt;FACTURIER!C$20:C178,"",FACTURIER!C$20:C177)</f>
        <v>0</v>
      </c>
      <c r="G160" s="183" t="str">
        <f>IFERROR(VLOOKUP(Tsuivistock[[#This Row],[PRODUCTS]],Tproduits[#All],4,0),"")</f>
        <v/>
      </c>
      <c r="H160" s="169" t="str">
        <f>IFERROR(VLOOKUP(Tsuivistock[[#This Row],[PRODUCTS]],LISTES!A159:D265,4,0),"")</f>
        <v/>
      </c>
      <c r="I160" s="188" t="str">
        <f>IFERROR(Tsuivistock[[#This Row],[QTE]]*Tsuivistock[[#This Row],[P.V]],"")</f>
        <v/>
      </c>
      <c r="J160" s="170" t="str">
        <f>IF(IFERROR(VLOOKUP(Tsuivistock[[#This Row],[PRODUCTS]],Tproduits[],2,0)+ SUMIFS(F$2:F160,C$2:C160,[PRODUCTS],E$2:E160, "Entree")- SUMIFS(F$2:F160,C$2:C160,[PRODUCTS],E$2:E160,"Sortie"),"")&lt;=0,"STOCK EPUISE",IFERROR(VLOOKUP(Tsuivistock[[#This Row],[PRODUCTS]],Tproduits[],2,0)+ SUMIFS(F$2:F160,C$2:C160,[PRODUCTS],E$2:E160, "Entree")- SUMIFS(F$2:F160,C$2:C160,[PRODUCTS],E$2:E160,"Sortie"),""))</f>
        <v/>
      </c>
    </row>
    <row r="161" spans="1:10">
      <c r="A161" s="171">
        <v>43148</v>
      </c>
      <c r="B161" s="167"/>
      <c r="C161" s="167"/>
      <c r="D161" s="179" t="str">
        <f>IFERROR(VLOOKUP(Tsuivistock[[#This Row],[PRODUCTS]],LISTES!$A$2:$E$107,5,0),"")</f>
        <v/>
      </c>
      <c r="E161" s="167"/>
      <c r="F161" s="168">
        <f>IF(Tsuivistock[[#This Row],[SOLDE]]&lt;FACTURIER!C$20:C179,"",FACTURIER!C$20:C178)</f>
        <v>0</v>
      </c>
      <c r="G161" s="183" t="str">
        <f>IFERROR(VLOOKUP(Tsuivistock[[#This Row],[PRODUCTS]],Tproduits[#All],4,0),"")</f>
        <v/>
      </c>
      <c r="H161" s="169" t="str">
        <f>IFERROR(VLOOKUP(Tsuivistock[[#This Row],[PRODUCTS]],LISTES!A160:D266,4,0),"")</f>
        <v/>
      </c>
      <c r="I161" s="188" t="str">
        <f>IFERROR(Tsuivistock[[#This Row],[QTE]]*Tsuivistock[[#This Row],[P.V]],"")</f>
        <v/>
      </c>
      <c r="J161" s="170" t="str">
        <f>IF(IFERROR(VLOOKUP(Tsuivistock[[#This Row],[PRODUCTS]],Tproduits[],2,0)+ SUMIFS(F$2:F161,C$2:C161,[PRODUCTS],E$2:E161, "Entree")- SUMIFS(F$2:F161,C$2:C161,[PRODUCTS],E$2:E161,"Sortie"),"")&lt;=0,"STOCK EPUISE",IFERROR(VLOOKUP(Tsuivistock[[#This Row],[PRODUCTS]],Tproduits[],2,0)+ SUMIFS(F$2:F161,C$2:C161,[PRODUCTS],E$2:E161, "Entree")- SUMIFS(F$2:F161,C$2:C161,[PRODUCTS],E$2:E161,"Sortie"),""))</f>
        <v/>
      </c>
    </row>
    <row r="162" spans="1:10">
      <c r="A162" s="171">
        <v>43149</v>
      </c>
      <c r="B162" s="167"/>
      <c r="C162" s="167"/>
      <c r="D162" s="179" t="str">
        <f>IFERROR(VLOOKUP(Tsuivistock[[#This Row],[PRODUCTS]],LISTES!$A$2:$E$107,5,0),"")</f>
        <v/>
      </c>
      <c r="E162" s="167"/>
      <c r="F162" s="168">
        <f>IF(Tsuivistock[[#This Row],[SOLDE]]&lt;FACTURIER!C$20:C180,"",FACTURIER!C$20:C179)</f>
        <v>0</v>
      </c>
      <c r="G162" s="183" t="str">
        <f>IFERROR(VLOOKUP(Tsuivistock[[#This Row],[PRODUCTS]],Tproduits[#All],4,0),"")</f>
        <v/>
      </c>
      <c r="H162" s="169" t="str">
        <f>IFERROR(VLOOKUP(Tsuivistock[[#This Row],[PRODUCTS]],LISTES!A161:D267,4,0),"")</f>
        <v/>
      </c>
      <c r="I162" s="188" t="str">
        <f>IFERROR(Tsuivistock[[#This Row],[QTE]]*Tsuivistock[[#This Row],[P.V]],"")</f>
        <v/>
      </c>
      <c r="J162" s="170" t="str">
        <f>IF(IFERROR(VLOOKUP(Tsuivistock[[#This Row],[PRODUCTS]],Tproduits[],2,0)+ SUMIFS(F$2:F162,C$2:C162,[PRODUCTS],E$2:E162, "Entree")- SUMIFS(F$2:F162,C$2:C162,[PRODUCTS],E$2:E162,"Sortie"),"")&lt;=0,"STOCK EPUISE",IFERROR(VLOOKUP(Tsuivistock[[#This Row],[PRODUCTS]],Tproduits[],2,0)+ SUMIFS(F$2:F162,C$2:C162,[PRODUCTS],E$2:E162, "Entree")- SUMIFS(F$2:F162,C$2:C162,[PRODUCTS],E$2:E162,"Sortie"),""))</f>
        <v/>
      </c>
    </row>
    <row r="163" spans="1:10">
      <c r="A163" s="171">
        <v>43150</v>
      </c>
      <c r="B163" s="167"/>
      <c r="C163" s="167"/>
      <c r="D163" s="179" t="str">
        <f>IFERROR(VLOOKUP(Tsuivistock[[#This Row],[PRODUCTS]],LISTES!$A$2:$E$107,5,0),"")</f>
        <v/>
      </c>
      <c r="E163" s="167"/>
      <c r="F163" s="168">
        <f>IF(Tsuivistock[[#This Row],[SOLDE]]&lt;FACTURIER!C$20:C181,"",FACTURIER!C$20:C180)</f>
        <v>0</v>
      </c>
      <c r="G163" s="183" t="str">
        <f>IFERROR(VLOOKUP(Tsuivistock[[#This Row],[PRODUCTS]],Tproduits[#All],4,0),"")</f>
        <v/>
      </c>
      <c r="H163" s="169" t="str">
        <f>IFERROR(VLOOKUP(Tsuivistock[[#This Row],[PRODUCTS]],LISTES!A162:D268,4,0),"")</f>
        <v/>
      </c>
      <c r="I163" s="188" t="str">
        <f>IFERROR(Tsuivistock[[#This Row],[QTE]]*Tsuivistock[[#This Row],[P.V]],"")</f>
        <v/>
      </c>
      <c r="J163" s="170" t="str">
        <f>IF(IFERROR(VLOOKUP(Tsuivistock[[#This Row],[PRODUCTS]],Tproduits[],2,0)+ SUMIFS(F$2:F163,C$2:C163,[PRODUCTS],E$2:E163, "Entree")- SUMIFS(F$2:F163,C$2:C163,[PRODUCTS],E$2:E163,"Sortie"),"")&lt;=0,"STOCK EPUISE",IFERROR(VLOOKUP(Tsuivistock[[#This Row],[PRODUCTS]],Tproduits[],2,0)+ SUMIFS(F$2:F163,C$2:C163,[PRODUCTS],E$2:E163, "Entree")- SUMIFS(F$2:F163,C$2:C163,[PRODUCTS],E$2:E163,"Sortie"),""))</f>
        <v/>
      </c>
    </row>
  </sheetData>
  <sheetProtection selectLockedCells="1"/>
  <conditionalFormatting sqref="A2:J163">
    <cfRule type="expression" dxfId="25" priority="6" stopIfTrue="1">
      <formula>$J2="STOCK EPUISE"</formula>
    </cfRule>
    <cfRule type="expression" dxfId="24" priority="7" stopIfTrue="1">
      <formula>$J2&lt;=0</formula>
    </cfRule>
    <cfRule type="expression" dxfId="23" priority="8" stopIfTrue="1">
      <formula>$J2&lt;=#REF!</formula>
    </cfRule>
  </conditionalFormatting>
  <dataValidations count="5">
    <dataValidation type="list" allowBlank="1" showInputMessage="1" showErrorMessage="1" sqref="C2:C163">
      <formula1>Mesproduits</formula1>
    </dataValidation>
    <dataValidation type="list" allowBlank="1" showInputMessage="1" showErrorMessage="1" sqref="E2:E163">
      <formula1>Mesmouvements</formula1>
    </dataValidation>
    <dataValidation type="list" allowBlank="1" showInputMessage="1" showErrorMessage="1" sqref="B2:B163">
      <formula1>Nomclient</formula1>
    </dataValidation>
    <dataValidation type="whole" operator="greaterThan" allowBlank="1" showInputMessage="1" showErrorMessage="1" sqref="F1:F1048576">
      <formula1>0</formula1>
    </dataValidation>
    <dataValidation type="date" operator="greaterThan" allowBlank="1" showInputMessage="1" showErrorMessage="1" sqref="A2">
      <formula1>42917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I79"/>
  <sheetViews>
    <sheetView workbookViewId="0">
      <selection sqref="A1:H1048576"/>
    </sheetView>
  </sheetViews>
  <sheetFormatPr baseColWidth="10" defaultRowHeight="15"/>
  <cols>
    <col min="1" max="1" width="10.7109375" style="113" bestFit="1" customWidth="1"/>
    <col min="2" max="2" width="8.85546875" style="113" bestFit="1" customWidth="1"/>
    <col min="3" max="3" width="13.5703125" style="113" bestFit="1" customWidth="1"/>
    <col min="4" max="4" width="15.140625" style="113" bestFit="1" customWidth="1"/>
    <col min="5" max="5" width="13.140625" style="113" bestFit="1" customWidth="1"/>
    <col min="6" max="6" width="17" style="113" bestFit="1" customWidth="1"/>
    <col min="7" max="8" width="11.7109375" style="113" bestFit="1" customWidth="1"/>
    <col min="9" max="9" width="18" style="115" customWidth="1"/>
  </cols>
  <sheetData>
    <row r="1" spans="1:8">
      <c r="A1" s="111" t="s">
        <v>2</v>
      </c>
      <c r="B1" s="111" t="s">
        <v>180</v>
      </c>
      <c r="C1" s="111" t="s">
        <v>191</v>
      </c>
      <c r="D1" s="111" t="s">
        <v>192</v>
      </c>
      <c r="E1" s="111" t="s">
        <v>181</v>
      </c>
      <c r="F1" s="111" t="s">
        <v>193</v>
      </c>
      <c r="G1" s="111" t="s">
        <v>189</v>
      </c>
      <c r="H1" s="111" t="s">
        <v>116</v>
      </c>
    </row>
    <row r="2" spans="1:8">
      <c r="A2" s="158">
        <v>43113.022637731483</v>
      </c>
      <c r="B2" s="159">
        <v>43113.0226400463</v>
      </c>
      <c r="C2" s="111" t="s">
        <v>258</v>
      </c>
      <c r="D2" s="111" t="s">
        <v>194</v>
      </c>
      <c r="E2" s="111">
        <v>695856110</v>
      </c>
      <c r="F2" s="160">
        <v>540000</v>
      </c>
      <c r="G2" s="160">
        <v>500000</v>
      </c>
      <c r="H2" s="160">
        <v>40000</v>
      </c>
    </row>
    <row r="3" spans="1:8">
      <c r="A3" s="158">
        <v>43029.621451967592</v>
      </c>
      <c r="B3" s="159">
        <v>43029.621453356478</v>
      </c>
      <c r="C3" s="111" t="s">
        <v>252</v>
      </c>
      <c r="D3" s="111" t="s">
        <v>194</v>
      </c>
      <c r="E3" s="111">
        <v>695856110</v>
      </c>
      <c r="F3" s="160">
        <v>540000</v>
      </c>
      <c r="G3" s="160">
        <v>500000</v>
      </c>
      <c r="H3" s="160">
        <v>40000</v>
      </c>
    </row>
    <row r="4" spans="1:8">
      <c r="A4" s="158">
        <v>43028.708872569441</v>
      </c>
      <c r="B4" s="159">
        <v>43028.708874768519</v>
      </c>
      <c r="C4" s="111" t="s">
        <v>251</v>
      </c>
      <c r="D4" s="111" t="s">
        <v>194</v>
      </c>
      <c r="E4" s="111">
        <v>695856110</v>
      </c>
      <c r="F4" s="160">
        <v>540000</v>
      </c>
      <c r="G4" s="160">
        <v>500000</v>
      </c>
      <c r="H4" s="160">
        <v>40000</v>
      </c>
    </row>
    <row r="5" spans="1:8">
      <c r="A5" s="158">
        <v>43028.708806944443</v>
      </c>
      <c r="B5" s="159">
        <v>43028.708809837961</v>
      </c>
      <c r="C5" s="111" t="s">
        <v>250</v>
      </c>
      <c r="D5" s="111" t="s">
        <v>194</v>
      </c>
      <c r="E5" s="111">
        <v>695856110</v>
      </c>
      <c r="F5" s="160">
        <v>540000</v>
      </c>
      <c r="G5" s="160">
        <v>500000</v>
      </c>
      <c r="H5" s="160">
        <v>40000</v>
      </c>
    </row>
    <row r="6" spans="1:8">
      <c r="A6" s="158">
        <v>43028.70872696759</v>
      </c>
      <c r="B6" s="159">
        <v>43028.708730439816</v>
      </c>
      <c r="C6" s="111" t="s">
        <v>249</v>
      </c>
      <c r="D6" s="111" t="s">
        <v>194</v>
      </c>
      <c r="E6" s="111">
        <v>695856110</v>
      </c>
      <c r="F6" s="160">
        <v>540000</v>
      </c>
      <c r="G6" s="160">
        <v>500000</v>
      </c>
      <c r="H6" s="160">
        <v>40000</v>
      </c>
    </row>
    <row r="7" spans="1:8">
      <c r="A7" s="158">
        <v>43028.694046296296</v>
      </c>
      <c r="B7" s="159">
        <v>43028.694048148151</v>
      </c>
      <c r="C7" s="111" t="s">
        <v>248</v>
      </c>
      <c r="D7" s="111" t="s">
        <v>194</v>
      </c>
      <c r="E7" s="111">
        <v>695856110</v>
      </c>
      <c r="F7" s="160">
        <v>540000</v>
      </c>
      <c r="G7" s="160">
        <v>500000</v>
      </c>
      <c r="H7" s="160">
        <v>40000</v>
      </c>
    </row>
    <row r="8" spans="1:8">
      <c r="A8" s="158">
        <v>43015.957442824074</v>
      </c>
      <c r="B8" s="159">
        <v>43015.957444560183</v>
      </c>
      <c r="C8" s="111" t="s">
        <v>246</v>
      </c>
      <c r="D8" s="111" t="s">
        <v>194</v>
      </c>
      <c r="E8" s="111">
        <v>695856110</v>
      </c>
      <c r="F8" s="160">
        <v>540000</v>
      </c>
      <c r="G8" s="160">
        <v>500000</v>
      </c>
      <c r="H8" s="160">
        <v>40000</v>
      </c>
    </row>
    <row r="9" spans="1:8">
      <c r="A9" s="158">
        <v>43015.957383680558</v>
      </c>
      <c r="B9" s="159">
        <v>43015.957384953705</v>
      </c>
      <c r="C9" s="111" t="s">
        <v>245</v>
      </c>
      <c r="D9" s="111" t="s">
        <v>194</v>
      </c>
      <c r="E9" s="111">
        <v>695856110</v>
      </c>
      <c r="F9" s="160">
        <v>540000</v>
      </c>
      <c r="G9" s="160">
        <v>500000</v>
      </c>
      <c r="H9" s="160">
        <v>40000</v>
      </c>
    </row>
    <row r="10" spans="1:8">
      <c r="A10" s="158">
        <v>43015.957321064816</v>
      </c>
      <c r="B10" s="159">
        <v>43015.957322569448</v>
      </c>
      <c r="C10" s="111" t="s">
        <v>244</v>
      </c>
      <c r="D10" s="111" t="s">
        <v>194</v>
      </c>
      <c r="E10" s="111">
        <v>695856110</v>
      </c>
      <c r="F10" s="160">
        <v>540000</v>
      </c>
      <c r="G10" s="160">
        <v>500000</v>
      </c>
      <c r="H10" s="160">
        <v>40000</v>
      </c>
    </row>
    <row r="11" spans="1:8">
      <c r="A11" s="158">
        <v>43015.957220717595</v>
      </c>
      <c r="B11" s="159">
        <v>43015.957222916666</v>
      </c>
      <c r="C11" s="111" t="s">
        <v>243</v>
      </c>
      <c r="D11" s="111" t="s">
        <v>194</v>
      </c>
      <c r="E11" s="111">
        <v>695856110</v>
      </c>
      <c r="F11" s="160">
        <v>540000</v>
      </c>
      <c r="G11" s="160">
        <v>500000</v>
      </c>
      <c r="H11" s="160">
        <v>40000</v>
      </c>
    </row>
    <row r="12" spans="1:8">
      <c r="A12" s="158">
        <v>43015.957144791668</v>
      </c>
      <c r="B12" s="159">
        <v>43015.957146759261</v>
      </c>
      <c r="C12" s="111" t="s">
        <v>242</v>
      </c>
      <c r="D12" s="111" t="s">
        <v>194</v>
      </c>
      <c r="E12" s="111">
        <v>695856110</v>
      </c>
      <c r="F12" s="160">
        <v>540000</v>
      </c>
      <c r="G12" s="160">
        <v>500000</v>
      </c>
      <c r="H12" s="160">
        <v>40000</v>
      </c>
    </row>
    <row r="13" spans="1:8">
      <c r="A13" s="158">
        <v>43015.957057754633</v>
      </c>
      <c r="B13" s="159">
        <v>43015.957059259257</v>
      </c>
      <c r="C13" s="111" t="s">
        <v>241</v>
      </c>
      <c r="D13" s="111" t="s">
        <v>194</v>
      </c>
      <c r="E13" s="111">
        <v>695856110</v>
      </c>
      <c r="F13" s="160">
        <v>540000</v>
      </c>
      <c r="G13" s="160">
        <v>500000</v>
      </c>
      <c r="H13" s="160">
        <v>40000</v>
      </c>
    </row>
    <row r="14" spans="1:8">
      <c r="A14" s="158">
        <v>43015.956951273147</v>
      </c>
      <c r="B14" s="159">
        <v>43015.956954166664</v>
      </c>
      <c r="C14" s="111" t="s">
        <v>240</v>
      </c>
      <c r="D14" s="111" t="s">
        <v>194</v>
      </c>
      <c r="E14" s="111">
        <v>695856110</v>
      </c>
      <c r="F14" s="160">
        <v>540000</v>
      </c>
      <c r="G14" s="160">
        <v>500000</v>
      </c>
      <c r="H14" s="160">
        <v>40000</v>
      </c>
    </row>
    <row r="15" spans="1:8">
      <c r="A15" s="158">
        <v>43015.956839004626</v>
      </c>
      <c r="B15" s="159">
        <v>43015.956840624996</v>
      </c>
      <c r="C15" s="111" t="s">
        <v>239</v>
      </c>
      <c r="D15" s="111" t="s">
        <v>194</v>
      </c>
      <c r="E15" s="111">
        <v>695856110</v>
      </c>
      <c r="F15" s="160">
        <v>540000</v>
      </c>
      <c r="G15" s="160">
        <v>500000</v>
      </c>
      <c r="H15" s="160">
        <v>40000</v>
      </c>
    </row>
    <row r="16" spans="1:8">
      <c r="A16" s="158">
        <v>43015.956398032409</v>
      </c>
      <c r="B16" s="159">
        <v>43015.956401620373</v>
      </c>
      <c r="C16" s="111" t="s">
        <v>238</v>
      </c>
      <c r="D16" s="111" t="s">
        <v>194</v>
      </c>
      <c r="E16" s="111">
        <v>695856110</v>
      </c>
      <c r="F16" s="160">
        <v>540000</v>
      </c>
      <c r="G16" s="160">
        <v>500000</v>
      </c>
      <c r="H16" s="160">
        <v>40000</v>
      </c>
    </row>
    <row r="17" spans="1:8">
      <c r="A17" s="158">
        <v>43011.550909375001</v>
      </c>
      <c r="B17" s="159">
        <v>43011.550910648148</v>
      </c>
      <c r="C17" s="111" t="s">
        <v>237</v>
      </c>
      <c r="D17" s="111" t="s">
        <v>194</v>
      </c>
      <c r="E17" s="111">
        <v>695856110</v>
      </c>
      <c r="F17" s="160">
        <v>1700000</v>
      </c>
      <c r="G17" s="160">
        <v>500000</v>
      </c>
      <c r="H17" s="160">
        <v>1200000</v>
      </c>
    </row>
    <row r="18" spans="1:8">
      <c r="A18" s="158">
        <v>43011.490693518521</v>
      </c>
      <c r="B18" s="159">
        <v>43011.490698148147</v>
      </c>
      <c r="C18" s="111" t="s">
        <v>237</v>
      </c>
      <c r="D18" s="111" t="s">
        <v>194</v>
      </c>
      <c r="E18" s="111">
        <v>695856110</v>
      </c>
      <c r="F18" s="160">
        <v>1700000</v>
      </c>
      <c r="G18" s="160">
        <v>500000</v>
      </c>
      <c r="H18" s="160">
        <v>1200000</v>
      </c>
    </row>
    <row r="19" spans="1:8">
      <c r="A19" s="158">
        <v>43011.37051666667</v>
      </c>
      <c r="B19" s="159">
        <v>43011.370519328702</v>
      </c>
      <c r="C19" s="111" t="s">
        <v>233</v>
      </c>
      <c r="D19" s="111" t="s">
        <v>194</v>
      </c>
      <c r="E19" s="111">
        <v>695856110</v>
      </c>
      <c r="F19" s="160">
        <v>1700000</v>
      </c>
      <c r="G19" s="160">
        <v>500000</v>
      </c>
      <c r="H19" s="160">
        <v>1200000</v>
      </c>
    </row>
    <row r="20" spans="1:8">
      <c r="A20" s="158">
        <v>43011.370441550927</v>
      </c>
      <c r="B20" s="159">
        <v>43011.370443171298</v>
      </c>
      <c r="C20" s="111" t="s">
        <v>232</v>
      </c>
      <c r="D20" s="111" t="s">
        <v>194</v>
      </c>
      <c r="E20" s="111">
        <v>695856110</v>
      </c>
      <c r="F20" s="160">
        <v>1700000</v>
      </c>
      <c r="G20" s="160">
        <v>500000</v>
      </c>
      <c r="H20" s="160">
        <v>1200000</v>
      </c>
    </row>
    <row r="21" spans="1:8">
      <c r="A21" s="158">
        <v>43011.370224537037</v>
      </c>
      <c r="B21" s="159">
        <v>43011.370227314816</v>
      </c>
      <c r="C21" s="111" t="s">
        <v>231</v>
      </c>
      <c r="D21" s="111" t="s">
        <v>194</v>
      </c>
      <c r="E21" s="111">
        <v>695856110</v>
      </c>
      <c r="F21" s="160">
        <v>1700000</v>
      </c>
      <c r="G21" s="160">
        <v>500000</v>
      </c>
      <c r="H21" s="160">
        <v>1200000</v>
      </c>
    </row>
    <row r="22" spans="1:8">
      <c r="A22" s="158">
        <v>43011.369462268522</v>
      </c>
      <c r="B22" s="159">
        <v>43011.369465393516</v>
      </c>
      <c r="C22" s="111" t="s">
        <v>230</v>
      </c>
      <c r="D22" s="111" t="s">
        <v>194</v>
      </c>
      <c r="E22" s="111">
        <v>695856110</v>
      </c>
      <c r="F22" s="160">
        <v>1700000</v>
      </c>
      <c r="G22" s="160">
        <v>500000</v>
      </c>
      <c r="H22" s="160">
        <v>1200000</v>
      </c>
    </row>
    <row r="23" spans="1:8">
      <c r="A23" s="158">
        <v>43011.369433217595</v>
      </c>
      <c r="B23" s="159">
        <v>43011.369438425929</v>
      </c>
      <c r="C23" s="111" t="s">
        <v>230</v>
      </c>
      <c r="D23" s="111" t="s">
        <v>194</v>
      </c>
      <c r="E23" s="111">
        <v>695856110</v>
      </c>
      <c r="F23" s="160">
        <v>1700000</v>
      </c>
      <c r="G23" s="160">
        <v>500000</v>
      </c>
      <c r="H23" s="160">
        <v>1200000</v>
      </c>
    </row>
    <row r="24" spans="1:8">
      <c r="A24" s="158">
        <v>43010.334452546296</v>
      </c>
      <c r="B24" s="159">
        <v>43010.334454745367</v>
      </c>
      <c r="C24" s="111" t="s">
        <v>229</v>
      </c>
      <c r="D24" s="111" t="s">
        <v>194</v>
      </c>
      <c r="E24" s="111">
        <v>695856110</v>
      </c>
      <c r="F24" s="160">
        <v>1700000</v>
      </c>
      <c r="G24" s="160">
        <v>500000</v>
      </c>
      <c r="H24" s="160">
        <v>1200000</v>
      </c>
    </row>
    <row r="25" spans="1:8">
      <c r="A25" s="158">
        <v>43010.334264120371</v>
      </c>
      <c r="B25" s="159">
        <v>43010.33426585648</v>
      </c>
      <c r="C25" s="111" t="s">
        <v>228</v>
      </c>
      <c r="D25" s="111" t="s">
        <v>194</v>
      </c>
      <c r="E25" s="111">
        <v>695856110</v>
      </c>
      <c r="F25" s="160">
        <v>1700000</v>
      </c>
      <c r="G25" s="160">
        <v>500000</v>
      </c>
      <c r="H25" s="160">
        <v>1200000</v>
      </c>
    </row>
    <row r="26" spans="1:8">
      <c r="A26" s="158">
        <v>43010.332774305556</v>
      </c>
      <c r="B26" s="159">
        <v>43010.332776504627</v>
      </c>
      <c r="C26" s="111" t="s">
        <v>227</v>
      </c>
      <c r="D26" s="111" t="s">
        <v>194</v>
      </c>
      <c r="E26" s="111">
        <v>695856110</v>
      </c>
      <c r="F26" s="160">
        <v>1700000</v>
      </c>
      <c r="G26" s="160">
        <v>500000</v>
      </c>
      <c r="H26" s="160">
        <v>1200000</v>
      </c>
    </row>
    <row r="27" spans="1:8">
      <c r="A27" s="158">
        <v>43010.332595254629</v>
      </c>
      <c r="B27" s="159">
        <v>43010.332597569446</v>
      </c>
      <c r="C27" s="111" t="s">
        <v>226</v>
      </c>
      <c r="D27" s="111" t="s">
        <v>194</v>
      </c>
      <c r="E27" s="111">
        <v>695856110</v>
      </c>
      <c r="F27" s="160">
        <v>1700000</v>
      </c>
      <c r="G27" s="160">
        <v>500000</v>
      </c>
      <c r="H27" s="160">
        <v>1200000</v>
      </c>
    </row>
    <row r="28" spans="1:8">
      <c r="A28" s="158">
        <v>43010.332571412036</v>
      </c>
      <c r="B28" s="159">
        <v>43010.332573958331</v>
      </c>
      <c r="C28" s="111" t="s">
        <v>226</v>
      </c>
      <c r="D28" s="111" t="s">
        <v>194</v>
      </c>
      <c r="E28" s="111">
        <v>695856110</v>
      </c>
      <c r="F28" s="160">
        <v>1700000</v>
      </c>
      <c r="G28" s="160">
        <v>500000</v>
      </c>
      <c r="H28" s="160">
        <v>1200000</v>
      </c>
    </row>
    <row r="29" spans="1:8">
      <c r="A29" s="158">
        <v>43010.331874537034</v>
      </c>
      <c r="B29" s="159">
        <v>43010.331876157405</v>
      </c>
      <c r="C29" s="111" t="s">
        <v>225</v>
      </c>
      <c r="D29" s="111" t="s">
        <v>194</v>
      </c>
      <c r="E29" s="111">
        <v>695856110</v>
      </c>
      <c r="F29" s="160">
        <v>1700000</v>
      </c>
      <c r="G29" s="160">
        <v>500000</v>
      </c>
      <c r="H29" s="160">
        <v>1200000</v>
      </c>
    </row>
    <row r="30" spans="1:8">
      <c r="A30" s="158">
        <v>43010.331742939816</v>
      </c>
      <c r="B30" s="159">
        <v>43010.331744328701</v>
      </c>
      <c r="C30" s="111" t="s">
        <v>224</v>
      </c>
      <c r="D30" s="111" t="s">
        <v>194</v>
      </c>
      <c r="E30" s="111">
        <v>695856110</v>
      </c>
      <c r="F30" s="160">
        <v>1700000</v>
      </c>
      <c r="G30" s="160">
        <v>500000</v>
      </c>
      <c r="H30" s="160">
        <v>1200000</v>
      </c>
    </row>
    <row r="31" spans="1:8">
      <c r="A31" s="158">
        <v>43010.331342708334</v>
      </c>
      <c r="B31" s="159">
        <v>43010.331344907405</v>
      </c>
      <c r="C31" s="111" t="s">
        <v>223</v>
      </c>
      <c r="D31" s="111" t="s">
        <v>194</v>
      </c>
      <c r="E31" s="111">
        <v>695856110</v>
      </c>
      <c r="F31" s="160">
        <v>1700000</v>
      </c>
      <c r="G31" s="160">
        <v>500000</v>
      </c>
      <c r="H31" s="160">
        <v>1200000</v>
      </c>
    </row>
    <row r="32" spans="1:8">
      <c r="A32" s="158">
        <v>43010.331319907411</v>
      </c>
      <c r="B32" s="159">
        <v>43010.331321759259</v>
      </c>
      <c r="C32" s="111" t="s">
        <v>223</v>
      </c>
      <c r="D32" s="111" t="s">
        <v>194</v>
      </c>
      <c r="E32" s="111">
        <v>695856110</v>
      </c>
      <c r="F32" s="160">
        <v>1700000</v>
      </c>
      <c r="G32" s="160">
        <v>500000</v>
      </c>
      <c r="H32" s="160">
        <v>1200000</v>
      </c>
    </row>
    <row r="33" spans="1:8">
      <c r="A33" s="158">
        <v>43010.331222106484</v>
      </c>
      <c r="B33" s="159">
        <v>43010.331227199073</v>
      </c>
      <c r="C33" s="111" t="s">
        <v>223</v>
      </c>
      <c r="D33" s="111" t="s">
        <v>194</v>
      </c>
      <c r="E33" s="111">
        <v>695856110</v>
      </c>
      <c r="F33" s="160">
        <v>1700000</v>
      </c>
      <c r="G33" s="160">
        <v>500000</v>
      </c>
      <c r="H33" s="160">
        <v>1200000</v>
      </c>
    </row>
    <row r="34" spans="1:8">
      <c r="A34" s="158">
        <v>43010.321164583336</v>
      </c>
      <c r="B34" s="159">
        <v>43010.321167824077</v>
      </c>
      <c r="C34" s="111" t="s">
        <v>223</v>
      </c>
      <c r="D34" s="111" t="s">
        <v>194</v>
      </c>
      <c r="E34" s="111">
        <v>695856110</v>
      </c>
      <c r="F34" s="160">
        <v>1700000</v>
      </c>
      <c r="G34" s="160">
        <v>500000</v>
      </c>
      <c r="H34" s="160">
        <v>1200000</v>
      </c>
    </row>
    <row r="35" spans="1:8">
      <c r="A35" s="158">
        <v>43010.003543634259</v>
      </c>
      <c r="B35" s="159">
        <v>43010.003544907406</v>
      </c>
      <c r="C35" s="111" t="s">
        <v>223</v>
      </c>
      <c r="D35" s="111" t="s">
        <v>194</v>
      </c>
      <c r="E35" s="111">
        <v>695856110</v>
      </c>
      <c r="F35" s="160">
        <v>1700000</v>
      </c>
      <c r="G35" s="160">
        <v>500000</v>
      </c>
      <c r="H35" s="160">
        <v>1200000</v>
      </c>
    </row>
    <row r="36" spans="1:8">
      <c r="A36" s="158">
        <v>43010.003493865741</v>
      </c>
      <c r="B36" s="159">
        <v>43010.003495370373</v>
      </c>
      <c r="C36" s="111" t="s">
        <v>222</v>
      </c>
      <c r="D36" s="111" t="s">
        <v>194</v>
      </c>
      <c r="E36" s="111">
        <v>695856110</v>
      </c>
      <c r="F36" s="160">
        <v>1700000</v>
      </c>
      <c r="G36" s="160">
        <v>500000</v>
      </c>
      <c r="H36" s="160">
        <v>1200000</v>
      </c>
    </row>
    <row r="37" spans="1:8">
      <c r="A37" s="158">
        <v>43010.003417361113</v>
      </c>
      <c r="B37" s="159">
        <v>43010.003418865737</v>
      </c>
      <c r="C37" s="111" t="s">
        <v>221</v>
      </c>
      <c r="D37" s="111" t="s">
        <v>194</v>
      </c>
      <c r="E37" s="111">
        <v>695856110</v>
      </c>
      <c r="F37" s="160">
        <v>1700000</v>
      </c>
      <c r="G37" s="160">
        <v>500000</v>
      </c>
      <c r="H37" s="160">
        <v>1200000</v>
      </c>
    </row>
    <row r="38" spans="1:8">
      <c r="A38" s="158">
        <v>43010.002259953704</v>
      </c>
      <c r="B38" s="159">
        <v>43010.002261458336</v>
      </c>
      <c r="C38" s="111" t="s">
        <v>220</v>
      </c>
      <c r="D38" s="111" t="s">
        <v>188</v>
      </c>
      <c r="E38" s="111">
        <v>695856110</v>
      </c>
      <c r="F38" s="160">
        <v>270000</v>
      </c>
      <c r="G38" s="160">
        <v>100000</v>
      </c>
      <c r="H38" s="160">
        <v>170000</v>
      </c>
    </row>
    <row r="39" spans="1:8">
      <c r="A39" s="158">
        <v>43010.002243287039</v>
      </c>
      <c r="B39" s="159">
        <v>43010.002244791664</v>
      </c>
      <c r="C39" s="111" t="s">
        <v>220</v>
      </c>
      <c r="D39" s="111" t="s">
        <v>188</v>
      </c>
      <c r="E39" s="111">
        <v>695856110</v>
      </c>
      <c r="F39" s="160">
        <v>270000</v>
      </c>
      <c r="G39" s="160">
        <v>100000</v>
      </c>
      <c r="H39" s="160">
        <v>170000</v>
      </c>
    </row>
    <row r="40" spans="1:8">
      <c r="A40" s="158">
        <v>43010.002117476855</v>
      </c>
      <c r="B40" s="159">
        <v>43010.002118750002</v>
      </c>
      <c r="C40" s="111" t="s">
        <v>220</v>
      </c>
      <c r="D40" s="111" t="s">
        <v>188</v>
      </c>
      <c r="E40" s="111">
        <v>695856110</v>
      </c>
      <c r="F40" s="160">
        <v>270000</v>
      </c>
      <c r="G40" s="160">
        <v>100000</v>
      </c>
      <c r="H40" s="160">
        <v>170000</v>
      </c>
    </row>
    <row r="41" spans="1:8">
      <c r="A41" s="158">
        <v>43010.000547569442</v>
      </c>
      <c r="B41" s="159">
        <v>43010.000548842596</v>
      </c>
      <c r="C41" s="111" t="s">
        <v>219</v>
      </c>
      <c r="D41" s="111" t="s">
        <v>188</v>
      </c>
      <c r="E41" s="111">
        <v>695856110</v>
      </c>
      <c r="F41" s="160">
        <v>270000</v>
      </c>
      <c r="G41" s="160">
        <v>100000</v>
      </c>
      <c r="H41" s="160">
        <v>170000</v>
      </c>
    </row>
    <row r="42" spans="1:8">
      <c r="A42" s="158">
        <v>43009.997540277778</v>
      </c>
      <c r="B42" s="159">
        <v>43009.998294907411</v>
      </c>
      <c r="C42" s="111" t="s">
        <v>218</v>
      </c>
      <c r="D42" s="111" t="s">
        <v>188</v>
      </c>
      <c r="E42" s="111">
        <v>695856110</v>
      </c>
      <c r="F42" s="160">
        <v>270000</v>
      </c>
      <c r="G42" s="160">
        <v>100000</v>
      </c>
      <c r="H42" s="160">
        <v>170000</v>
      </c>
    </row>
    <row r="43" spans="1:8">
      <c r="A43" s="158">
        <v>43008.572731944441</v>
      </c>
      <c r="B43" s="159">
        <v>43008.572733449073</v>
      </c>
      <c r="C43" s="111" t="s">
        <v>208</v>
      </c>
      <c r="D43" s="111" t="s">
        <v>188</v>
      </c>
      <c r="E43" s="111">
        <v>678908599</v>
      </c>
      <c r="F43" s="160">
        <v>270000</v>
      </c>
      <c r="G43" s="160">
        <v>100000</v>
      </c>
      <c r="H43" s="160">
        <v>170000</v>
      </c>
    </row>
    <row r="44" spans="1:8">
      <c r="A44" s="158">
        <v>43008.572714467591</v>
      </c>
      <c r="B44" s="159">
        <v>43008.572715856484</v>
      </c>
      <c r="C44" s="111" t="s">
        <v>208</v>
      </c>
      <c r="D44" s="111" t="s">
        <v>188</v>
      </c>
      <c r="E44" s="111">
        <v>678908599</v>
      </c>
      <c r="F44" s="160">
        <v>270000</v>
      </c>
      <c r="G44" s="160">
        <v>100000</v>
      </c>
      <c r="H44" s="160">
        <v>170000</v>
      </c>
    </row>
    <row r="45" spans="1:8">
      <c r="A45" s="158">
        <v>43008.57269710648</v>
      </c>
      <c r="B45" s="159">
        <v>43008.572698495373</v>
      </c>
      <c r="C45" s="111" t="s">
        <v>208</v>
      </c>
      <c r="D45" s="111" t="s">
        <v>188</v>
      </c>
      <c r="E45" s="111">
        <v>678908599</v>
      </c>
      <c r="F45" s="160">
        <v>270000</v>
      </c>
      <c r="G45" s="160">
        <v>100000</v>
      </c>
      <c r="H45" s="160">
        <v>170000</v>
      </c>
    </row>
    <row r="46" spans="1:8">
      <c r="A46" s="158">
        <v>43008.572680439815</v>
      </c>
      <c r="B46" s="159">
        <v>43008.572681712962</v>
      </c>
      <c r="C46" s="111" t="s">
        <v>208</v>
      </c>
      <c r="D46" s="111" t="s">
        <v>188</v>
      </c>
      <c r="E46" s="111">
        <v>678908599</v>
      </c>
      <c r="F46" s="160">
        <v>270000</v>
      </c>
      <c r="G46" s="160">
        <v>100000</v>
      </c>
      <c r="H46" s="160">
        <v>170000</v>
      </c>
    </row>
    <row r="47" spans="1:8">
      <c r="A47" s="158">
        <v>43008.572662152779</v>
      </c>
      <c r="B47" s="159">
        <v>43008.57266377315</v>
      </c>
      <c r="C47" s="111" t="s">
        <v>208</v>
      </c>
      <c r="D47" s="111" t="s">
        <v>188</v>
      </c>
      <c r="E47" s="111">
        <v>678908599</v>
      </c>
      <c r="F47" s="160">
        <v>270000</v>
      </c>
      <c r="G47" s="160">
        <v>100000</v>
      </c>
      <c r="H47" s="160">
        <v>170000</v>
      </c>
    </row>
    <row r="48" spans="1:8">
      <c r="A48" s="158">
        <v>43008.572643171297</v>
      </c>
      <c r="B48" s="159">
        <v>43008.572645717592</v>
      </c>
      <c r="C48" s="111" t="s">
        <v>208</v>
      </c>
      <c r="D48" s="111" t="s">
        <v>188</v>
      </c>
      <c r="E48" s="111">
        <v>678908599</v>
      </c>
      <c r="F48" s="160">
        <v>270000</v>
      </c>
      <c r="G48" s="160">
        <v>100000</v>
      </c>
      <c r="H48" s="160">
        <v>170000</v>
      </c>
    </row>
    <row r="49" spans="1:8">
      <c r="A49" s="158">
        <v>43008.572615277779</v>
      </c>
      <c r="B49" s="159">
        <v>43008.57261678241</v>
      </c>
      <c r="C49" s="111" t="s">
        <v>208</v>
      </c>
      <c r="D49" s="111" t="s">
        <v>188</v>
      </c>
      <c r="E49" s="111">
        <v>678908599</v>
      </c>
      <c r="F49" s="160">
        <v>270000</v>
      </c>
      <c r="G49" s="160">
        <v>100000</v>
      </c>
      <c r="H49" s="160">
        <v>170000</v>
      </c>
    </row>
    <row r="50" spans="1:8">
      <c r="A50" s="158">
        <v>43008.571783796295</v>
      </c>
      <c r="B50" s="159">
        <v>43008.571785995373</v>
      </c>
      <c r="C50" s="111" t="s">
        <v>204</v>
      </c>
      <c r="D50" s="111" t="s">
        <v>194</v>
      </c>
      <c r="E50" s="111">
        <v>678908599</v>
      </c>
      <c r="F50" s="160">
        <v>650000</v>
      </c>
      <c r="G50" s="160">
        <v>100000</v>
      </c>
      <c r="H50" s="160">
        <v>550000</v>
      </c>
    </row>
    <row r="51" spans="1:8">
      <c r="A51" s="158">
        <v>43008.571741087966</v>
      </c>
      <c r="B51" s="159">
        <v>43008.571743055552</v>
      </c>
      <c r="C51" s="111" t="s">
        <v>203</v>
      </c>
      <c r="D51" s="111" t="s">
        <v>194</v>
      </c>
      <c r="E51" s="111">
        <v>678908599</v>
      </c>
      <c r="F51" s="160">
        <v>650000</v>
      </c>
      <c r="G51" s="160">
        <v>100000</v>
      </c>
      <c r="H51" s="160">
        <v>550000</v>
      </c>
    </row>
    <row r="52" spans="1:8">
      <c r="A52" s="158">
        <v>43008.571684143521</v>
      </c>
      <c r="B52" s="159">
        <v>43008.571685648145</v>
      </c>
      <c r="C52" s="111" t="s">
        <v>202</v>
      </c>
      <c r="D52" s="111" t="s">
        <v>194</v>
      </c>
      <c r="E52" s="111">
        <v>678908599</v>
      </c>
      <c r="F52" s="160">
        <v>650000</v>
      </c>
      <c r="G52" s="160">
        <v>100000</v>
      </c>
      <c r="H52" s="160">
        <v>550000</v>
      </c>
    </row>
    <row r="53" spans="1:8">
      <c r="A53" s="158">
        <v>43008.57163402778</v>
      </c>
      <c r="B53" s="159">
        <v>43008.571635532404</v>
      </c>
      <c r="C53" s="111" t="s">
        <v>201</v>
      </c>
      <c r="D53" s="111" t="s">
        <v>194</v>
      </c>
      <c r="E53" s="111">
        <v>678908599</v>
      </c>
      <c r="F53" s="160">
        <v>650000</v>
      </c>
      <c r="G53" s="160">
        <v>100000</v>
      </c>
      <c r="H53" s="160">
        <v>550000</v>
      </c>
    </row>
    <row r="54" spans="1:8">
      <c r="A54" s="158">
        <v>43008.571603124998</v>
      </c>
      <c r="B54" s="159">
        <v>43008.571604629629</v>
      </c>
      <c r="C54" s="111" t="s">
        <v>201</v>
      </c>
      <c r="D54" s="111" t="s">
        <v>194</v>
      </c>
      <c r="E54" s="111">
        <v>678908599</v>
      </c>
      <c r="F54" s="160">
        <v>650000</v>
      </c>
      <c r="G54" s="160">
        <v>100000</v>
      </c>
      <c r="H54" s="160">
        <v>550000</v>
      </c>
    </row>
    <row r="55" spans="1:8">
      <c r="A55" s="158">
        <v>43008.570847569441</v>
      </c>
      <c r="B55" s="159">
        <v>43008.570849537035</v>
      </c>
      <c r="C55" s="111" t="s">
        <v>201</v>
      </c>
      <c r="D55" s="111" t="s">
        <v>215</v>
      </c>
      <c r="E55" s="111">
        <v>678908599</v>
      </c>
      <c r="F55" s="160">
        <v>970000</v>
      </c>
      <c r="G55" s="160">
        <v>100000</v>
      </c>
      <c r="H55" s="160">
        <v>870000</v>
      </c>
    </row>
    <row r="56" spans="1:8">
      <c r="A56" s="158">
        <v>43008.57082025463</v>
      </c>
      <c r="B56" s="159">
        <v>43008.570822222224</v>
      </c>
      <c r="C56" s="111" t="s">
        <v>201</v>
      </c>
      <c r="D56" s="111" t="s">
        <v>215</v>
      </c>
      <c r="E56" s="111">
        <v>678908599</v>
      </c>
      <c r="F56" s="160">
        <v>970000</v>
      </c>
      <c r="G56" s="160">
        <v>100000</v>
      </c>
      <c r="H56" s="160">
        <v>870000</v>
      </c>
    </row>
    <row r="57" spans="1:8">
      <c r="A57" s="158">
        <v>43008.570798379631</v>
      </c>
      <c r="B57" s="159">
        <v>43008.570799652778</v>
      </c>
      <c r="C57" s="111" t="s">
        <v>201</v>
      </c>
      <c r="D57" s="111" t="s">
        <v>215</v>
      </c>
      <c r="E57" s="111">
        <v>678908599</v>
      </c>
      <c r="F57" s="160">
        <v>970000</v>
      </c>
      <c r="G57" s="160">
        <v>100000</v>
      </c>
      <c r="H57" s="160">
        <v>870000</v>
      </c>
    </row>
    <row r="58" spans="1:8">
      <c r="A58" s="158">
        <v>43008.570780671296</v>
      </c>
      <c r="B58" s="159">
        <v>43008.570781944443</v>
      </c>
      <c r="C58" s="111" t="s">
        <v>201</v>
      </c>
      <c r="D58" s="111" t="s">
        <v>215</v>
      </c>
      <c r="E58" s="111">
        <v>678908599</v>
      </c>
      <c r="F58" s="160">
        <v>970000</v>
      </c>
      <c r="G58" s="160">
        <v>100000</v>
      </c>
      <c r="H58" s="160">
        <v>870000</v>
      </c>
    </row>
    <row r="59" spans="1:8">
      <c r="A59" s="158">
        <v>43008.570765046294</v>
      </c>
      <c r="B59" s="159">
        <v>43008.570766319448</v>
      </c>
      <c r="C59" s="111" t="s">
        <v>201</v>
      </c>
      <c r="D59" s="111" t="s">
        <v>215</v>
      </c>
      <c r="E59" s="111">
        <v>678908599</v>
      </c>
      <c r="F59" s="160">
        <v>970000</v>
      </c>
      <c r="G59" s="160">
        <v>100000</v>
      </c>
      <c r="H59" s="160">
        <v>870000</v>
      </c>
    </row>
    <row r="60" spans="1:8">
      <c r="A60" s="158">
        <v>43008.56993391204</v>
      </c>
      <c r="B60" s="159">
        <v>43008.569935069441</v>
      </c>
      <c r="C60" s="111" t="s">
        <v>201</v>
      </c>
      <c r="D60" s="111" t="s">
        <v>216</v>
      </c>
      <c r="E60" s="111">
        <v>678908599</v>
      </c>
      <c r="F60" s="160">
        <v>213500</v>
      </c>
      <c r="G60" s="160">
        <v>100000</v>
      </c>
      <c r="H60" s="160">
        <v>113500</v>
      </c>
    </row>
    <row r="61" spans="1:8">
      <c r="A61" s="158">
        <v>43008.569908217592</v>
      </c>
      <c r="B61" s="159">
        <v>43008.56990949074</v>
      </c>
      <c r="C61" s="111" t="s">
        <v>201</v>
      </c>
      <c r="D61" s="111" t="s">
        <v>216</v>
      </c>
      <c r="E61" s="111">
        <v>678908599</v>
      </c>
      <c r="F61" s="160">
        <v>213500</v>
      </c>
      <c r="G61" s="160">
        <v>100000</v>
      </c>
      <c r="H61" s="160">
        <v>113500</v>
      </c>
    </row>
    <row r="62" spans="1:8">
      <c r="A62" s="158">
        <v>43008.569880092589</v>
      </c>
      <c r="B62" s="159">
        <v>43008.569881828706</v>
      </c>
      <c r="C62" s="111" t="s">
        <v>201</v>
      </c>
      <c r="D62" s="111" t="s">
        <v>216</v>
      </c>
      <c r="E62" s="111">
        <v>678908599</v>
      </c>
      <c r="F62" s="160">
        <v>213500</v>
      </c>
      <c r="G62" s="160">
        <v>100000</v>
      </c>
      <c r="H62" s="160">
        <v>113500</v>
      </c>
    </row>
    <row r="63" spans="1:8">
      <c r="A63" s="158">
        <v>43008.5698625</v>
      </c>
      <c r="B63" s="159">
        <v>43008.569863773148</v>
      </c>
      <c r="C63" s="111" t="s">
        <v>201</v>
      </c>
      <c r="D63" s="111" t="s">
        <v>216</v>
      </c>
      <c r="E63" s="111">
        <v>678908599</v>
      </c>
      <c r="F63" s="160">
        <v>213500</v>
      </c>
      <c r="G63" s="160">
        <v>100000</v>
      </c>
      <c r="H63" s="160">
        <v>113500</v>
      </c>
    </row>
    <row r="64" spans="1:8">
      <c r="A64" s="158">
        <v>43008.569834259259</v>
      </c>
      <c r="B64" s="159">
        <v>43008.569835416667</v>
      </c>
      <c r="C64" s="111" t="s">
        <v>201</v>
      </c>
      <c r="D64" s="111" t="s">
        <v>216</v>
      </c>
      <c r="E64" s="111">
        <v>678908599</v>
      </c>
      <c r="F64" s="160">
        <v>213500</v>
      </c>
      <c r="G64" s="160">
        <v>100000</v>
      </c>
      <c r="H64" s="160">
        <v>113500</v>
      </c>
    </row>
    <row r="65" spans="1:8">
      <c r="A65" s="158">
        <v>43008.568957870368</v>
      </c>
      <c r="B65" s="159">
        <v>43008.568959490738</v>
      </c>
      <c r="C65" s="111" t="s">
        <v>201</v>
      </c>
      <c r="D65" s="111" t="s">
        <v>215</v>
      </c>
      <c r="E65" s="111">
        <v>678908599</v>
      </c>
      <c r="F65" s="160">
        <v>73000</v>
      </c>
      <c r="G65" s="160">
        <v>500000</v>
      </c>
      <c r="H65" s="160">
        <v>-427000</v>
      </c>
    </row>
    <row r="66" spans="1:8">
      <c r="A66" s="158">
        <v>43008.568716435184</v>
      </c>
      <c r="B66" s="159">
        <v>43008.568717592592</v>
      </c>
      <c r="C66" s="111" t="s">
        <v>200</v>
      </c>
      <c r="D66" s="111" t="s">
        <v>215</v>
      </c>
      <c r="E66" s="111">
        <v>678908599</v>
      </c>
      <c r="F66" s="160">
        <v>73000</v>
      </c>
      <c r="G66" s="160">
        <v>500000</v>
      </c>
      <c r="H66" s="160">
        <v>-427000</v>
      </c>
    </row>
    <row r="67" spans="1:8">
      <c r="A67" s="158">
        <v>43008.568670138891</v>
      </c>
      <c r="B67" s="159">
        <v>43008.5686712963</v>
      </c>
      <c r="C67" s="111" t="s">
        <v>199</v>
      </c>
      <c r="D67" s="111" t="s">
        <v>215</v>
      </c>
      <c r="E67" s="111">
        <v>678908599</v>
      </c>
      <c r="F67" s="160">
        <v>73000</v>
      </c>
      <c r="G67" s="160">
        <v>500000</v>
      </c>
      <c r="H67" s="160">
        <v>-427000</v>
      </c>
    </row>
    <row r="68" spans="1:8">
      <c r="A68" s="158">
        <v>43008.56862604167</v>
      </c>
      <c r="B68" s="159">
        <v>43008.568628935187</v>
      </c>
      <c r="C68" s="111" t="s">
        <v>198</v>
      </c>
      <c r="D68" s="111" t="s">
        <v>215</v>
      </c>
      <c r="E68" s="111">
        <v>678908599</v>
      </c>
      <c r="F68" s="160">
        <v>73000</v>
      </c>
      <c r="G68" s="160">
        <v>500000</v>
      </c>
      <c r="H68" s="160">
        <v>-427000</v>
      </c>
    </row>
    <row r="69" spans="1:8">
      <c r="A69" s="158">
        <v>43008.568586111112</v>
      </c>
      <c r="B69" s="159">
        <v>43008.568587152775</v>
      </c>
      <c r="C69" s="111" t="s">
        <v>213</v>
      </c>
      <c r="D69" s="111" t="s">
        <v>215</v>
      </c>
      <c r="E69" s="111">
        <v>678908599</v>
      </c>
      <c r="F69" s="160">
        <v>73000</v>
      </c>
      <c r="G69" s="160">
        <v>500000</v>
      </c>
      <c r="H69" s="160">
        <v>-427000</v>
      </c>
    </row>
    <row r="70" spans="1:8">
      <c r="A70" s="158">
        <v>43008.56854270833</v>
      </c>
      <c r="B70" s="159">
        <v>43008.568543634261</v>
      </c>
      <c r="C70" s="111" t="s">
        <v>212</v>
      </c>
      <c r="D70" s="111" t="s">
        <v>215</v>
      </c>
      <c r="E70" s="111">
        <v>678908599</v>
      </c>
      <c r="F70" s="160">
        <v>73000</v>
      </c>
      <c r="G70" s="160">
        <v>500000</v>
      </c>
      <c r="H70" s="160">
        <v>-427000</v>
      </c>
    </row>
    <row r="71" spans="1:8">
      <c r="A71" s="158">
        <v>43008.568493171297</v>
      </c>
      <c r="B71" s="159">
        <v>43008.568494791667</v>
      </c>
      <c r="C71" s="111" t="s">
        <v>211</v>
      </c>
      <c r="D71" s="111" t="s">
        <v>215</v>
      </c>
      <c r="E71" s="111">
        <v>678908599</v>
      </c>
      <c r="F71" s="160">
        <v>73000</v>
      </c>
      <c r="G71" s="160">
        <v>500000</v>
      </c>
      <c r="H71" s="160">
        <v>-427000</v>
      </c>
    </row>
    <row r="72" spans="1:8">
      <c r="A72" s="158">
        <v>43008.567497453703</v>
      </c>
      <c r="B72" s="159">
        <v>43008.567499074074</v>
      </c>
      <c r="C72" s="111" t="s">
        <v>210</v>
      </c>
      <c r="D72" s="111" t="s">
        <v>214</v>
      </c>
      <c r="E72" s="111">
        <v>678908599</v>
      </c>
      <c r="F72" s="160">
        <v>920500</v>
      </c>
      <c r="G72" s="160">
        <v>500000</v>
      </c>
      <c r="H72" s="160">
        <v>420500</v>
      </c>
    </row>
    <row r="73" spans="1:8">
      <c r="A73" s="158">
        <v>43008.567483333332</v>
      </c>
      <c r="B73" s="159">
        <v>43008.567484375002</v>
      </c>
      <c r="C73" s="111" t="s">
        <v>210</v>
      </c>
      <c r="D73" s="111" t="s">
        <v>214</v>
      </c>
      <c r="E73" s="111">
        <v>678908599</v>
      </c>
      <c r="F73" s="160">
        <v>920500</v>
      </c>
      <c r="G73" s="160">
        <v>500000</v>
      </c>
      <c r="H73" s="160">
        <v>420500</v>
      </c>
    </row>
    <row r="74" spans="1:8">
      <c r="A74" s="158">
        <v>43008.5674693287</v>
      </c>
      <c r="B74" s="159">
        <v>43008.567470254631</v>
      </c>
      <c r="C74" s="111" t="s">
        <v>210</v>
      </c>
      <c r="D74" s="111" t="s">
        <v>214</v>
      </c>
      <c r="E74" s="111">
        <v>678908599</v>
      </c>
      <c r="F74" s="160">
        <v>920500</v>
      </c>
      <c r="G74" s="160">
        <v>500000</v>
      </c>
      <c r="H74" s="160">
        <v>420500</v>
      </c>
    </row>
    <row r="75" spans="1:8">
      <c r="A75" s="158">
        <v>43008.567455787037</v>
      </c>
      <c r="B75" s="159">
        <v>43008.567456712961</v>
      </c>
      <c r="C75" s="111" t="s">
        <v>210</v>
      </c>
      <c r="D75" s="111" t="s">
        <v>214</v>
      </c>
      <c r="E75" s="111">
        <v>678908599</v>
      </c>
      <c r="F75" s="160">
        <v>920500</v>
      </c>
      <c r="G75" s="160">
        <v>500000</v>
      </c>
      <c r="H75" s="160">
        <v>420500</v>
      </c>
    </row>
    <row r="76" spans="1:8">
      <c r="A76" s="158">
        <v>43008.567440624996</v>
      </c>
      <c r="B76" s="159">
        <v>43008.567443749998</v>
      </c>
      <c r="C76" s="111" t="s">
        <v>210</v>
      </c>
      <c r="D76" s="111" t="s">
        <v>214</v>
      </c>
      <c r="E76" s="111">
        <v>678908599</v>
      </c>
      <c r="F76" s="160">
        <v>920500</v>
      </c>
      <c r="G76" s="160">
        <v>500000</v>
      </c>
      <c r="H76" s="160">
        <v>420500</v>
      </c>
    </row>
    <row r="77" spans="1:8">
      <c r="A77" s="158">
        <v>43008.566889004629</v>
      </c>
      <c r="B77" s="159">
        <v>43008.566889930553</v>
      </c>
      <c r="C77" s="111" t="s">
        <v>210</v>
      </c>
      <c r="D77" s="111" t="s">
        <v>214</v>
      </c>
      <c r="E77" s="111">
        <v>678908599</v>
      </c>
      <c r="F77" s="160">
        <v>920500</v>
      </c>
      <c r="G77" s="160">
        <v>500000</v>
      </c>
      <c r="H77" s="160">
        <v>420500</v>
      </c>
    </row>
    <row r="78" spans="1:8">
      <c r="A78" s="158">
        <v>43008.566003587963</v>
      </c>
      <c r="B78" s="159">
        <v>43008.566005092594</v>
      </c>
      <c r="C78" s="111" t="s">
        <v>209</v>
      </c>
      <c r="D78" s="111" t="s">
        <v>214</v>
      </c>
      <c r="E78" s="111">
        <v>678908599</v>
      </c>
      <c r="F78" s="160">
        <v>920500</v>
      </c>
      <c r="G78" s="160">
        <v>1500000</v>
      </c>
      <c r="H78" s="160">
        <v>-579500</v>
      </c>
    </row>
    <row r="79" spans="1:8">
      <c r="A79" s="112"/>
      <c r="B79" s="112"/>
      <c r="E79" s="114"/>
      <c r="F79" s="114"/>
      <c r="G79" s="114"/>
      <c r="H79" s="114"/>
    </row>
  </sheetData>
  <conditionalFormatting sqref="C1:C1048576">
    <cfRule type="duplicateValues" dxfId="10" priority="1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J43"/>
  <sheetViews>
    <sheetView showGridLines="0" zoomScaleNormal="100" workbookViewId="0">
      <selection activeCell="A20" sqref="A20"/>
    </sheetView>
  </sheetViews>
  <sheetFormatPr baseColWidth="10" defaultRowHeight="1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"/>
    <col min="8" max="8" width="12.7109375" style="1" customWidth="1"/>
    <col min="9" max="16384" width="11.42578125" style="1"/>
  </cols>
  <sheetData>
    <row r="1" spans="1:10">
      <c r="A1" s="1" t="s">
        <v>0</v>
      </c>
    </row>
    <row r="2" spans="1:10">
      <c r="A2" s="103"/>
      <c r="B2" s="104"/>
      <c r="F2" s="162"/>
      <c r="G2" s="162"/>
      <c r="H2" s="162"/>
    </row>
    <row r="3" spans="1:10">
      <c r="A3" s="103"/>
      <c r="B3" s="104"/>
      <c r="E3" s="161"/>
      <c r="F3" s="162"/>
      <c r="G3" s="162"/>
      <c r="H3" s="162"/>
    </row>
    <row r="4" spans="1:10">
      <c r="A4" s="103"/>
      <c r="B4" s="104"/>
      <c r="F4" s="105"/>
      <c r="G4" s="105"/>
      <c r="H4" s="105"/>
    </row>
    <row r="5" spans="1:10">
      <c r="A5" s="1" t="s">
        <v>1</v>
      </c>
    </row>
    <row r="6" spans="1:10">
      <c r="A6" s="58"/>
      <c r="B6" s="58"/>
      <c r="C6" s="58"/>
      <c r="D6" s="164">
        <f ca="1">TODAY()</f>
        <v>43369</v>
      </c>
      <c r="E6" s="165" t="s">
        <v>190</v>
      </c>
      <c r="F6" s="165">
        <v>46</v>
      </c>
    </row>
    <row r="7" spans="1:10">
      <c r="A7" s="58"/>
      <c r="B7" s="58"/>
      <c r="C7" s="58"/>
      <c r="D7" s="58"/>
      <c r="E7" s="58"/>
      <c r="F7" s="58"/>
      <c r="G7" s="221"/>
      <c r="H7" s="221"/>
    </row>
    <row r="8" spans="1:10" ht="24">
      <c r="A8" s="58"/>
      <c r="B8" s="225" t="s">
        <v>178</v>
      </c>
      <c r="C8" s="226"/>
      <c r="D8" s="227"/>
      <c r="E8" s="58"/>
      <c r="F8" s="58"/>
    </row>
    <row r="9" spans="1:10" ht="18" customHeight="1">
      <c r="A9" s="58"/>
      <c r="B9" s="73" t="s">
        <v>179</v>
      </c>
      <c r="C9" s="73" t="s">
        <v>2</v>
      </c>
      <c r="D9" s="73" t="s">
        <v>180</v>
      </c>
      <c r="E9" s="58"/>
      <c r="F9" s="58"/>
      <c r="G9" s="95"/>
    </row>
    <row r="10" spans="1:10" ht="21" customHeight="1">
      <c r="A10" s="58"/>
      <c r="B10" s="96" t="str">
        <f ca="1">CONCATENATE(E6, " ",D6,"/",F6)</f>
        <v>GS 43369/46</v>
      </c>
      <c r="C10" s="228">
        <f ca="1">NOW()</f>
        <v>43369.395286226849</v>
      </c>
      <c r="D10" s="229"/>
      <c r="E10" s="58"/>
      <c r="F10" s="93"/>
    </row>
    <row r="11" spans="1:10" ht="21" customHeight="1">
      <c r="A11" s="58"/>
      <c r="B11" s="58"/>
      <c r="C11" s="58"/>
      <c r="D11" s="34"/>
      <c r="E11" s="58"/>
      <c r="F11" s="93"/>
    </row>
    <row r="12" spans="1:10" ht="16.5">
      <c r="A12" s="94"/>
      <c r="B12" s="59"/>
      <c r="C12" s="59"/>
      <c r="D12" s="59"/>
      <c r="E12" s="60"/>
      <c r="F12" s="98"/>
      <c r="G12" s="95"/>
    </row>
    <row r="13" spans="1:10" ht="24" customHeight="1">
      <c r="A13" s="63"/>
      <c r="B13" s="58"/>
      <c r="C13" s="58"/>
      <c r="D13" s="58"/>
      <c r="E13" s="222"/>
      <c r="F13" s="223"/>
    </row>
    <row r="14" spans="1:10" ht="16.5">
      <c r="A14" s="61"/>
      <c r="B14" s="58"/>
      <c r="C14" s="58"/>
      <c r="D14" s="58"/>
      <c r="E14" s="74" t="s">
        <v>168</v>
      </c>
      <c r="F14" s="73" t="s">
        <v>181</v>
      </c>
    </row>
    <row r="15" spans="1:10" ht="15.75">
      <c r="A15" s="61"/>
      <c r="B15" s="58"/>
      <c r="C15" s="58"/>
      <c r="D15" s="58"/>
      <c r="E15" s="97" t="s">
        <v>194</v>
      </c>
      <c r="F15" s="106">
        <v>695856110</v>
      </c>
    </row>
    <row r="16" spans="1:10" ht="15.75">
      <c r="A16" s="99"/>
      <c r="B16" s="99"/>
      <c r="C16" s="100"/>
      <c r="D16" s="101"/>
      <c r="E16" s="100"/>
      <c r="F16" s="100"/>
      <c r="G16" s="163"/>
      <c r="H16" s="163"/>
      <c r="I16" s="163"/>
      <c r="J16" s="163"/>
    </row>
    <row r="17" spans="1:10" ht="15.75">
      <c r="A17" s="99"/>
      <c r="B17" s="99"/>
      <c r="C17" s="100"/>
      <c r="D17" s="100"/>
      <c r="E17" s="100"/>
      <c r="F17" s="100"/>
      <c r="G17" s="163"/>
      <c r="H17" s="163"/>
      <c r="I17" s="163"/>
      <c r="J17" s="163"/>
    </row>
    <row r="18" spans="1:10" ht="15.75">
      <c r="A18" s="102"/>
      <c r="B18" s="102"/>
      <c r="C18" s="102"/>
      <c r="D18" s="102"/>
      <c r="E18" s="102"/>
      <c r="F18" s="102"/>
      <c r="G18" s="163"/>
      <c r="H18" s="163"/>
      <c r="I18" s="163"/>
      <c r="J18" s="163"/>
    </row>
    <row r="19" spans="1:10" ht="15.75">
      <c r="A19" s="77" t="s">
        <v>236</v>
      </c>
      <c r="B19" s="62" t="s">
        <v>235</v>
      </c>
      <c r="C19" s="81" t="s">
        <v>151</v>
      </c>
      <c r="D19" s="77" t="s">
        <v>234</v>
      </c>
      <c r="E19" s="224" t="s">
        <v>155</v>
      </c>
      <c r="F19" s="224"/>
      <c r="G19" s="163"/>
      <c r="H19" s="163"/>
      <c r="I19" s="163"/>
      <c r="J19" s="163"/>
    </row>
    <row r="20" spans="1:10" ht="15.75">
      <c r="A20" s="78" t="s">
        <v>195</v>
      </c>
      <c r="B20" s="91" t="s">
        <v>5</v>
      </c>
      <c r="C20" s="82">
        <v>4</v>
      </c>
      <c r="D20" s="82">
        <v>10000</v>
      </c>
      <c r="E20" s="85">
        <f>C20*D20</f>
        <v>40000</v>
      </c>
      <c r="F20" s="86"/>
      <c r="G20" s="163"/>
      <c r="H20" s="163"/>
      <c r="I20" s="163"/>
      <c r="J20" s="163"/>
    </row>
    <row r="21" spans="1:10" ht="15.75">
      <c r="A21" s="79" t="s">
        <v>196</v>
      </c>
      <c r="B21" s="91" t="s">
        <v>8</v>
      </c>
      <c r="C21" s="83">
        <v>15</v>
      </c>
      <c r="D21" s="83">
        <v>30000</v>
      </c>
      <c r="E21" s="87">
        <f t="shared" ref="E21:E29" si="0">C21*D21</f>
        <v>450000</v>
      </c>
      <c r="F21" s="88"/>
      <c r="G21" s="163"/>
      <c r="H21" s="163"/>
      <c r="I21" s="163"/>
      <c r="J21" s="163"/>
    </row>
    <row r="22" spans="1:10" ht="15.75">
      <c r="A22" s="79" t="s">
        <v>197</v>
      </c>
      <c r="B22" s="91" t="s">
        <v>10</v>
      </c>
      <c r="C22" s="83">
        <v>2</v>
      </c>
      <c r="D22" s="83">
        <v>25000</v>
      </c>
      <c r="E22" s="87">
        <f t="shared" si="0"/>
        <v>50000</v>
      </c>
      <c r="F22" s="88"/>
      <c r="G22" s="163"/>
      <c r="H22" s="163"/>
      <c r="I22" s="163"/>
      <c r="J22" s="163"/>
    </row>
    <row r="23" spans="1:10" ht="15.75">
      <c r="A23" s="79"/>
      <c r="B23" s="91"/>
      <c r="C23" s="83"/>
      <c r="D23" s="83"/>
      <c r="E23" s="87">
        <f t="shared" si="0"/>
        <v>0</v>
      </c>
      <c r="F23" s="88"/>
      <c r="G23" s="163"/>
      <c r="H23" s="163"/>
      <c r="I23" s="163"/>
      <c r="J23" s="163"/>
    </row>
    <row r="24" spans="1:10" ht="15.75">
      <c r="A24" s="79"/>
      <c r="B24" s="91"/>
      <c r="C24" s="83"/>
      <c r="D24" s="83"/>
      <c r="E24" s="87">
        <f t="shared" si="0"/>
        <v>0</v>
      </c>
      <c r="F24" s="88"/>
      <c r="G24" s="163"/>
      <c r="H24" s="163"/>
      <c r="I24" s="163"/>
      <c r="J24" s="163"/>
    </row>
    <row r="25" spans="1:10" ht="15.75">
      <c r="A25" s="79"/>
      <c r="B25" s="91"/>
      <c r="C25" s="83"/>
      <c r="D25" s="83"/>
      <c r="E25" s="87">
        <f t="shared" si="0"/>
        <v>0</v>
      </c>
      <c r="F25" s="88"/>
      <c r="G25" s="163"/>
      <c r="H25" s="163"/>
      <c r="I25" s="163"/>
      <c r="J25" s="163"/>
    </row>
    <row r="26" spans="1:10" ht="15.75">
      <c r="A26" s="79"/>
      <c r="B26" s="91"/>
      <c r="C26" s="83"/>
      <c r="D26" s="83"/>
      <c r="E26" s="87">
        <f t="shared" si="0"/>
        <v>0</v>
      </c>
      <c r="F26" s="88"/>
      <c r="G26" s="163"/>
      <c r="H26" s="163"/>
      <c r="I26" s="163"/>
      <c r="J26" s="163"/>
    </row>
    <row r="27" spans="1:10" ht="15.75">
      <c r="A27" s="79"/>
      <c r="B27" s="91"/>
      <c r="C27" s="83"/>
      <c r="D27" s="83"/>
      <c r="E27" s="87">
        <f t="shared" si="0"/>
        <v>0</v>
      </c>
      <c r="F27" s="88"/>
    </row>
    <row r="28" spans="1:10" ht="15.75">
      <c r="A28" s="79"/>
      <c r="B28" s="91"/>
      <c r="C28" s="83"/>
      <c r="D28" s="83"/>
      <c r="E28" s="87">
        <f t="shared" si="0"/>
        <v>0</v>
      </c>
      <c r="F28" s="88"/>
    </row>
    <row r="29" spans="1:10" ht="15.75">
      <c r="A29" s="80"/>
      <c r="B29" s="92"/>
      <c r="C29" s="84"/>
      <c r="D29" s="107"/>
      <c r="E29" s="89">
        <f t="shared" si="0"/>
        <v>0</v>
      </c>
      <c r="F29" s="90"/>
    </row>
    <row r="30" spans="1:10" ht="15.75">
      <c r="A30" s="59"/>
      <c r="B30" s="59"/>
      <c r="C30" s="59"/>
      <c r="D30" s="58"/>
      <c r="E30" s="58"/>
      <c r="F30" s="58"/>
    </row>
    <row r="31" spans="1:10" ht="16.5">
      <c r="A31" s="62" t="s">
        <v>3</v>
      </c>
      <c r="B31" s="219">
        <f>SUM(E20:E29)</f>
        <v>540000</v>
      </c>
      <c r="C31" s="220"/>
      <c r="D31" s="58"/>
      <c r="E31" s="62" t="s">
        <v>189</v>
      </c>
      <c r="F31" s="76">
        <v>500000</v>
      </c>
    </row>
    <row r="32" spans="1:10" ht="15.75">
      <c r="A32" s="59"/>
      <c r="B32" s="59"/>
      <c r="C32" s="59"/>
      <c r="D32" s="58"/>
      <c r="E32" s="58"/>
      <c r="F32" s="58"/>
    </row>
    <row r="33" spans="1:6" ht="16.5">
      <c r="A33" s="59"/>
      <c r="B33" s="59"/>
      <c r="C33" s="59"/>
      <c r="D33" s="58"/>
      <c r="E33" s="62" t="s">
        <v>116</v>
      </c>
      <c r="F33" s="75">
        <f>B31-F31</f>
        <v>40000</v>
      </c>
    </row>
    <row r="34" spans="1:6" ht="15.75">
      <c r="A34" s="59"/>
      <c r="B34" s="59"/>
      <c r="C34" s="59"/>
      <c r="D34" s="59"/>
      <c r="E34" s="59"/>
      <c r="F34" s="59"/>
    </row>
    <row r="35" spans="1:6" ht="16.5">
      <c r="A35" s="59"/>
      <c r="B35" s="71"/>
      <c r="C35" s="59"/>
      <c r="D35" s="59"/>
      <c r="E35" s="72"/>
      <c r="F35" s="59"/>
    </row>
    <row r="36" spans="1:6" ht="20.25">
      <c r="A36" s="70"/>
      <c r="B36" s="71" t="s">
        <v>186</v>
      </c>
      <c r="C36" s="64"/>
      <c r="D36" s="59"/>
      <c r="E36" s="72" t="s">
        <v>187</v>
      </c>
      <c r="F36" s="59"/>
    </row>
    <row r="37" spans="1:6" ht="18.75">
      <c r="A37" s="64"/>
      <c r="B37" s="59"/>
      <c r="C37" s="64"/>
      <c r="D37" s="59"/>
      <c r="E37" s="59"/>
      <c r="F37" s="59"/>
    </row>
    <row r="38" spans="1:6" ht="15.75">
      <c r="A38" s="65"/>
      <c r="B38" s="59"/>
      <c r="C38" s="65"/>
      <c r="D38" s="59"/>
      <c r="E38" s="59"/>
      <c r="F38" s="59"/>
    </row>
    <row r="39" spans="1:6" ht="22.5">
      <c r="A39" s="67"/>
      <c r="B39" s="67"/>
      <c r="C39" s="67"/>
      <c r="D39" s="66" t="s">
        <v>182</v>
      </c>
      <c r="E39" s="68"/>
      <c r="F39" s="66"/>
    </row>
    <row r="40" spans="1:6" ht="22.5">
      <c r="A40" s="67"/>
      <c r="B40" s="67"/>
      <c r="C40" s="67"/>
      <c r="D40" s="66" t="s">
        <v>183</v>
      </c>
      <c r="E40" s="68"/>
      <c r="F40" s="66"/>
    </row>
    <row r="41" spans="1:6" ht="22.5">
      <c r="A41" s="67"/>
      <c r="B41" s="67"/>
      <c r="C41" s="67"/>
      <c r="D41" s="69" t="s">
        <v>184</v>
      </c>
      <c r="E41" s="68"/>
      <c r="F41" s="69"/>
    </row>
    <row r="42" spans="1:6" ht="22.5">
      <c r="A42" s="67"/>
      <c r="B42" s="67"/>
      <c r="C42" s="67"/>
      <c r="D42" s="66" t="s">
        <v>185</v>
      </c>
      <c r="E42" s="68"/>
      <c r="F42" s="66"/>
    </row>
    <row r="43" spans="1:6" ht="18.75">
      <c r="A43" s="66"/>
      <c r="B43" s="66"/>
      <c r="C43" s="66"/>
      <c r="D43" s="66"/>
      <c r="E43" s="66"/>
      <c r="F43" s="66"/>
    </row>
  </sheetData>
  <sheetProtection sheet="1" objects="1" scenarios="1"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0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hyperlinks>
    <hyperlink ref="D41" r:id="rId1" display="mailto:judithgael@gmail.com"/>
  </hyperlinks>
  <pageMargins left="0.7" right="0.7" top="0.75" bottom="0.75" header="0.3" footer="0.3"/>
  <pageSetup paperSize="9" orientation="portrait" horizontalDpi="300" verticalDpi="300" r:id="rId2"/>
  <drawing r:id="rId3"/>
  <legacyDrawing r:id="rId4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Q17"/>
  <sheetViews>
    <sheetView showGridLines="0" tabSelected="1" workbookViewId="0">
      <selection activeCell="D4" sqref="D4"/>
    </sheetView>
  </sheetViews>
  <sheetFormatPr baseColWidth="10" defaultRowHeight="15"/>
  <cols>
    <col min="1" max="1" width="13.85546875" customWidth="1"/>
    <col min="2" max="2" width="11.85546875" bestFit="1" customWidth="1"/>
    <col min="3" max="3" width="15.28515625" customWidth="1"/>
    <col min="4" max="4" width="20.28515625" customWidth="1"/>
    <col min="5" max="5" width="12" customWidth="1"/>
    <col min="6" max="6" width="7" customWidth="1"/>
    <col min="7" max="7" width="15" customWidth="1"/>
    <col min="8" max="8" width="8.7109375" bestFit="1" customWidth="1"/>
    <col min="9" max="9" width="14.42578125" bestFit="1" customWidth="1"/>
    <col min="10" max="10" width="15.5703125" bestFit="1" customWidth="1"/>
    <col min="16" max="16" width="13" customWidth="1"/>
    <col min="17" max="17" width="14" customWidth="1"/>
  </cols>
  <sheetData>
    <row r="2" spans="1:17" ht="22.5" customHeight="1">
      <c r="A2" s="230" t="s">
        <v>257</v>
      </c>
      <c r="B2" s="231"/>
      <c r="C2" s="231"/>
      <c r="D2" s="231"/>
      <c r="E2" s="232"/>
    </row>
    <row r="3" spans="1:17" ht="26.25" customHeight="1" thickBot="1">
      <c r="A3" s="199" t="s">
        <v>253</v>
      </c>
      <c r="B3" s="199" t="s">
        <v>254</v>
      </c>
      <c r="C3" s="199" t="s">
        <v>119</v>
      </c>
      <c r="D3" s="199" t="s">
        <v>255</v>
      </c>
      <c r="E3" s="199" t="s">
        <v>256</v>
      </c>
      <c r="M3" s="195" t="s">
        <v>2</v>
      </c>
      <c r="N3" s="195" t="s">
        <v>2</v>
      </c>
      <c r="O3" s="196" t="s">
        <v>117</v>
      </c>
      <c r="P3" s="196" t="s">
        <v>109</v>
      </c>
      <c r="Q3" s="196" t="s">
        <v>112</v>
      </c>
    </row>
    <row r="4" spans="1:17" ht="26.25" customHeight="1">
      <c r="A4" s="200">
        <v>42923</v>
      </c>
      <c r="B4" s="200">
        <v>43049</v>
      </c>
      <c r="C4" s="197"/>
      <c r="D4" s="197" t="s">
        <v>4</v>
      </c>
      <c r="E4" s="198"/>
      <c r="M4" t="str">
        <f>IF(A4="","","&gt;="&amp;A4)</f>
        <v>&gt;=42923</v>
      </c>
      <c r="N4" t="str">
        <f>IF(B4="","","&lt;="&amp;B4)</f>
        <v>&lt;=43049</v>
      </c>
      <c r="O4" t="str">
        <f>IF(C4="","",C4)</f>
        <v/>
      </c>
      <c r="P4" t="str">
        <f>IF(D4="","",D4)</f>
        <v xml:space="preserve"> Amarchik </v>
      </c>
      <c r="Q4" t="str">
        <f>IF(E4="","",E4)</f>
        <v/>
      </c>
    </row>
    <row r="7" spans="1:17" ht="16.5">
      <c r="A7" s="201" t="s">
        <v>2</v>
      </c>
      <c r="B7" s="202" t="s">
        <v>117</v>
      </c>
      <c r="C7" s="202" t="s">
        <v>109</v>
      </c>
      <c r="D7" s="203" t="s">
        <v>112</v>
      </c>
      <c r="E7" s="202" t="s">
        <v>171</v>
      </c>
      <c r="F7" s="204" t="s">
        <v>151</v>
      </c>
      <c r="G7" s="205" t="s">
        <v>152</v>
      </c>
      <c r="H7" s="206" t="s">
        <v>153</v>
      </c>
      <c r="I7" s="207" t="s">
        <v>155</v>
      </c>
      <c r="J7" s="206" t="s">
        <v>116</v>
      </c>
      <c r="K7" s="176"/>
      <c r="L7" s="174"/>
    </row>
    <row r="8" spans="1:17" ht="15.75">
      <c r="K8" s="40"/>
      <c r="L8" s="24"/>
    </row>
    <row r="9" spans="1:17" ht="15.75">
      <c r="K9" s="40"/>
      <c r="L9" s="24"/>
    </row>
    <row r="10" spans="1:17" ht="15.75">
      <c r="K10" s="40"/>
      <c r="L10" s="24"/>
    </row>
    <row r="11" spans="1:17" ht="15.75">
      <c r="K11" s="40"/>
      <c r="L11" s="24"/>
    </row>
    <row r="12" spans="1:17" ht="15.75">
      <c r="K12" s="40"/>
      <c r="L12" s="24"/>
    </row>
    <row r="13" spans="1:17" ht="15.75">
      <c r="K13" s="40"/>
      <c r="L13" s="24"/>
    </row>
    <row r="14" spans="1:17" ht="15.75">
      <c r="K14" s="40"/>
      <c r="L14" s="24"/>
    </row>
    <row r="15" spans="1:17" ht="15.75">
      <c r="K15" s="40"/>
      <c r="L15" s="24"/>
    </row>
    <row r="16" spans="1:17" ht="15.75">
      <c r="K16" s="40"/>
      <c r="L16" s="24"/>
    </row>
    <row r="17" spans="11:12" ht="15.75">
      <c r="K17" s="40"/>
      <c r="L17" s="24"/>
    </row>
  </sheetData>
  <mergeCells count="1">
    <mergeCell ref="A2:E2"/>
  </mergeCells>
  <dataValidations count="4">
    <dataValidation type="whole" operator="greaterThan" allowBlank="1" showInputMessage="1" showErrorMessage="1" sqref="F7">
      <formula1>0</formula1>
    </dataValidation>
    <dataValidation type="list" allowBlank="1" showInputMessage="1" showErrorMessage="1" sqref="C4">
      <formula1>Nomclient</formula1>
    </dataValidation>
    <dataValidation type="list" allowBlank="1" showInputMessage="1" showErrorMessage="1" sqref="D4">
      <formula1>Mesproduits</formula1>
    </dataValidation>
    <dataValidation type="list" allowBlank="1" showInputMessage="1" showErrorMessage="1" sqref="E4">
      <formula1>segmentation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SYNTHESE</vt:lpstr>
      <vt:lpstr>LISTES</vt:lpstr>
      <vt:lpstr>Feuil1</vt:lpstr>
      <vt:lpstr>MVT STOCK</vt:lpstr>
      <vt:lpstr>VENTES</vt:lpstr>
      <vt:lpstr>FACTURIER</vt:lpstr>
      <vt:lpstr>CONSULTATION</vt:lpstr>
      <vt:lpstr>CONSULTATION!Criteres</vt:lpstr>
      <vt:lpstr>CONSULTATION!Extraire</vt:lpstr>
      <vt:lpstr>Mesmouvements</vt:lpstr>
      <vt:lpstr>Mesproduits</vt:lpstr>
      <vt:lpstr>Mesventes</vt:lpstr>
      <vt:lpstr>Nomclient</vt:lpstr>
      <vt:lpstr>segmentation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cp:lastPrinted>2017-12-02T13:44:42Z</cp:lastPrinted>
  <dcterms:created xsi:type="dcterms:W3CDTF">2017-09-04T13:48:44Z</dcterms:created>
  <dcterms:modified xsi:type="dcterms:W3CDTF">2018-09-26T07:29:17Z</dcterms:modified>
</cp:coreProperties>
</file>